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540" windowWidth="15480" windowHeight="11280" activeTab="11"/>
  </bookViews>
  <sheets>
    <sheet name="01.21" sheetId="8" r:id="rId1"/>
    <sheet name="02.21" sheetId="17" r:id="rId2"/>
    <sheet name="03.21" sheetId="18" r:id="rId3"/>
    <sheet name="04.24" sheetId="19" r:id="rId4"/>
    <sheet name="05.21" sheetId="20" r:id="rId5"/>
    <sheet name="06.21" sheetId="21" r:id="rId6"/>
    <sheet name="07.21" sheetId="22" r:id="rId7"/>
    <sheet name="08.21" sheetId="23" r:id="rId8"/>
    <sheet name="09.21" sheetId="24" r:id="rId9"/>
    <sheet name="10.21" sheetId="25" r:id="rId10"/>
    <sheet name="11.21" sheetId="26" r:id="rId11"/>
    <sheet name="12.21" sheetId="27" r:id="rId12"/>
  </sheets>
  <definedNames>
    <definedName name="_xlnm._FilterDatabase" localSheetId="0" hidden="1">'01.21'!$I$12:$I$71</definedName>
    <definedName name="_xlnm._FilterDatabase" localSheetId="1" hidden="1">'02.21'!$I$12:$I$71</definedName>
    <definedName name="_xlnm._FilterDatabase" localSheetId="2" hidden="1">'03.21'!$I$12:$I$71</definedName>
    <definedName name="_xlnm._FilterDatabase" localSheetId="3" hidden="1">'04.24'!$I$12:$I$71</definedName>
    <definedName name="_xlnm._FilterDatabase" localSheetId="4" hidden="1">'05.21'!$I$12:$I$70</definedName>
    <definedName name="_xlnm._FilterDatabase" localSheetId="5" hidden="1">'06.21'!$I$12:$I$69</definedName>
    <definedName name="_xlnm._FilterDatabase" localSheetId="6" hidden="1">'07.21'!$I$12:$I$70</definedName>
    <definedName name="_xlnm._FilterDatabase" localSheetId="7" hidden="1">'08.21'!$I$12:$I$71</definedName>
    <definedName name="_xlnm._FilterDatabase" localSheetId="8" hidden="1">'09.21'!$I$12:$I$70</definedName>
    <definedName name="_xlnm._FilterDatabase" localSheetId="9" hidden="1">'10.21'!$I$12:$I$71</definedName>
    <definedName name="_xlnm._FilterDatabase" localSheetId="10" hidden="1">'11.21'!$I$12:$I$76</definedName>
    <definedName name="_xlnm._FilterDatabase" localSheetId="11" hidden="1">'12.21'!$I$12:$I$76</definedName>
    <definedName name="_xlnm.Print_Area" localSheetId="0">'01.21'!$A$1:$I$126</definedName>
    <definedName name="_xlnm.Print_Area" localSheetId="1">'02.21'!$A$1:$I$127</definedName>
    <definedName name="_xlnm.Print_Area" localSheetId="2">'03.21'!$A$1:$I$125</definedName>
    <definedName name="_xlnm.Print_Area" localSheetId="3">'04.24'!$A$1:$I$127</definedName>
    <definedName name="_xlnm.Print_Area" localSheetId="4">'05.21'!$A$1:$I$126</definedName>
    <definedName name="_xlnm.Print_Area" localSheetId="5">'06.21'!$A$1:$I$124</definedName>
    <definedName name="_xlnm.Print_Area" localSheetId="6">'07.21'!$A$1:$I$131</definedName>
    <definedName name="_xlnm.Print_Area" localSheetId="7">'08.21'!$A$1:$I$115</definedName>
    <definedName name="_xlnm.Print_Area" localSheetId="8">'09.21'!$A$1:$I$124</definedName>
    <definedName name="_xlnm.Print_Area" localSheetId="9">'10.21'!$A$1:$I$116</definedName>
    <definedName name="_xlnm.Print_Area" localSheetId="10">'11.21'!$A$1:$I$122</definedName>
    <definedName name="_xlnm.Print_Area" localSheetId="11">'12.21'!$A$1:$I$119</definedName>
  </definedNames>
  <calcPr calcId="125725"/>
</workbook>
</file>

<file path=xl/calcChain.xml><?xml version="1.0" encoding="utf-8"?>
<calcChain xmlns="http://schemas.openxmlformats.org/spreadsheetml/2006/main">
  <c r="F92" i="27"/>
  <c r="H92" s="1"/>
  <c r="E92"/>
  <c r="F91"/>
  <c r="I91" s="1"/>
  <c r="F89"/>
  <c r="H89" s="1"/>
  <c r="F66"/>
  <c r="I66" s="1"/>
  <c r="F62"/>
  <c r="I62" s="1"/>
  <c r="F53"/>
  <c r="F46"/>
  <c r="I46" s="1"/>
  <c r="F45"/>
  <c r="I45" s="1"/>
  <c r="I44"/>
  <c r="H44"/>
  <c r="F43"/>
  <c r="H43" s="1"/>
  <c r="I42"/>
  <c r="F42"/>
  <c r="H42" s="1"/>
  <c r="F41"/>
  <c r="I41" s="1"/>
  <c r="F40"/>
  <c r="I40" s="1"/>
  <c r="I39"/>
  <c r="H39"/>
  <c r="H22"/>
  <c r="F22"/>
  <c r="I22" s="1"/>
  <c r="F21"/>
  <c r="H21" s="1"/>
  <c r="F20"/>
  <c r="H20" s="1"/>
  <c r="F19"/>
  <c r="H19" s="1"/>
  <c r="E18"/>
  <c r="F18" s="1"/>
  <c r="F17"/>
  <c r="H17" s="1"/>
  <c r="F16"/>
  <c r="I16" s="1"/>
  <c r="H16" l="1"/>
  <c r="H41"/>
  <c r="I19"/>
  <c r="I92"/>
  <c r="H91"/>
  <c r="I89"/>
  <c r="I17"/>
  <c r="I21"/>
  <c r="H40"/>
  <c r="I43"/>
  <c r="H18"/>
  <c r="I18"/>
  <c r="I20"/>
  <c r="I95" i="26"/>
  <c r="I99" s="1"/>
  <c r="I96"/>
  <c r="I93"/>
  <c r="I97"/>
  <c r="F95"/>
  <c r="E92"/>
  <c r="F92" s="1"/>
  <c r="F91"/>
  <c r="H91" s="1"/>
  <c r="F79"/>
  <c r="H79" s="1"/>
  <c r="F66"/>
  <c r="I66" s="1"/>
  <c r="I61"/>
  <c r="F62"/>
  <c r="I62" s="1"/>
  <c r="F61"/>
  <c r="F58"/>
  <c r="F57"/>
  <c r="H92" l="1"/>
  <c r="I92"/>
  <c r="I91"/>
  <c r="I79"/>
  <c r="F46"/>
  <c r="I46" s="1"/>
  <c r="F45"/>
  <c r="I45" s="1"/>
  <c r="F43"/>
  <c r="F42"/>
  <c r="F41"/>
  <c r="F40"/>
  <c r="F22"/>
  <c r="H22" s="1"/>
  <c r="F21"/>
  <c r="H21" s="1"/>
  <c r="F20"/>
  <c r="H20" s="1"/>
  <c r="F19"/>
  <c r="I19" s="1"/>
  <c r="E18"/>
  <c r="F18" s="1"/>
  <c r="H18" s="1"/>
  <c r="H17"/>
  <c r="F17"/>
  <c r="I17" s="1"/>
  <c r="F16"/>
  <c r="I16" s="1"/>
  <c r="I101" i="24"/>
  <c r="I100"/>
  <c r="I88" i="25"/>
  <c r="I93"/>
  <c r="I91"/>
  <c r="F91"/>
  <c r="I90"/>
  <c r="I87"/>
  <c r="F87"/>
  <c r="H87" s="1"/>
  <c r="E87"/>
  <c r="F86"/>
  <c r="H86" s="1"/>
  <c r="F74"/>
  <c r="H74" s="1"/>
  <c r="H76"/>
  <c r="I76"/>
  <c r="F78"/>
  <c r="H78" s="1"/>
  <c r="H79"/>
  <c r="F80"/>
  <c r="H80" s="1"/>
  <c r="H81"/>
  <c r="F82"/>
  <c r="H82" s="1"/>
  <c r="H84"/>
  <c r="F61"/>
  <c r="I61" s="1"/>
  <c r="F33"/>
  <c r="H33" s="1"/>
  <c r="F32"/>
  <c r="I32" s="1"/>
  <c r="F31"/>
  <c r="H31" s="1"/>
  <c r="F30"/>
  <c r="I30" s="1"/>
  <c r="F22"/>
  <c r="H22" s="1"/>
  <c r="H21"/>
  <c r="F21"/>
  <c r="I21" s="1"/>
  <c r="F20"/>
  <c r="H20" s="1"/>
  <c r="F19"/>
  <c r="I19" s="1"/>
  <c r="E18"/>
  <c r="F18" s="1"/>
  <c r="I17"/>
  <c r="F17"/>
  <c r="H17" s="1"/>
  <c r="F16"/>
  <c r="I16" s="1"/>
  <c r="I47" i="24"/>
  <c r="I48"/>
  <c r="F48"/>
  <c r="F47"/>
  <c r="H96"/>
  <c r="F96"/>
  <c r="I96" s="1"/>
  <c r="E96"/>
  <c r="F95"/>
  <c r="H95" s="1"/>
  <c r="F60"/>
  <c r="I60" s="1"/>
  <c r="F93"/>
  <c r="I93" s="1"/>
  <c r="F71"/>
  <c r="F52"/>
  <c r="F51"/>
  <c r="F49"/>
  <c r="F46"/>
  <c r="F45"/>
  <c r="F44"/>
  <c r="F43"/>
  <c r="I32"/>
  <c r="F32"/>
  <c r="H32" s="1"/>
  <c r="H31"/>
  <c r="F31"/>
  <c r="I31" s="1"/>
  <c r="F30"/>
  <c r="H30" s="1"/>
  <c r="F29"/>
  <c r="H29" s="1"/>
  <c r="F22"/>
  <c r="I22" s="1"/>
  <c r="F21"/>
  <c r="H21" s="1"/>
  <c r="F20"/>
  <c r="H20" s="1"/>
  <c r="F19"/>
  <c r="H19" s="1"/>
  <c r="E18"/>
  <c r="F18" s="1"/>
  <c r="F17"/>
  <c r="H17" s="1"/>
  <c r="I16"/>
  <c r="H16"/>
  <c r="F16"/>
  <c r="H19" i="26" l="1"/>
  <c r="I22"/>
  <c r="I21"/>
  <c r="H16"/>
  <c r="I18"/>
  <c r="I20"/>
  <c r="H16" i="25"/>
  <c r="H32"/>
  <c r="H19"/>
  <c r="H30"/>
  <c r="I86"/>
  <c r="I22"/>
  <c r="I74"/>
  <c r="I33"/>
  <c r="I31"/>
  <c r="H18"/>
  <c r="I18"/>
  <c r="I20"/>
  <c r="H22" i="24"/>
  <c r="I29"/>
  <c r="I95"/>
  <c r="H93"/>
  <c r="I30"/>
  <c r="I19"/>
  <c r="I17"/>
  <c r="I21"/>
  <c r="I18"/>
  <c r="H18"/>
  <c r="I20"/>
  <c r="I88" i="23" l="1"/>
  <c r="I92"/>
  <c r="I91"/>
  <c r="I90"/>
  <c r="F90"/>
  <c r="I87"/>
  <c r="F87"/>
  <c r="H87" s="1"/>
  <c r="E87"/>
  <c r="I86"/>
  <c r="F86"/>
  <c r="H86" s="1"/>
  <c r="F74"/>
  <c r="H74" s="1"/>
  <c r="F61"/>
  <c r="I61" s="1"/>
  <c r="I33"/>
  <c r="F33"/>
  <c r="H33" s="1"/>
  <c r="I32"/>
  <c r="H32"/>
  <c r="F32"/>
  <c r="F31"/>
  <c r="H31" s="1"/>
  <c r="F30"/>
  <c r="H30" s="1"/>
  <c r="I26"/>
  <c r="H26"/>
  <c r="F25"/>
  <c r="H25" s="1"/>
  <c r="F24"/>
  <c r="H24" s="1"/>
  <c r="F23"/>
  <c r="H23" s="1"/>
  <c r="F22"/>
  <c r="I22" s="1"/>
  <c r="F21"/>
  <c r="H21" s="1"/>
  <c r="F20"/>
  <c r="H20" s="1"/>
  <c r="F19"/>
  <c r="H19" s="1"/>
  <c r="F18"/>
  <c r="I18" s="1"/>
  <c r="E18"/>
  <c r="F17"/>
  <c r="H17" s="1"/>
  <c r="F16"/>
  <c r="H16" s="1"/>
  <c r="I17" l="1"/>
  <c r="I74"/>
  <c r="H22"/>
  <c r="I30"/>
  <c r="I31"/>
  <c r="I23"/>
  <c r="I19"/>
  <c r="H18"/>
  <c r="I20"/>
  <c r="I25"/>
  <c r="I24"/>
  <c r="I16"/>
  <c r="I21"/>
  <c r="I108" i="22"/>
  <c r="I107"/>
  <c r="I106"/>
  <c r="I105"/>
  <c r="I99"/>
  <c r="I104"/>
  <c r="I102"/>
  <c r="H104"/>
  <c r="H103"/>
  <c r="H102"/>
  <c r="H101"/>
  <c r="I60"/>
  <c r="F60"/>
  <c r="E98"/>
  <c r="F98" s="1"/>
  <c r="I97"/>
  <c r="F97"/>
  <c r="H97" s="1"/>
  <c r="F73"/>
  <c r="H73" s="1"/>
  <c r="F32"/>
  <c r="H32" s="1"/>
  <c r="I31"/>
  <c r="H31"/>
  <c r="F31"/>
  <c r="F30"/>
  <c r="H30" s="1"/>
  <c r="I29"/>
  <c r="H29"/>
  <c r="F29"/>
  <c r="F25"/>
  <c r="F24"/>
  <c r="F23"/>
  <c r="F22"/>
  <c r="H22" s="1"/>
  <c r="H21"/>
  <c r="F21"/>
  <c r="I21" s="1"/>
  <c r="F20"/>
  <c r="H20" s="1"/>
  <c r="F19"/>
  <c r="I19" s="1"/>
  <c r="E18"/>
  <c r="F18" s="1"/>
  <c r="I17"/>
  <c r="H17"/>
  <c r="F17"/>
  <c r="F16"/>
  <c r="H16" s="1"/>
  <c r="I101" i="21"/>
  <c r="I97"/>
  <c r="I96"/>
  <c r="F93"/>
  <c r="I93" s="1"/>
  <c r="E92"/>
  <c r="F92" s="1"/>
  <c r="F91"/>
  <c r="I82"/>
  <c r="F82"/>
  <c r="F70"/>
  <c r="F69"/>
  <c r="F68"/>
  <c r="F67"/>
  <c r="F66"/>
  <c r="F65"/>
  <c r="F61"/>
  <c r="I61" s="1"/>
  <c r="F54"/>
  <c r="F53"/>
  <c r="F33"/>
  <c r="F32"/>
  <c r="F31"/>
  <c r="F30"/>
  <c r="F25"/>
  <c r="F24"/>
  <c r="F23"/>
  <c r="F22"/>
  <c r="I22" s="1"/>
  <c r="F21"/>
  <c r="I21" s="1"/>
  <c r="F20"/>
  <c r="I20" s="1"/>
  <c r="F19"/>
  <c r="E18"/>
  <c r="F18" s="1"/>
  <c r="I18" s="1"/>
  <c r="F17"/>
  <c r="F16"/>
  <c r="I100" i="20"/>
  <c r="I102" i="19"/>
  <c r="I101" i="18"/>
  <c r="I85"/>
  <c r="I58"/>
  <c r="I43"/>
  <c r="I38"/>
  <c r="I32" i="22" l="1"/>
  <c r="H98"/>
  <c r="I98"/>
  <c r="I73"/>
  <c r="I30"/>
  <c r="I16"/>
  <c r="I22"/>
  <c r="H19"/>
  <c r="H18"/>
  <c r="I18"/>
  <c r="I20"/>
  <c r="I102" i="17"/>
  <c r="I44"/>
  <c r="I39"/>
  <c r="I101" i="8" l="1"/>
  <c r="I58"/>
  <c r="I43"/>
  <c r="I38"/>
  <c r="I44" i="26"/>
  <c r="I19" i="21" l="1"/>
  <c r="I101" i="19" l="1"/>
  <c r="I101" i="17" l="1"/>
  <c r="I58"/>
  <c r="F27" i="27" l="1"/>
  <c r="H27" s="1"/>
  <c r="I26"/>
  <c r="H26"/>
  <c r="F25"/>
  <c r="I25" s="1"/>
  <c r="F24"/>
  <c r="H24" s="1"/>
  <c r="F23"/>
  <c r="I23" s="1"/>
  <c r="H23" l="1"/>
  <c r="H25"/>
  <c r="I24"/>
  <c r="I27"/>
  <c r="I39" i="26" l="1"/>
  <c r="F27"/>
  <c r="H27" s="1"/>
  <c r="I26"/>
  <c r="H26"/>
  <c r="F25"/>
  <c r="I25" s="1"/>
  <c r="F24"/>
  <c r="H24" s="1"/>
  <c r="F23"/>
  <c r="I23" s="1"/>
  <c r="F28"/>
  <c r="H28" s="1"/>
  <c r="I28" l="1"/>
  <c r="H25"/>
  <c r="H23"/>
  <c r="I24"/>
  <c r="I27"/>
  <c r="F27" i="25" l="1"/>
  <c r="H27" s="1"/>
  <c r="I26"/>
  <c r="H26"/>
  <c r="F25"/>
  <c r="I25" s="1"/>
  <c r="F24"/>
  <c r="H24" s="1"/>
  <c r="F23"/>
  <c r="I23" s="1"/>
  <c r="H23" l="1"/>
  <c r="H25"/>
  <c r="I24"/>
  <c r="I27"/>
  <c r="I58" i="23" l="1"/>
  <c r="F27"/>
  <c r="H27" s="1"/>
  <c r="I86" i="22"/>
  <c r="F27" i="21"/>
  <c r="H27" s="1"/>
  <c r="F27" i="20"/>
  <c r="H27" s="1"/>
  <c r="F27" i="19"/>
  <c r="H27" s="1"/>
  <c r="F27" i="18"/>
  <c r="H27" s="1"/>
  <c r="F27" i="17"/>
  <c r="H27" s="1"/>
  <c r="F27" i="8"/>
  <c r="I27" i="23" l="1"/>
  <c r="I27" i="21"/>
  <c r="I27" i="20"/>
  <c r="I27" i="19"/>
  <c r="I27" i="18"/>
  <c r="I27" i="17"/>
  <c r="I84" i="20"/>
  <c r="I85" i="17"/>
  <c r="I85" i="8"/>
  <c r="I70" i="26" l="1"/>
  <c r="I58" i="20" l="1"/>
  <c r="I99"/>
  <c r="I103" s="1"/>
  <c r="H99"/>
  <c r="I53" i="19"/>
  <c r="I100"/>
  <c r="I104" s="1"/>
  <c r="H100"/>
  <c r="I43"/>
  <c r="I100" i="18" l="1"/>
  <c r="I102" s="1"/>
  <c r="H100"/>
  <c r="I53"/>
  <c r="I100" i="17" l="1"/>
  <c r="I104" s="1"/>
  <c r="H100"/>
  <c r="I65"/>
  <c r="I100" i="8"/>
  <c r="I103" s="1"/>
  <c r="H100"/>
  <c r="H87" i="27" l="1"/>
  <c r="F85"/>
  <c r="H85" s="1"/>
  <c r="H84"/>
  <c r="F83"/>
  <c r="H83" s="1"/>
  <c r="H82"/>
  <c r="F81"/>
  <c r="H81" s="1"/>
  <c r="I79"/>
  <c r="H79"/>
  <c r="I77"/>
  <c r="F77"/>
  <c r="H77" s="1"/>
  <c r="F76"/>
  <c r="H76" s="1"/>
  <c r="F75"/>
  <c r="I75" s="1"/>
  <c r="F74"/>
  <c r="H74" s="1"/>
  <c r="F73"/>
  <c r="I73" s="1"/>
  <c r="F72"/>
  <c r="H72" s="1"/>
  <c r="H71"/>
  <c r="H70"/>
  <c r="F68"/>
  <c r="H68" s="1"/>
  <c r="F65"/>
  <c r="H65" s="1"/>
  <c r="H63"/>
  <c r="F61"/>
  <c r="H61" s="1"/>
  <c r="I58"/>
  <c r="F58"/>
  <c r="H58" s="1"/>
  <c r="I57"/>
  <c r="F57"/>
  <c r="H57" s="1"/>
  <c r="I56"/>
  <c r="H56"/>
  <c r="F55"/>
  <c r="I55" s="1"/>
  <c r="F54"/>
  <c r="H54" s="1"/>
  <c r="I53"/>
  <c r="I93" s="1"/>
  <c r="F52"/>
  <c r="H52" s="1"/>
  <c r="F51"/>
  <c r="I51" s="1"/>
  <c r="F50"/>
  <c r="H50" s="1"/>
  <c r="F49"/>
  <c r="I49" s="1"/>
  <c r="F48"/>
  <c r="H48" s="1"/>
  <c r="H37"/>
  <c r="H36"/>
  <c r="F35"/>
  <c r="I35" s="1"/>
  <c r="E35"/>
  <c r="F34"/>
  <c r="I34" s="1"/>
  <c r="F33"/>
  <c r="H33" s="1"/>
  <c r="F32"/>
  <c r="I32" s="1"/>
  <c r="F31"/>
  <c r="H31" s="1"/>
  <c r="F28"/>
  <c r="I28" s="1"/>
  <c r="H89" i="26"/>
  <c r="F87"/>
  <c r="H87" s="1"/>
  <c r="H86"/>
  <c r="F85"/>
  <c r="H85" s="1"/>
  <c r="H84"/>
  <c r="F83"/>
  <c r="H83" s="1"/>
  <c r="I81"/>
  <c r="H81"/>
  <c r="I77"/>
  <c r="F77"/>
  <c r="H77" s="1"/>
  <c r="F76"/>
  <c r="H76" s="1"/>
  <c r="F75"/>
  <c r="I75" s="1"/>
  <c r="F74"/>
  <c r="H74" s="1"/>
  <c r="F73"/>
  <c r="I73" s="1"/>
  <c r="F72"/>
  <c r="H72" s="1"/>
  <c r="H71"/>
  <c r="H70"/>
  <c r="F68"/>
  <c r="H68" s="1"/>
  <c r="F65"/>
  <c r="H65" s="1"/>
  <c r="H63"/>
  <c r="H61"/>
  <c r="I58"/>
  <c r="H58"/>
  <c r="I57"/>
  <c r="H57"/>
  <c r="I56"/>
  <c r="H56"/>
  <c r="F55"/>
  <c r="I55" s="1"/>
  <c r="F54"/>
  <c r="H54" s="1"/>
  <c r="F53"/>
  <c r="I53" s="1"/>
  <c r="F52"/>
  <c r="H52" s="1"/>
  <c r="F51"/>
  <c r="I51" s="1"/>
  <c r="F50"/>
  <c r="H50" s="1"/>
  <c r="F49"/>
  <c r="I49" s="1"/>
  <c r="F48"/>
  <c r="H48" s="1"/>
  <c r="H44"/>
  <c r="I43"/>
  <c r="H42"/>
  <c r="I41"/>
  <c r="H40"/>
  <c r="H39"/>
  <c r="H37"/>
  <c r="H36"/>
  <c r="F35"/>
  <c r="I35" s="1"/>
  <c r="E35"/>
  <c r="F34"/>
  <c r="I34" s="1"/>
  <c r="F33"/>
  <c r="H33" s="1"/>
  <c r="F32"/>
  <c r="I32" s="1"/>
  <c r="F31"/>
  <c r="H31" s="1"/>
  <c r="H35" l="1"/>
  <c r="H75" i="27"/>
  <c r="H73"/>
  <c r="H28"/>
  <c r="I31"/>
  <c r="H32"/>
  <c r="I33"/>
  <c r="H34"/>
  <c r="H35"/>
  <c r="I48"/>
  <c r="H49"/>
  <c r="I50"/>
  <c r="H51"/>
  <c r="I52"/>
  <c r="H53"/>
  <c r="I54"/>
  <c r="H55"/>
  <c r="I61"/>
  <c r="I72"/>
  <c r="I74"/>
  <c r="I76"/>
  <c r="H73" i="26"/>
  <c r="H75"/>
  <c r="H32"/>
  <c r="H34"/>
  <c r="H43"/>
  <c r="H41"/>
  <c r="I31"/>
  <c r="I33"/>
  <c r="I40"/>
  <c r="I42"/>
  <c r="I48"/>
  <c r="H49"/>
  <c r="I50"/>
  <c r="H51"/>
  <c r="I52"/>
  <c r="H53"/>
  <c r="I54"/>
  <c r="H55"/>
  <c r="I72"/>
  <c r="I74"/>
  <c r="I76"/>
  <c r="I101" l="1"/>
  <c r="I98" i="27"/>
  <c r="I72" i="25" l="1"/>
  <c r="F72"/>
  <c r="H72" s="1"/>
  <c r="F71"/>
  <c r="H71" s="1"/>
  <c r="F70"/>
  <c r="I70" s="1"/>
  <c r="F69"/>
  <c r="H69" s="1"/>
  <c r="F68"/>
  <c r="I68" s="1"/>
  <c r="F67"/>
  <c r="H67" s="1"/>
  <c r="H66"/>
  <c r="H65"/>
  <c r="F63"/>
  <c r="H63" s="1"/>
  <c r="F60"/>
  <c r="H60" s="1"/>
  <c r="H58"/>
  <c r="F57"/>
  <c r="H57" s="1"/>
  <c r="I54"/>
  <c r="F54"/>
  <c r="H54" s="1"/>
  <c r="I53"/>
  <c r="F53"/>
  <c r="H53" s="1"/>
  <c r="I52"/>
  <c r="H52"/>
  <c r="F51"/>
  <c r="I51" s="1"/>
  <c r="F50"/>
  <c r="H50" s="1"/>
  <c r="F49"/>
  <c r="I49" s="1"/>
  <c r="F48"/>
  <c r="H48" s="1"/>
  <c r="F47"/>
  <c r="I47" s="1"/>
  <c r="F46"/>
  <c r="H46" s="1"/>
  <c r="F45"/>
  <c r="I45" s="1"/>
  <c r="F44"/>
  <c r="H44" s="1"/>
  <c r="I42"/>
  <c r="H42"/>
  <c r="F41"/>
  <c r="I41" s="1"/>
  <c r="F40"/>
  <c r="H40" s="1"/>
  <c r="F39"/>
  <c r="I39" s="1"/>
  <c r="F38"/>
  <c r="H38" s="1"/>
  <c r="I37"/>
  <c r="H37"/>
  <c r="H35"/>
  <c r="H34"/>
  <c r="I86" i="24"/>
  <c r="I71"/>
  <c r="F92"/>
  <c r="H92" s="1"/>
  <c r="F91"/>
  <c r="H91" s="1"/>
  <c r="F90"/>
  <c r="H90" s="1"/>
  <c r="F89"/>
  <c r="H89" s="1"/>
  <c r="F88"/>
  <c r="H88" s="1"/>
  <c r="F87"/>
  <c r="H87" s="1"/>
  <c r="F86"/>
  <c r="H86" s="1"/>
  <c r="I85"/>
  <c r="F85"/>
  <c r="H85" s="1"/>
  <c r="F84"/>
  <c r="H84" s="1"/>
  <c r="F83"/>
  <c r="H83" s="1"/>
  <c r="H81"/>
  <c r="F79"/>
  <c r="H79" s="1"/>
  <c r="H78"/>
  <c r="F77"/>
  <c r="H77" s="1"/>
  <c r="H76"/>
  <c r="F75"/>
  <c r="H75" s="1"/>
  <c r="I73"/>
  <c r="H73"/>
  <c r="H71"/>
  <c r="F70"/>
  <c r="H70" s="1"/>
  <c r="F69"/>
  <c r="I69" s="1"/>
  <c r="F68"/>
  <c r="H68" s="1"/>
  <c r="F67"/>
  <c r="I67" s="1"/>
  <c r="F66"/>
  <c r="H66" s="1"/>
  <c r="H65"/>
  <c r="H64"/>
  <c r="F62"/>
  <c r="H62" s="1"/>
  <c r="F59"/>
  <c r="H59" s="1"/>
  <c r="H57"/>
  <c r="F56"/>
  <c r="H56" s="1"/>
  <c r="I53"/>
  <c r="F53"/>
  <c r="H53" s="1"/>
  <c r="I52"/>
  <c r="H52"/>
  <c r="I51"/>
  <c r="H51"/>
  <c r="I50"/>
  <c r="H49"/>
  <c r="H47"/>
  <c r="I46"/>
  <c r="H45"/>
  <c r="I44"/>
  <c r="H43"/>
  <c r="I41"/>
  <c r="H41"/>
  <c r="F40"/>
  <c r="I40" s="1"/>
  <c r="F39"/>
  <c r="H39" s="1"/>
  <c r="F38"/>
  <c r="I38" s="1"/>
  <c r="F37"/>
  <c r="H37" s="1"/>
  <c r="I36"/>
  <c r="H36"/>
  <c r="H34"/>
  <c r="H33"/>
  <c r="I26"/>
  <c r="H26"/>
  <c r="F25"/>
  <c r="I25" s="1"/>
  <c r="F24"/>
  <c r="H24" s="1"/>
  <c r="F23"/>
  <c r="I23" s="1"/>
  <c r="H84" i="23"/>
  <c r="F82"/>
  <c r="H82" s="1"/>
  <c r="H81"/>
  <c r="F80"/>
  <c r="H80" s="1"/>
  <c r="H79"/>
  <c r="F78"/>
  <c r="H78" s="1"/>
  <c r="I76"/>
  <c r="H76"/>
  <c r="F72"/>
  <c r="H72" s="1"/>
  <c r="F71"/>
  <c r="H71" s="1"/>
  <c r="F70"/>
  <c r="I70" s="1"/>
  <c r="F69"/>
  <c r="H69" s="1"/>
  <c r="F68"/>
  <c r="I68" s="1"/>
  <c r="F67"/>
  <c r="H67" s="1"/>
  <c r="H66"/>
  <c r="H65"/>
  <c r="F63"/>
  <c r="H63" s="1"/>
  <c r="F60"/>
  <c r="H60" s="1"/>
  <c r="H58"/>
  <c r="F57"/>
  <c r="H57" s="1"/>
  <c r="I54"/>
  <c r="F54"/>
  <c r="H54" s="1"/>
  <c r="I53"/>
  <c r="F53"/>
  <c r="H53" s="1"/>
  <c r="I52"/>
  <c r="H52"/>
  <c r="F51"/>
  <c r="I51" s="1"/>
  <c r="F50"/>
  <c r="H50" s="1"/>
  <c r="F49"/>
  <c r="I49" s="1"/>
  <c r="F48"/>
  <c r="I48" s="1"/>
  <c r="F47"/>
  <c r="I47" s="1"/>
  <c r="F46"/>
  <c r="I46" s="1"/>
  <c r="F45"/>
  <c r="I45" s="1"/>
  <c r="F44"/>
  <c r="I44" s="1"/>
  <c r="I42"/>
  <c r="H42"/>
  <c r="F41"/>
  <c r="I41" s="1"/>
  <c r="F40"/>
  <c r="H40" s="1"/>
  <c r="F39"/>
  <c r="I39" s="1"/>
  <c r="F38"/>
  <c r="H38" s="1"/>
  <c r="I37"/>
  <c r="H37"/>
  <c r="H35"/>
  <c r="H34"/>
  <c r="F95" i="22"/>
  <c r="I95" s="1"/>
  <c r="F94"/>
  <c r="H94" s="1"/>
  <c r="F93"/>
  <c r="H93" s="1"/>
  <c r="F92"/>
  <c r="H92" s="1"/>
  <c r="F91"/>
  <c r="H91" s="1"/>
  <c r="F90"/>
  <c r="H90" s="1"/>
  <c r="F89"/>
  <c r="H89" s="1"/>
  <c r="F88"/>
  <c r="H88" s="1"/>
  <c r="I87"/>
  <c r="F87"/>
  <c r="H87" s="1"/>
  <c r="F86"/>
  <c r="H86" s="1"/>
  <c r="F85"/>
  <c r="H85" s="1"/>
  <c r="H83"/>
  <c r="F81"/>
  <c r="H81" s="1"/>
  <c r="H80"/>
  <c r="F79"/>
  <c r="H79" s="1"/>
  <c r="H78"/>
  <c r="F77"/>
  <c r="H77" s="1"/>
  <c r="I75"/>
  <c r="H75"/>
  <c r="F71"/>
  <c r="H71" s="1"/>
  <c r="F70"/>
  <c r="H70" s="1"/>
  <c r="F69"/>
  <c r="I69" s="1"/>
  <c r="F68"/>
  <c r="H68" s="1"/>
  <c r="F67"/>
  <c r="I67" s="1"/>
  <c r="F66"/>
  <c r="H66" s="1"/>
  <c r="H65"/>
  <c r="H64"/>
  <c r="F62"/>
  <c r="H62" s="1"/>
  <c r="F59"/>
  <c r="H59" s="1"/>
  <c r="H57"/>
  <c r="F56"/>
  <c r="H56" s="1"/>
  <c r="I53"/>
  <c r="F53"/>
  <c r="H53" s="1"/>
  <c r="I52"/>
  <c r="F52"/>
  <c r="H52" s="1"/>
  <c r="I51"/>
  <c r="H51"/>
  <c r="F50"/>
  <c r="I50" s="1"/>
  <c r="F49"/>
  <c r="H49" s="1"/>
  <c r="F48"/>
  <c r="I48" s="1"/>
  <c r="F47"/>
  <c r="H47" s="1"/>
  <c r="F46"/>
  <c r="I46" s="1"/>
  <c r="F45"/>
  <c r="H45" s="1"/>
  <c r="F44"/>
  <c r="I44" s="1"/>
  <c r="F43"/>
  <c r="H43" s="1"/>
  <c r="I41"/>
  <c r="H41"/>
  <c r="F40"/>
  <c r="I40" s="1"/>
  <c r="F39"/>
  <c r="H39" s="1"/>
  <c r="F38"/>
  <c r="I38" s="1"/>
  <c r="F37"/>
  <c r="H37" s="1"/>
  <c r="I36"/>
  <c r="H36"/>
  <c r="H34"/>
  <c r="H33"/>
  <c r="I26"/>
  <c r="H26"/>
  <c r="I25"/>
  <c r="H24"/>
  <c r="I23"/>
  <c r="I92" i="21"/>
  <c r="H91"/>
  <c r="F89"/>
  <c r="I89" s="1"/>
  <c r="F88"/>
  <c r="H88" s="1"/>
  <c r="F87"/>
  <c r="H87" s="1"/>
  <c r="F86"/>
  <c r="H86" s="1"/>
  <c r="F85"/>
  <c r="H85" s="1"/>
  <c r="F84"/>
  <c r="H84" s="1"/>
  <c r="F83"/>
  <c r="H83" s="1"/>
  <c r="H82"/>
  <c r="H80"/>
  <c r="F78"/>
  <c r="H78" s="1"/>
  <c r="H77"/>
  <c r="F76"/>
  <c r="H76" s="1"/>
  <c r="H75"/>
  <c r="F74"/>
  <c r="H74" s="1"/>
  <c r="I72"/>
  <c r="H72"/>
  <c r="I69"/>
  <c r="H68"/>
  <c r="I67"/>
  <c r="H66"/>
  <c r="I65"/>
  <c r="H64"/>
  <c r="H63"/>
  <c r="F60"/>
  <c r="H60" s="1"/>
  <c r="H58"/>
  <c r="F57"/>
  <c r="I57" s="1"/>
  <c r="I54"/>
  <c r="H54"/>
  <c r="I53"/>
  <c r="H53"/>
  <c r="I52"/>
  <c r="H52"/>
  <c r="F51"/>
  <c r="H51" s="1"/>
  <c r="F50"/>
  <c r="I50" s="1"/>
  <c r="F49"/>
  <c r="H49" s="1"/>
  <c r="F48"/>
  <c r="I48" s="1"/>
  <c r="F47"/>
  <c r="H47" s="1"/>
  <c r="F46"/>
  <c r="I46" s="1"/>
  <c r="F45"/>
  <c r="H45" s="1"/>
  <c r="F44"/>
  <c r="I44" s="1"/>
  <c r="I42"/>
  <c r="H42"/>
  <c r="F41"/>
  <c r="H41" s="1"/>
  <c r="F40"/>
  <c r="I40" s="1"/>
  <c r="F39"/>
  <c r="H39" s="1"/>
  <c r="F38"/>
  <c r="I38" s="1"/>
  <c r="I37"/>
  <c r="H37"/>
  <c r="H35"/>
  <c r="H34"/>
  <c r="H33"/>
  <c r="I32"/>
  <c r="H31"/>
  <c r="I30"/>
  <c r="I26"/>
  <c r="H26"/>
  <c r="I25"/>
  <c r="I24"/>
  <c r="H23"/>
  <c r="H21"/>
  <c r="H19"/>
  <c r="I17"/>
  <c r="H16"/>
  <c r="I52" i="20"/>
  <c r="I26"/>
  <c r="F96"/>
  <c r="I96" s="1"/>
  <c r="F95"/>
  <c r="H95" s="1"/>
  <c r="F93"/>
  <c r="H93" s="1"/>
  <c r="F92"/>
  <c r="H92" s="1"/>
  <c r="F91"/>
  <c r="H91" s="1"/>
  <c r="F90"/>
  <c r="H90" s="1"/>
  <c r="F89"/>
  <c r="H89" s="1"/>
  <c r="F88"/>
  <c r="H88" s="1"/>
  <c r="F87"/>
  <c r="H87" s="1"/>
  <c r="F86"/>
  <c r="H86" s="1"/>
  <c r="F85"/>
  <c r="H85" s="1"/>
  <c r="F84"/>
  <c r="H84" s="1"/>
  <c r="F83"/>
  <c r="H83" s="1"/>
  <c r="H81"/>
  <c r="F79"/>
  <c r="H79" s="1"/>
  <c r="H78"/>
  <c r="F77"/>
  <c r="H77" s="1"/>
  <c r="H76"/>
  <c r="F75"/>
  <c r="H75" s="1"/>
  <c r="I73"/>
  <c r="H73"/>
  <c r="F71"/>
  <c r="H71" s="1"/>
  <c r="F70"/>
  <c r="H70" s="1"/>
  <c r="F69"/>
  <c r="H69" s="1"/>
  <c r="F68"/>
  <c r="H68" s="1"/>
  <c r="F67"/>
  <c r="H67" s="1"/>
  <c r="F66"/>
  <c r="H66" s="1"/>
  <c r="H65"/>
  <c r="H64"/>
  <c r="F62"/>
  <c r="H62" s="1"/>
  <c r="F60"/>
  <c r="H60" s="1"/>
  <c r="H58"/>
  <c r="F57"/>
  <c r="I57" s="1"/>
  <c r="I54"/>
  <c r="F54"/>
  <c r="H54" s="1"/>
  <c r="I53"/>
  <c r="F53"/>
  <c r="H53" s="1"/>
  <c r="H52"/>
  <c r="F51"/>
  <c r="H51" s="1"/>
  <c r="F50"/>
  <c r="H50" s="1"/>
  <c r="H49"/>
  <c r="F49"/>
  <c r="I49" s="1"/>
  <c r="F48"/>
  <c r="I48" s="1"/>
  <c r="F47"/>
  <c r="I47" s="1"/>
  <c r="F46"/>
  <c r="I46" s="1"/>
  <c r="F45"/>
  <c r="I45" s="1"/>
  <c r="F44"/>
  <c r="I44" s="1"/>
  <c r="I42"/>
  <c r="H42"/>
  <c r="F41"/>
  <c r="H41" s="1"/>
  <c r="F40"/>
  <c r="I40" s="1"/>
  <c r="F39"/>
  <c r="H39" s="1"/>
  <c r="F38"/>
  <c r="I38" s="1"/>
  <c r="I37"/>
  <c r="H37"/>
  <c r="H35"/>
  <c r="H34"/>
  <c r="F33"/>
  <c r="H33" s="1"/>
  <c r="F32"/>
  <c r="I32" s="1"/>
  <c r="F31"/>
  <c r="H31" s="1"/>
  <c r="F30"/>
  <c r="I30" s="1"/>
  <c r="H26"/>
  <c r="F25"/>
  <c r="H25" s="1"/>
  <c r="F24"/>
  <c r="H24" s="1"/>
  <c r="F23"/>
  <c r="H23" s="1"/>
  <c r="F22"/>
  <c r="H22" s="1"/>
  <c r="F21"/>
  <c r="H21" s="1"/>
  <c r="F20"/>
  <c r="H20" s="1"/>
  <c r="F19"/>
  <c r="E18"/>
  <c r="F18" s="1"/>
  <c r="F17"/>
  <c r="I17" s="1"/>
  <c r="F16"/>
  <c r="H16" s="1"/>
  <c r="I97" i="24" l="1"/>
  <c r="H48" i="23"/>
  <c r="H68"/>
  <c r="H44"/>
  <c r="H46"/>
  <c r="H70"/>
  <c r="H48" i="20"/>
  <c r="H96"/>
  <c r="H19"/>
  <c r="I19"/>
  <c r="H70" i="21"/>
  <c r="I70"/>
  <c r="I38" i="25"/>
  <c r="H39"/>
  <c r="I40"/>
  <c r="H41"/>
  <c r="I44"/>
  <c r="H45"/>
  <c r="I46"/>
  <c r="H47"/>
  <c r="I48"/>
  <c r="H49"/>
  <c r="I50"/>
  <c r="H51"/>
  <c r="I57"/>
  <c r="I67"/>
  <c r="H68"/>
  <c r="I69"/>
  <c r="H70"/>
  <c r="I71"/>
  <c r="H67" i="24"/>
  <c r="H69"/>
  <c r="H23"/>
  <c r="I24"/>
  <c r="H25"/>
  <c r="I37"/>
  <c r="H38"/>
  <c r="I39"/>
  <c r="H40"/>
  <c r="I43"/>
  <c r="H44"/>
  <c r="I45"/>
  <c r="H46"/>
  <c r="H48"/>
  <c r="I49"/>
  <c r="H50"/>
  <c r="I56"/>
  <c r="I66"/>
  <c r="I68"/>
  <c r="I70"/>
  <c r="I38" i="23"/>
  <c r="H39"/>
  <c r="I40"/>
  <c r="H41"/>
  <c r="H45"/>
  <c r="H47"/>
  <c r="H49"/>
  <c r="I50"/>
  <c r="H51"/>
  <c r="I57"/>
  <c r="I67"/>
  <c r="I69"/>
  <c r="I71"/>
  <c r="H95" i="22"/>
  <c r="H23"/>
  <c r="I24"/>
  <c r="H25"/>
  <c r="I37"/>
  <c r="H38"/>
  <c r="I39"/>
  <c r="H40"/>
  <c r="I43"/>
  <c r="H44"/>
  <c r="I45"/>
  <c r="H46"/>
  <c r="I47"/>
  <c r="H48"/>
  <c r="I49"/>
  <c r="H50"/>
  <c r="I56"/>
  <c r="I66"/>
  <c r="H67"/>
  <c r="I68"/>
  <c r="H69"/>
  <c r="I70"/>
  <c r="H92" i="21"/>
  <c r="H89"/>
  <c r="H25"/>
  <c r="H18"/>
  <c r="I16"/>
  <c r="H17"/>
  <c r="H20"/>
  <c r="H22"/>
  <c r="I23"/>
  <c r="H24"/>
  <c r="H30"/>
  <c r="I31"/>
  <c r="H32"/>
  <c r="I33"/>
  <c r="H38"/>
  <c r="I39"/>
  <c r="H40"/>
  <c r="I41"/>
  <c r="H44"/>
  <c r="I45"/>
  <c r="H46"/>
  <c r="I47"/>
  <c r="H48"/>
  <c r="I49"/>
  <c r="H50"/>
  <c r="I51"/>
  <c r="H57"/>
  <c r="H65"/>
  <c r="I66"/>
  <c r="H67"/>
  <c r="I68"/>
  <c r="H69"/>
  <c r="I91"/>
  <c r="I94" s="1"/>
  <c r="H30" i="20"/>
  <c r="H44"/>
  <c r="H45"/>
  <c r="H46"/>
  <c r="H47"/>
  <c r="I21"/>
  <c r="I23"/>
  <c r="I25"/>
  <c r="I66"/>
  <c r="I69"/>
  <c r="I67"/>
  <c r="H17"/>
  <c r="H38"/>
  <c r="I22"/>
  <c r="I20"/>
  <c r="I24"/>
  <c r="I50"/>
  <c r="I51"/>
  <c r="I70"/>
  <c r="I68"/>
  <c r="I93"/>
  <c r="H40"/>
  <c r="H32"/>
  <c r="I18"/>
  <c r="H18"/>
  <c r="I16"/>
  <c r="I31"/>
  <c r="I33"/>
  <c r="I39"/>
  <c r="I41"/>
  <c r="H57"/>
  <c r="I95"/>
  <c r="I97" s="1"/>
  <c r="I110" i="22" l="1"/>
  <c r="I103" i="21"/>
  <c r="I103" i="24"/>
  <c r="I94" i="23"/>
  <c r="I105" i="20"/>
  <c r="I95" i="25"/>
  <c r="F97" i="19" l="1"/>
  <c r="I97" s="1"/>
  <c r="F96"/>
  <c r="H96" s="1"/>
  <c r="F94"/>
  <c r="H94" s="1"/>
  <c r="F93"/>
  <c r="H93" s="1"/>
  <c r="F92"/>
  <c r="H92" s="1"/>
  <c r="F91"/>
  <c r="H91" s="1"/>
  <c r="F90"/>
  <c r="H90" s="1"/>
  <c r="F89"/>
  <c r="H89" s="1"/>
  <c r="F88"/>
  <c r="H88" s="1"/>
  <c r="F87"/>
  <c r="H87" s="1"/>
  <c r="F86"/>
  <c r="H86" s="1"/>
  <c r="F85"/>
  <c r="H85" s="1"/>
  <c r="F84"/>
  <c r="H84" s="1"/>
  <c r="H82"/>
  <c r="F80"/>
  <c r="H80" s="1"/>
  <c r="H79"/>
  <c r="F78"/>
  <c r="H78" s="1"/>
  <c r="H77"/>
  <c r="F76"/>
  <c r="H76" s="1"/>
  <c r="I74"/>
  <c r="H74"/>
  <c r="F72"/>
  <c r="H72" s="1"/>
  <c r="F71"/>
  <c r="H71" s="1"/>
  <c r="F70"/>
  <c r="H70" s="1"/>
  <c r="F69"/>
  <c r="H69" s="1"/>
  <c r="F68"/>
  <c r="H68" s="1"/>
  <c r="F67"/>
  <c r="H67" s="1"/>
  <c r="H66"/>
  <c r="H65"/>
  <c r="F63"/>
  <c r="H63" s="1"/>
  <c r="F61"/>
  <c r="H61" s="1"/>
  <c r="H59"/>
  <c r="F58"/>
  <c r="I58" s="1"/>
  <c r="I55"/>
  <c r="F55"/>
  <c r="H55" s="1"/>
  <c r="I54"/>
  <c r="F54"/>
  <c r="H54" s="1"/>
  <c r="H53"/>
  <c r="F52"/>
  <c r="F51"/>
  <c r="F50"/>
  <c r="I50" s="1"/>
  <c r="F49"/>
  <c r="H49" s="1"/>
  <c r="F48"/>
  <c r="H48" s="1"/>
  <c r="F47"/>
  <c r="H47" s="1"/>
  <c r="F46"/>
  <c r="H46" s="1"/>
  <c r="F45"/>
  <c r="H45" s="1"/>
  <c r="H43"/>
  <c r="F42"/>
  <c r="F41"/>
  <c r="I41" s="1"/>
  <c r="F40"/>
  <c r="H40" s="1"/>
  <c r="F39"/>
  <c r="I39" s="1"/>
  <c r="I38"/>
  <c r="H38"/>
  <c r="H36"/>
  <c r="H35"/>
  <c r="F34"/>
  <c r="H34" s="1"/>
  <c r="E34"/>
  <c r="F33"/>
  <c r="H33" s="1"/>
  <c r="F32"/>
  <c r="I32" s="1"/>
  <c r="F31"/>
  <c r="H31" s="1"/>
  <c r="F30"/>
  <c r="I30" s="1"/>
  <c r="H26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F97" i="18"/>
  <c r="I97" s="1"/>
  <c r="F96"/>
  <c r="H96" s="1"/>
  <c r="F94"/>
  <c r="H94" s="1"/>
  <c r="F93"/>
  <c r="H93" s="1"/>
  <c r="F92"/>
  <c r="H92" s="1"/>
  <c r="F91"/>
  <c r="H91" s="1"/>
  <c r="F90"/>
  <c r="H90" s="1"/>
  <c r="F89"/>
  <c r="H89" s="1"/>
  <c r="F88"/>
  <c r="H88" s="1"/>
  <c r="F87"/>
  <c r="H87" s="1"/>
  <c r="F86"/>
  <c r="H86" s="1"/>
  <c r="F85"/>
  <c r="H85" s="1"/>
  <c r="F84"/>
  <c r="H84" s="1"/>
  <c r="H82"/>
  <c r="F80"/>
  <c r="H80" s="1"/>
  <c r="H79"/>
  <c r="F78"/>
  <c r="H78" s="1"/>
  <c r="H77"/>
  <c r="F76"/>
  <c r="H76" s="1"/>
  <c r="I74"/>
  <c r="H74"/>
  <c r="F72"/>
  <c r="H72" s="1"/>
  <c r="F71"/>
  <c r="H71" s="1"/>
  <c r="F70"/>
  <c r="H70" s="1"/>
  <c r="F69"/>
  <c r="H69" s="1"/>
  <c r="F68"/>
  <c r="H68" s="1"/>
  <c r="F67"/>
  <c r="H67" s="1"/>
  <c r="H66"/>
  <c r="H65"/>
  <c r="F63"/>
  <c r="H63" s="1"/>
  <c r="F61"/>
  <c r="H59"/>
  <c r="F58"/>
  <c r="I55"/>
  <c r="F55"/>
  <c r="H55" s="1"/>
  <c r="I54"/>
  <c r="F54"/>
  <c r="H54" s="1"/>
  <c r="H53"/>
  <c r="F52"/>
  <c r="F51"/>
  <c r="F50"/>
  <c r="I50" s="1"/>
  <c r="F49"/>
  <c r="H49" s="1"/>
  <c r="F48"/>
  <c r="H48" s="1"/>
  <c r="F47"/>
  <c r="H47" s="1"/>
  <c r="F46"/>
  <c r="H46" s="1"/>
  <c r="F45"/>
  <c r="H45" s="1"/>
  <c r="H43"/>
  <c r="F42"/>
  <c r="I42" s="1"/>
  <c r="F41"/>
  <c r="I41" s="1"/>
  <c r="F40"/>
  <c r="H40" s="1"/>
  <c r="F39"/>
  <c r="I39" s="1"/>
  <c r="H38"/>
  <c r="H36"/>
  <c r="H35"/>
  <c r="F34"/>
  <c r="H34" s="1"/>
  <c r="E34"/>
  <c r="F33"/>
  <c r="H33" s="1"/>
  <c r="F32"/>
  <c r="I32" s="1"/>
  <c r="F31"/>
  <c r="H31" s="1"/>
  <c r="F30"/>
  <c r="I30" s="1"/>
  <c r="H26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74" i="17"/>
  <c r="F97"/>
  <c r="I97" s="1"/>
  <c r="F96"/>
  <c r="H96" s="1"/>
  <c r="F94"/>
  <c r="H94" s="1"/>
  <c r="F93"/>
  <c r="H93" s="1"/>
  <c r="F92"/>
  <c r="H92" s="1"/>
  <c r="F91"/>
  <c r="H91" s="1"/>
  <c r="F90"/>
  <c r="H90" s="1"/>
  <c r="F89"/>
  <c r="H89" s="1"/>
  <c r="F88"/>
  <c r="H88" s="1"/>
  <c r="F87"/>
  <c r="H87" s="1"/>
  <c r="F86"/>
  <c r="H86" s="1"/>
  <c r="F85"/>
  <c r="H85" s="1"/>
  <c r="F84"/>
  <c r="H84" s="1"/>
  <c r="H82"/>
  <c r="F80"/>
  <c r="H80" s="1"/>
  <c r="H79"/>
  <c r="F78"/>
  <c r="H78" s="1"/>
  <c r="H77"/>
  <c r="F76"/>
  <c r="H76" s="1"/>
  <c r="H74"/>
  <c r="F72"/>
  <c r="H72" s="1"/>
  <c r="F71"/>
  <c r="H71" s="1"/>
  <c r="F70"/>
  <c r="H70" s="1"/>
  <c r="F69"/>
  <c r="H69" s="1"/>
  <c r="F68"/>
  <c r="H68" s="1"/>
  <c r="F67"/>
  <c r="H67" s="1"/>
  <c r="H66"/>
  <c r="H65"/>
  <c r="F63"/>
  <c r="H63" s="1"/>
  <c r="F61"/>
  <c r="H61" s="1"/>
  <c r="H59"/>
  <c r="F58"/>
  <c r="H58" s="1"/>
  <c r="I56"/>
  <c r="F56"/>
  <c r="H56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H44"/>
  <c r="F43"/>
  <c r="I43" s="1"/>
  <c r="F42"/>
  <c r="H42" s="1"/>
  <c r="F41"/>
  <c r="I41" s="1"/>
  <c r="F40"/>
  <c r="I40" s="1"/>
  <c r="H39"/>
  <c r="H37"/>
  <c r="H36"/>
  <c r="F35"/>
  <c r="I35" s="1"/>
  <c r="E35"/>
  <c r="F34"/>
  <c r="I34" s="1"/>
  <c r="F33"/>
  <c r="H33" s="1"/>
  <c r="F32"/>
  <c r="I32" s="1"/>
  <c r="F31"/>
  <c r="H31" s="1"/>
  <c r="F28"/>
  <c r="I28" s="1"/>
  <c r="H26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H17" s="1"/>
  <c r="F16"/>
  <c r="I16" s="1"/>
  <c r="F97" i="8"/>
  <c r="H97" s="1"/>
  <c r="F96"/>
  <c r="H96" s="1"/>
  <c r="F94"/>
  <c r="H94" s="1"/>
  <c r="F93"/>
  <c r="H93" s="1"/>
  <c r="F92"/>
  <c r="H92" s="1"/>
  <c r="F91"/>
  <c r="H91" s="1"/>
  <c r="F90"/>
  <c r="H90" s="1"/>
  <c r="F89"/>
  <c r="H89" s="1"/>
  <c r="F88"/>
  <c r="H88" s="1"/>
  <c r="F87"/>
  <c r="H87" s="1"/>
  <c r="F86"/>
  <c r="H86" s="1"/>
  <c r="F85"/>
  <c r="H85" s="1"/>
  <c r="F84"/>
  <c r="H84" s="1"/>
  <c r="H82"/>
  <c r="F80"/>
  <c r="H80" s="1"/>
  <c r="H79"/>
  <c r="F78"/>
  <c r="H78" s="1"/>
  <c r="H77"/>
  <c r="F76"/>
  <c r="H76" s="1"/>
  <c r="H74"/>
  <c r="F72"/>
  <c r="H72" s="1"/>
  <c r="F71"/>
  <c r="H71" s="1"/>
  <c r="F70"/>
  <c r="H70" s="1"/>
  <c r="F69"/>
  <c r="H69" s="1"/>
  <c r="F68"/>
  <c r="H68" s="1"/>
  <c r="F67"/>
  <c r="H67" s="1"/>
  <c r="H66"/>
  <c r="H65"/>
  <c r="F63"/>
  <c r="H63" s="1"/>
  <c r="F61"/>
  <c r="H61" s="1"/>
  <c r="H59"/>
  <c r="F58"/>
  <c r="I55"/>
  <c r="F55"/>
  <c r="H55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F45"/>
  <c r="H45" s="1"/>
  <c r="H43"/>
  <c r="F42"/>
  <c r="I42" s="1"/>
  <c r="F41"/>
  <c r="I41" s="1"/>
  <c r="F40"/>
  <c r="H40" s="1"/>
  <c r="F39"/>
  <c r="I39" s="1"/>
  <c r="H38"/>
  <c r="H36"/>
  <c r="H35"/>
  <c r="F34"/>
  <c r="H34" s="1"/>
  <c r="E34"/>
  <c r="F33"/>
  <c r="H33" s="1"/>
  <c r="F32"/>
  <c r="H32" s="1"/>
  <c r="F31"/>
  <c r="H31" s="1"/>
  <c r="F30"/>
  <c r="H30" s="1"/>
  <c r="H27"/>
  <c r="H26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H61" i="18" l="1"/>
  <c r="I61"/>
  <c r="H52" i="19"/>
  <c r="I52"/>
  <c r="H30"/>
  <c r="H51"/>
  <c r="I51"/>
  <c r="H42" i="18"/>
  <c r="H97"/>
  <c r="H39" i="8"/>
  <c r="H42"/>
  <c r="H17" i="19"/>
  <c r="H39"/>
  <c r="H32"/>
  <c r="H41"/>
  <c r="H50"/>
  <c r="H58"/>
  <c r="H42"/>
  <c r="I42"/>
  <c r="H52" i="18"/>
  <c r="I52"/>
  <c r="H51"/>
  <c r="I51"/>
  <c r="H40" i="17"/>
  <c r="I18" i="19"/>
  <c r="H18"/>
  <c r="I16"/>
  <c r="I31"/>
  <c r="I33"/>
  <c r="I34"/>
  <c r="I40"/>
  <c r="I96"/>
  <c r="I98" s="1"/>
  <c r="H97"/>
  <c r="I18" i="18"/>
  <c r="H18"/>
  <c r="I16"/>
  <c r="H17"/>
  <c r="H30"/>
  <c r="I31"/>
  <c r="H32"/>
  <c r="I33"/>
  <c r="I34"/>
  <c r="H39"/>
  <c r="I40"/>
  <c r="H41"/>
  <c r="H50"/>
  <c r="H58"/>
  <c r="I96"/>
  <c r="I98" s="1"/>
  <c r="H18" i="17"/>
  <c r="I18"/>
  <c r="H16"/>
  <c r="I17"/>
  <c r="H28"/>
  <c r="I31"/>
  <c r="H32"/>
  <c r="I33"/>
  <c r="H34"/>
  <c r="H35"/>
  <c r="H41"/>
  <c r="I42"/>
  <c r="H43"/>
  <c r="I51"/>
  <c r="I96"/>
  <c r="I98" s="1"/>
  <c r="H97"/>
  <c r="I34" i="8"/>
  <c r="H17"/>
  <c r="H41"/>
  <c r="H50"/>
  <c r="H58"/>
  <c r="I97"/>
  <c r="I96"/>
  <c r="I40"/>
  <c r="I30"/>
  <c r="I33"/>
  <c r="I32"/>
  <c r="I31"/>
  <c r="I27"/>
  <c r="I18"/>
  <c r="H18"/>
  <c r="I16"/>
  <c r="I98" l="1"/>
  <c r="I106" i="17"/>
  <c r="I104" i="18"/>
  <c r="I106" i="19"/>
  <c r="I105" i="8" l="1"/>
</calcChain>
</file>

<file path=xl/sharedStrings.xml><?xml version="1.0" encoding="utf-8"?>
<sst xmlns="http://schemas.openxmlformats.org/spreadsheetml/2006/main" count="2951" uniqueCount="287">
  <si>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</si>
  <si>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</si>
  <si>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</si>
  <si>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</si>
  <si>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</si>
  <si>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</si>
  <si>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</si>
  <si>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</si>
  <si>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</si>
  <si>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</si>
  <si>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</si>
  <si>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</si>
  <si>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</si>
  <si>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</si>
  <si>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</si>
  <si>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</si>
  <si>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</si>
  <si>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</si>
  <si>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</si>
  <si>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</si>
  <si>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</si>
  <si>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</si>
  <si>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</si>
  <si>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</si>
  <si>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</si>
  <si>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Механизированная уборка дворовой территории</t>
  </si>
  <si>
    <t>Летняя уборка</t>
  </si>
  <si>
    <t>1000 м2</t>
  </si>
  <si>
    <t>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</si>
  <si>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</si>
  <si>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</si>
  <si>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</si>
  <si>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</si>
  <si>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</si>
  <si>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</si>
  <si>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</si>
  <si>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</si>
  <si>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</si>
  <si>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</si>
  <si>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</si>
  <si>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</si>
  <si>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</si>
  <si>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</si>
  <si>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</si>
  <si>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</si>
  <si>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</si>
  <si>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</si>
  <si>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</si>
  <si>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</si>
  <si>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</si>
  <si>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</si>
  <si>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</si>
  <si>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</si>
  <si>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</si>
  <si>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</si>
  <si>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</si>
  <si>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</si>
  <si>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</si>
  <si>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</si>
  <si>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</si>
  <si>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</si>
  <si>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</si>
  <si>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</si>
  <si>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</si>
  <si>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Сдвигание снега в дни снегопада </t>
  </si>
  <si>
    <t xml:space="preserve">Подметание снега с тротуара, крылец, конт. площадок 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</si>
  <si>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</si>
  <si>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</si>
  <si>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</si>
  <si>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</si>
  <si>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</si>
  <si>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</si>
  <si>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</si>
  <si>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</si>
  <si>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</si>
  <si>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</si>
  <si>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</si>
  <si>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1 м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</si>
  <si>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</si>
  <si>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II. Уборка земельного участка</t>
  </si>
  <si>
    <t xml:space="preserve">ежедневно </t>
  </si>
  <si>
    <t>Влажное подметание лестничных клеток 1 этажа</t>
  </si>
  <si>
    <t>100м2</t>
  </si>
  <si>
    <t>Мытье лестничных  площадок и маршей 1-5 этаж.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</si>
  <si>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</si>
  <si>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</si>
  <si>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</si>
  <si>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</si>
  <si>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</si>
  <si>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</si>
  <si>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</si>
  <si>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</si>
  <si>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</si>
  <si>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1000м2</t>
  </si>
  <si>
    <t>52 раза в сезон</t>
  </si>
  <si>
    <t>Подметание территории с усовершенствованным покрытием асф.: крыльца, контейнерн. пл., проезд, тротуар</t>
  </si>
  <si>
    <t>78 раз за сезон</t>
  </si>
  <si>
    <t>Уборка контейнерной площадки (16 кв.м.)</t>
  </si>
  <si>
    <t>30 раз за сезон</t>
  </si>
  <si>
    <t>155 раз за сезон</t>
  </si>
  <si>
    <t>35 раз за сезон</t>
  </si>
  <si>
    <t xml:space="preserve">Пескопосыпка территории: крыльца и тротуары </t>
  </si>
  <si>
    <t>20 раз за сезон</t>
  </si>
  <si>
    <t>Осмотр шиферной кровли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</si>
  <si>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</si>
  <si>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</si>
  <si>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шт</t>
  </si>
  <si>
    <t xml:space="preserve">6 раз за сезон </t>
  </si>
  <si>
    <t>Работа автовышки</t>
  </si>
  <si>
    <t>100м3</t>
  </si>
  <si>
    <t>1000м3</t>
  </si>
  <si>
    <t>Вода для промывки СО</t>
  </si>
  <si>
    <t>Техническое обслуживание наружных газопроводов</t>
  </si>
  <si>
    <t>ТО внутридомового газ.оборудования</t>
  </si>
  <si>
    <t>1 шт.</t>
  </si>
  <si>
    <t>Стоимость светодиодного светильника</t>
  </si>
  <si>
    <t>руб.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</si>
  <si>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</si>
  <si>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</si>
  <si>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№1 по ул.Нефтяников пгт.Ярега
</t>
  </si>
  <si>
    <t>Влажное подметание лестничных клеток 2-3 этажа</t>
  </si>
  <si>
    <t xml:space="preserve">1 раз в год  </t>
  </si>
  <si>
    <t>Влажная протирка шкафов для щитов и слаботочн. устройств</t>
  </si>
  <si>
    <t>Очистка урн от мусора</t>
  </si>
  <si>
    <t xml:space="preserve">Проверка дымоходов </t>
  </si>
  <si>
    <t>Лестничная клетка</t>
  </si>
  <si>
    <t>Установка пружин на входных дверях</t>
  </si>
  <si>
    <t>Смена светодиодных светильников</t>
  </si>
  <si>
    <t>Замена ламп ДРЛ</t>
  </si>
  <si>
    <t>Водоснабжение, канализация</t>
  </si>
  <si>
    <t>Зачеканка раструбов канализационных труб диаметром до 100 мм</t>
  </si>
  <si>
    <t>1 шт</t>
  </si>
  <si>
    <t>Очистка канализационной сети внутренней</t>
  </si>
  <si>
    <t>Прочистка засоров ХВС</t>
  </si>
  <si>
    <t>3 м</t>
  </si>
  <si>
    <t>Водоотлив с подвала электрическими (механическими) насосами (100 м3 воды)</t>
  </si>
  <si>
    <t>10 м3</t>
  </si>
  <si>
    <t>Смена внутренних трубопроводов из чугунных канализ.труб диаметром до 50 мм (без стоимости креплений)</t>
  </si>
  <si>
    <t>Смена внутренних трубопроводов из чугунных канализ.труб диаметром до 100 мм (без стоимости креплений)</t>
  </si>
  <si>
    <t>Смена полиэтиленовыхлизационных труб диаметром до 50 мм (без стоимости креплений)</t>
  </si>
  <si>
    <t>Смена полиэтиленовыхлизационных труб диаметром до 100 мм (без стоимости креплений)</t>
  </si>
  <si>
    <t>Ремонт вентильных кранов д=40 со снятием с места</t>
  </si>
  <si>
    <t>Смена внутренних трубопроводов из стальных труб диаметром до 50 мм (бес стоимости креплений)</t>
  </si>
  <si>
    <t>Осмотр водопровода, канализации</t>
  </si>
  <si>
    <r>
      <t>1.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ул.Нефтяников, д.1</t>
    </r>
  </si>
  <si>
    <t>АКТ №1</t>
  </si>
  <si>
    <t>III. Проведение технических осмотров</t>
  </si>
  <si>
    <t>IV. Содержание общего имущества МКД</t>
  </si>
  <si>
    <t>V. Прочие услуги</t>
  </si>
  <si>
    <t>Уборка газонов, грунта сильной загрязненности</t>
  </si>
  <si>
    <t>Уборка газонов, грунта</t>
  </si>
  <si>
    <t>5 раз в год</t>
  </si>
  <si>
    <t>Очистка края кровли от слежавшегося снега со сбрасыванием сосулек (10% от S кровли, козырьки над подъездами)</t>
  </si>
  <si>
    <t>маш.-час</t>
  </si>
  <si>
    <t>Очистка чердака, подвала от мусора</t>
  </si>
  <si>
    <t>Спуск воды после промывки СО в канализацию</t>
  </si>
  <si>
    <t>1м2</t>
  </si>
  <si>
    <t>Итого затраты за месяц</t>
  </si>
  <si>
    <t>АКТ №2</t>
  </si>
  <si>
    <t>АКТ №3</t>
  </si>
  <si>
    <t>III. Содержание общего имущества МКД</t>
  </si>
  <si>
    <t>IV. Прочие услуги</t>
  </si>
  <si>
    <t>АКТ №4</t>
  </si>
  <si>
    <t>АКТ №5</t>
  </si>
  <si>
    <t>АКТ №6</t>
  </si>
  <si>
    <t>АКТ №7</t>
  </si>
  <si>
    <t>III. Прочие услуги</t>
  </si>
  <si>
    <t>АКТ №8</t>
  </si>
  <si>
    <t>АКТ №9</t>
  </si>
  <si>
    <t>АКТ №10</t>
  </si>
  <si>
    <t>АКТ №11</t>
  </si>
  <si>
    <t>АКТ №12</t>
  </si>
  <si>
    <t>Дератизация</t>
  </si>
  <si>
    <t>м2</t>
  </si>
  <si>
    <t>ООО «Движение»</t>
  </si>
  <si>
    <t>Очистка от снега люков водопроводных и канализационных колодцев</t>
  </si>
  <si>
    <t>м</t>
  </si>
  <si>
    <t>Организация и содержание мест накопления ТКО</t>
  </si>
  <si>
    <t>13 раз</t>
  </si>
  <si>
    <t>8 раз</t>
  </si>
  <si>
    <t>2 раза</t>
  </si>
  <si>
    <t>21 раз</t>
  </si>
  <si>
    <t xml:space="preserve">1 раз      </t>
  </si>
  <si>
    <t xml:space="preserve">1 раз </t>
  </si>
  <si>
    <t>1 раз</t>
  </si>
  <si>
    <t xml:space="preserve">1 раз  </t>
  </si>
  <si>
    <t xml:space="preserve">1 раз   </t>
  </si>
  <si>
    <t>25 раз</t>
  </si>
  <si>
    <t>5 раз</t>
  </si>
  <si>
    <t>3 раза</t>
  </si>
  <si>
    <t>1 маш-час</t>
  </si>
  <si>
    <t>Внеплановая проверка вентканалов</t>
  </si>
  <si>
    <t>Внеплановая проверка дымоходов</t>
  </si>
  <si>
    <t>Осмотр электросетей, армазуры и электрооборудования на лестничных клетках</t>
  </si>
  <si>
    <r>
      <t xml:space="preserve">    Собственники помещений в многоквартирном доме, расположенном по адресу:  пгт.Ярега, ул.Нефтяников, д.1,  именуемые в дальнейшем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11.04.2016г. стороны,  и ООО «Движение», именуемое в дальнейшем "Исполнитель",  в лице генерального директора Кочановой Ирины Леонидовны,  действующего на основании Устава,  с другой стороны,  совместно именуемые "Стороны", составили настоящий Акт о нижеследующем:</t>
    </r>
  </si>
  <si>
    <t>генеральный директор Кочанова И.Л.</t>
  </si>
  <si>
    <t>за период с 01.01.2021 г. по 31.01.2021 г.</t>
  </si>
  <si>
    <t>21,25,26,28 янв</t>
  </si>
  <si>
    <t>2. Всего за период с 01.01.2021 по 31.01.2021 выполнено работ (оказано услуг) на общую сумму: 34052,78 руб.</t>
  </si>
  <si>
    <t>(тридцать четыре тысячи пятьдесят два рубля 78 копеек)</t>
  </si>
  <si>
    <t>за период с 01.02.2021 г. по 28.02.2021 г.</t>
  </si>
  <si>
    <t>1,3 ч (1,3,5 февр)</t>
  </si>
  <si>
    <t>Очистка оголовков от наледи</t>
  </si>
  <si>
    <t>кв.8</t>
  </si>
  <si>
    <t>2. Всего за период с 01.02.2021 по 28.02.2021 выполнено работ (оказано услуг) на общую сумму: 24418,55 руб.</t>
  </si>
  <si>
    <t>(двадцать четыре тысячи четыреста восемнадцать рублей 55 копеек)</t>
  </si>
  <si>
    <t>за период с 01.03.2021 г. по 31.03.2021 г.</t>
  </si>
  <si>
    <t>2,16,31  марта</t>
  </si>
  <si>
    <t>11 марта</t>
  </si>
  <si>
    <t>2. Всего за период с 01.03.2021 по 31.03.2021 выполнено работ (оказано услуг) на общую сумму: 27401,76 руб.</t>
  </si>
  <si>
    <t>(двадцать семь тысяч четыреста один рубль 76 копеек)</t>
  </si>
  <si>
    <t>за период с 01.04.2021 г. по 30.04.2021 г.</t>
  </si>
  <si>
    <t>Восстановление "шахты" после работ ВДИС</t>
  </si>
  <si>
    <t>2. Всего за период с 01.04.2021 по 30.04.2021 выполнено работ (оказано услуг) на общую сумму: 19961,68 руб.</t>
  </si>
  <si>
    <t>(девятнадцать тысяч девятьсот шестьдесят один рубль 68 копеек )</t>
  </si>
  <si>
    <t>за период с 01.05.2021 г. по 31.05.2021 г.</t>
  </si>
  <si>
    <t>Подборка мусора, налетевшего с контейнерной площдки</t>
  </si>
  <si>
    <t>2. Всего за период с 01.05.2021 по 31.05.2021 выполнено работ (оказано услуг) на общую сумму: 28835,85 руб.</t>
  </si>
  <si>
    <t>(двадцать восемь тысяч восемьсот тридцать пять рублей 85 копеек)</t>
  </si>
  <si>
    <t>за период с 01.06.2021 г. по 30.06.2021 г.</t>
  </si>
  <si>
    <r>
      <t xml:space="preserve">    Собственники помещений в многоквартирном доме, расположенном по адресу:  пгт.Ярега, ул.Нефтяников, д.1,  именуемые в дальнейшем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03.06.2021г. стороны,  и ООО «Движение», именуемое в дальнейшем "Исполнитель",  в лице генерального директора Кочановой Ирины Леонидовны,  действующего на основании Устава,  с другой стороны,  совместно именуемые "Стороны", составили настоящий Акт о нижеследующем:</t>
    </r>
  </si>
  <si>
    <t>Подметание территории с усовершенствованным покрытием асф.: крыльца,тротуар</t>
  </si>
  <si>
    <t>4 раза</t>
  </si>
  <si>
    <t>12 раз</t>
  </si>
  <si>
    <t>26 раз</t>
  </si>
  <si>
    <t>Техническое обслуживание внутренних сетей водопровода и канализации</t>
  </si>
  <si>
    <t>руб/м2 в мес.</t>
  </si>
  <si>
    <t>Работы по ведению технической и отчетной документации, сбору и начислению платежей, взыскание задолжностей</t>
  </si>
  <si>
    <t>Работы по проведению одного общего собрания собственников МКД</t>
  </si>
  <si>
    <t>Смена отдельных участков внутренней проводки</t>
  </si>
  <si>
    <t>Демонтаж доски с кровли</t>
  </si>
  <si>
    <t>10 м2</t>
  </si>
  <si>
    <t>2. Всего за период с 01.06.2021 по 30.06.2021 выполнено работ (оказано услуг) на общую сумму 117135,57 руб.</t>
  </si>
  <si>
    <t>(сто семнадцать тысяч сто тридцать пять рублей 57 копеек)</t>
  </si>
  <si>
    <t>за период с 01.07.2021 г. по 31.07.2021 г.</t>
  </si>
  <si>
    <t xml:space="preserve">1 раз     </t>
  </si>
  <si>
    <t>Ремонт групповых щитков на лестничных клетках с заменой автоматов в под. № 1,2,3</t>
  </si>
  <si>
    <t>руб</t>
  </si>
  <si>
    <t>Работа ротенбергера</t>
  </si>
  <si>
    <t>час</t>
  </si>
  <si>
    <t>8 м</t>
  </si>
  <si>
    <t xml:space="preserve">Смена внутренних трубопроводов из  труб диаметром до 15 мм </t>
  </si>
  <si>
    <t>Подключение и отключение электрооборудования</t>
  </si>
  <si>
    <t>Смена автомата на ток до 25А</t>
  </si>
  <si>
    <t>2. Всего за период с 01.07.2021 по 31.07.2021 выполнено работ (оказано услуг) на общую сумму: 53553,71 руб.</t>
  </si>
  <si>
    <t>(пятьдесят три тысячи пятьсот пятьдесят три рубля 71 копейка)</t>
  </si>
  <si>
    <t>кв.1</t>
  </si>
  <si>
    <t>кв.13 с/о-1 м</t>
  </si>
  <si>
    <t>за период с 01.08.2021 г. по 31.08.2021 г.</t>
  </si>
  <si>
    <t>Нумерация подъездов и квартир</t>
  </si>
  <si>
    <t>2. Всего за период с 01.08.2021 по 31.08.2021 выполнено работ (оказано услуг) на общую сумму: 36813,18 руб.</t>
  </si>
  <si>
    <t>(тридцать шесть тысяч восемьсот тринадцать рублей 18 копеек)</t>
  </si>
  <si>
    <t>за период с 01.09.2021 г. по 30.09.2021 г.</t>
  </si>
  <si>
    <t>за период с 01.10.2021 г. по 31.10.2021 г.</t>
  </si>
  <si>
    <t>Смена внутренних трубопроводов на полипропиленовые трубы 25 Dу 20</t>
  </si>
  <si>
    <t>Подборка мусора, налетевшего с контейнерной площадки</t>
  </si>
  <si>
    <t>Установка хомута диаметром до 50 мм</t>
  </si>
  <si>
    <t>место</t>
  </si>
  <si>
    <t>3 м ХВС тамбур под.№3</t>
  </si>
  <si>
    <t>1 шт. ХВС тамбур под.№3</t>
  </si>
  <si>
    <t>2. Всего за период с 01.10.2021 по 31.10.2021 выполнено работ (оказано услуг) на общую сумму: 41002,05 руб.</t>
  </si>
  <si>
    <t>( сорок одна тысяча два рубля 05 копеек)</t>
  </si>
  <si>
    <t>Установка уличных светильников над под. №1,2,3</t>
  </si>
  <si>
    <t>2. Всего за период с 01.09.2021 по 30.09.2021 выполнено работ (оказано услуг) на общую сумму: 63120,09 руб.</t>
  </si>
  <si>
    <t>(шестьдесят три тысячи сто двадцать рублей 09 копеек)</t>
  </si>
  <si>
    <t>за период с 01.11.2021 г. по 30.11.2021 г.</t>
  </si>
  <si>
    <r>
      <t xml:space="preserve">    Собственники помещений в многоквартирном доме, расположенном по адресу:  пгт.Ярега, ул.Нефтяников, д.1,  именуемые в дальнейшем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03.06.2021г. стороны,  и ООО «Движение», именуемое в дальнейшем "Исполнитель",  в лице генерального директора Кочановой  Ирины Леонидовны,  действующего на основании Устава,  с другой стороны,  совместно именуемые "Стороны", составили настоящий Акт о нижеследующем:</t>
    </r>
  </si>
  <si>
    <t>Подметание снега с тротуара, крылец</t>
  </si>
  <si>
    <t>Очистка территории 1-го класса с усовершенствованным покрытием под скребок: вх.площадки</t>
  </si>
  <si>
    <t>24 раза за сезон</t>
  </si>
  <si>
    <t>Очистка вручную от снега и наледи люков водопроводных и канализационных колодцев</t>
  </si>
  <si>
    <t>22,30 ноября</t>
  </si>
  <si>
    <t>Осмотр и очистка оголовков дымоходов и вентканалов от наледи и снега</t>
  </si>
  <si>
    <t>по мере необходимости</t>
  </si>
  <si>
    <t xml:space="preserve">2 раза </t>
  </si>
  <si>
    <t>Ремонт штукатурки внутренних стен по камню и бетону цементно-известковым раствором площадью до 10 м2 толщиной слоя до 20 мм</t>
  </si>
  <si>
    <t>Закрытие продухов</t>
  </si>
  <si>
    <t xml:space="preserve">Осмотр водопроводов, канализации, отопления </t>
  </si>
  <si>
    <t>100 шт</t>
  </si>
  <si>
    <t>1,2,3 под.1,5 м2</t>
  </si>
  <si>
    <t>2. Всего за период с 01.11.2021 по 30.11.2021 выполнено работ (оказано услуг) на общую сумму: 53124,29 руб.</t>
  </si>
  <si>
    <t>(пятьдесят три тысячи сто двадцать четыре рубля 29 копеек)</t>
  </si>
  <si>
    <t>за период с 01.12.2021 г. по 31.12.2021 г.</t>
  </si>
  <si>
    <t>16,30 декабря</t>
  </si>
  <si>
    <t>2. Всего за период с 01.12.2021 по 31.12.2021 выполнено работ (оказано услуг) на общую сумму: 40082,24 руб.</t>
  </si>
  <si>
    <t>(сорок тысяч восемьдесят два рубля 24 копейки)</t>
  </si>
  <si>
    <t>2 м</t>
  </si>
</sst>
</file>

<file path=xl/styles.xml><?xml version="1.0" encoding="utf-8"?>
<styleSheet xmlns="http://schemas.openxmlformats.org/spreadsheetml/2006/main">
  <numFmts count="1">
    <numFmt numFmtId="164" formatCode="#,##0.000"/>
  </numFmts>
  <fonts count="2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.5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90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2" fontId="11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/>
    <xf numFmtId="0" fontId="14" fillId="0" borderId="3" xfId="0" applyFont="1" applyFill="1" applyBorder="1"/>
    <xf numFmtId="4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4" fontId="11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/>
    </xf>
    <xf numFmtId="4" fontId="17" fillId="0" borderId="8" xfId="0" applyNumberFormat="1" applyFont="1" applyFill="1" applyBorder="1" applyAlignment="1">
      <alignment horizontal="center" vertical="center" wrapText="1"/>
    </xf>
    <xf numFmtId="4" fontId="17" fillId="0" borderId="3" xfId="0" applyNumberFormat="1" applyFont="1" applyFill="1" applyBorder="1" applyAlignment="1">
      <alignment horizontal="center" vertical="center" wrapText="1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4" fontId="11" fillId="0" borderId="18" xfId="0" applyNumberFormat="1" applyFont="1" applyFill="1" applyBorder="1" applyAlignment="1">
      <alignment horizontal="center" vertical="center"/>
    </xf>
    <xf numFmtId="4" fontId="20" fillId="2" borderId="3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>
      <alignment horizontal="center" wrapText="1"/>
    </xf>
    <xf numFmtId="2" fontId="11" fillId="0" borderId="3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center" wrapText="1"/>
    </xf>
    <xf numFmtId="4" fontId="17" fillId="2" borderId="8" xfId="0" applyNumberFormat="1" applyFont="1" applyFill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/>
    </xf>
    <xf numFmtId="14" fontId="11" fillId="0" borderId="8" xfId="0" applyNumberFormat="1" applyFont="1" applyFill="1" applyBorder="1" applyAlignment="1">
      <alignment horizontal="left" vertical="center" wrapText="1"/>
    </xf>
    <xf numFmtId="164" fontId="11" fillId="2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left" vertical="center" wrapText="1"/>
    </xf>
    <xf numFmtId="0" fontId="20" fillId="2" borderId="8" xfId="0" applyFont="1" applyFill="1" applyBorder="1" applyAlignment="1">
      <alignment horizontal="center" vertical="center"/>
    </xf>
    <xf numFmtId="4" fontId="20" fillId="2" borderId="8" xfId="0" applyNumberFormat="1" applyFont="1" applyFill="1" applyBorder="1" applyAlignment="1">
      <alignment horizontal="center" vertical="center" wrapText="1"/>
    </xf>
    <xf numFmtId="4" fontId="20" fillId="2" borderId="8" xfId="0" applyNumberFormat="1" applyFont="1" applyFill="1" applyBorder="1" applyAlignment="1">
      <alignment horizontal="center" vertical="center"/>
    </xf>
    <xf numFmtId="4" fontId="20" fillId="2" borderId="14" xfId="0" applyNumberFormat="1" applyFont="1" applyFill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 wrapText="1"/>
    </xf>
    <xf numFmtId="14" fontId="11" fillId="2" borderId="8" xfId="0" applyNumberFormat="1" applyFont="1" applyFill="1" applyBorder="1" applyAlignment="1">
      <alignment horizontal="left" vertical="center" wrapText="1"/>
    </xf>
    <xf numFmtId="4" fontId="11" fillId="3" borderId="3" xfId="0" applyNumberFormat="1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center" vertical="center"/>
    </xf>
    <xf numFmtId="4" fontId="20" fillId="2" borderId="3" xfId="0" applyNumberFormat="1" applyFont="1" applyFill="1" applyBorder="1" applyAlignment="1">
      <alignment horizontal="center" vertical="center" wrapText="1"/>
    </xf>
    <xf numFmtId="4" fontId="11" fillId="2" borderId="13" xfId="0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left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4" fontId="11" fillId="2" borderId="0" xfId="0" applyNumberFormat="1" applyFont="1" applyFill="1" applyBorder="1" applyAlignment="1">
      <alignment horizontal="center" vertical="center" wrapText="1"/>
    </xf>
    <xf numFmtId="4" fontId="11" fillId="2" borderId="14" xfId="0" applyNumberFormat="1" applyFont="1" applyFill="1" applyBorder="1" applyAlignment="1">
      <alignment horizontal="center" vertical="center" wrapText="1"/>
    </xf>
    <xf numFmtId="4" fontId="20" fillId="2" borderId="0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wrapText="1"/>
    </xf>
    <xf numFmtId="0" fontId="14" fillId="0" borderId="5" xfId="0" applyFont="1" applyBorder="1" applyAlignment="1">
      <alignment horizontal="center" vertical="center"/>
    </xf>
    <xf numFmtId="4" fontId="11" fillId="0" borderId="4" xfId="0" applyNumberFormat="1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center" vertical="center"/>
    </xf>
    <xf numFmtId="4" fontId="11" fillId="3" borderId="8" xfId="0" applyNumberFormat="1" applyFont="1" applyFill="1" applyBorder="1" applyAlignment="1">
      <alignment horizontal="center" vertical="center"/>
    </xf>
    <xf numFmtId="4" fontId="11" fillId="3" borderId="8" xfId="0" applyNumberFormat="1" applyFont="1" applyFill="1" applyBorder="1" applyAlignment="1">
      <alignment horizontal="center" vertical="center" wrapText="1"/>
    </xf>
    <xf numFmtId="4" fontId="11" fillId="2" borderId="0" xfId="0" applyNumberFormat="1" applyFont="1" applyFill="1" applyBorder="1" applyAlignment="1">
      <alignment horizontal="center" vertical="center"/>
    </xf>
    <xf numFmtId="4" fontId="17" fillId="2" borderId="3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/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4" fillId="0" borderId="1" xfId="0" applyFont="1" applyBorder="1" applyAlignment="1">
      <alignment wrapText="1"/>
    </xf>
    <xf numFmtId="0" fontId="13" fillId="0" borderId="3" xfId="0" applyFont="1" applyFill="1" applyBorder="1" applyAlignment="1">
      <alignment horizontal="center" wrapText="1"/>
    </xf>
    <xf numFmtId="2" fontId="11" fillId="0" borderId="4" xfId="0" applyNumberFormat="1" applyFont="1" applyFill="1" applyBorder="1" applyAlignment="1">
      <alignment horizont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26"/>
  <sheetViews>
    <sheetView topLeftCell="A58" workbookViewId="0">
      <selection activeCell="B101" sqref="B101:I10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2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174</v>
      </c>
      <c r="I1" s="30"/>
      <c r="J1" s="1"/>
      <c r="K1" s="1"/>
      <c r="L1" s="1"/>
      <c r="M1" s="1"/>
    </row>
    <row r="2" spans="1:13" ht="15.75" customHeight="1">
      <c r="A2" s="32" t="s">
        <v>59</v>
      </c>
      <c r="J2" s="2"/>
      <c r="K2" s="2"/>
      <c r="L2" s="2"/>
      <c r="M2" s="2"/>
    </row>
    <row r="3" spans="1:13" ht="15.75" customHeight="1">
      <c r="A3" s="174" t="s">
        <v>145</v>
      </c>
      <c r="B3" s="174"/>
      <c r="C3" s="174"/>
      <c r="D3" s="174"/>
      <c r="E3" s="174"/>
      <c r="F3" s="174"/>
      <c r="G3" s="174"/>
      <c r="H3" s="174"/>
      <c r="I3" s="174"/>
      <c r="J3" s="3"/>
      <c r="K3" s="3"/>
      <c r="L3" s="3"/>
    </row>
    <row r="4" spans="1:13" ht="31.5" customHeight="1">
      <c r="A4" s="175" t="s">
        <v>119</v>
      </c>
      <c r="B4" s="175"/>
      <c r="C4" s="175"/>
      <c r="D4" s="175"/>
      <c r="E4" s="175"/>
      <c r="F4" s="175"/>
      <c r="G4" s="175"/>
      <c r="H4" s="175"/>
      <c r="I4" s="175"/>
    </row>
    <row r="5" spans="1:13" ht="15.75" customHeight="1">
      <c r="A5" s="174" t="s">
        <v>196</v>
      </c>
      <c r="B5" s="178"/>
      <c r="C5" s="178"/>
      <c r="D5" s="178"/>
      <c r="E5" s="178"/>
      <c r="F5" s="178"/>
      <c r="G5" s="178"/>
      <c r="H5" s="178"/>
      <c r="I5" s="178"/>
      <c r="J5" s="2"/>
      <c r="K5" s="2"/>
      <c r="L5" s="2"/>
      <c r="M5" s="2"/>
    </row>
    <row r="6" spans="1:13" ht="15.75" customHeight="1">
      <c r="A6" s="2"/>
      <c r="B6" s="64"/>
      <c r="C6" s="64"/>
      <c r="D6" s="64"/>
      <c r="E6" s="64"/>
      <c r="F6" s="75"/>
      <c r="G6" s="64"/>
      <c r="H6" s="75"/>
      <c r="I6" s="34">
        <v>44227</v>
      </c>
      <c r="J6" s="2"/>
      <c r="K6" s="2"/>
      <c r="L6" s="2"/>
      <c r="M6" s="2"/>
    </row>
    <row r="7" spans="1:13" ht="15.75" customHeight="1">
      <c r="B7" s="61"/>
      <c r="C7" s="61"/>
      <c r="D7" s="6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76" t="s">
        <v>194</v>
      </c>
      <c r="B8" s="176"/>
      <c r="C8" s="176"/>
      <c r="D8" s="176"/>
      <c r="E8" s="176"/>
      <c r="F8" s="176"/>
      <c r="G8" s="176"/>
      <c r="H8" s="176"/>
      <c r="I8" s="17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77" t="s">
        <v>144</v>
      </c>
      <c r="B10" s="177"/>
      <c r="C10" s="177"/>
      <c r="D10" s="177"/>
      <c r="E10" s="177"/>
      <c r="F10" s="177"/>
      <c r="G10" s="177"/>
      <c r="H10" s="177"/>
      <c r="I10" s="177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79" t="s">
        <v>56</v>
      </c>
      <c r="B14" s="179"/>
      <c r="C14" s="179"/>
      <c r="D14" s="179"/>
      <c r="E14" s="179"/>
      <c r="F14" s="179"/>
      <c r="G14" s="179"/>
      <c r="H14" s="179"/>
      <c r="I14" s="179"/>
      <c r="J14" s="8"/>
      <c r="K14" s="8"/>
      <c r="L14" s="8"/>
      <c r="M14" s="8"/>
    </row>
    <row r="15" spans="1:13" ht="15.75" customHeight="1">
      <c r="A15" s="180" t="s">
        <v>4</v>
      </c>
      <c r="B15" s="180"/>
      <c r="C15" s="180"/>
      <c r="D15" s="180"/>
      <c r="E15" s="180"/>
      <c r="F15" s="180"/>
      <c r="G15" s="180"/>
      <c r="H15" s="180"/>
      <c r="I15" s="180"/>
      <c r="J15" s="8"/>
      <c r="K15" s="8"/>
      <c r="L15" s="8"/>
      <c r="M15" s="8"/>
    </row>
    <row r="16" spans="1:13" ht="15.75" customHeight="1">
      <c r="A16" s="33">
        <v>1</v>
      </c>
      <c r="B16" s="89" t="s">
        <v>81</v>
      </c>
      <c r="C16" s="90" t="s">
        <v>82</v>
      </c>
      <c r="D16" s="89" t="s">
        <v>178</v>
      </c>
      <c r="E16" s="91">
        <v>53.8</v>
      </c>
      <c r="F16" s="92">
        <f>SUM(E16*156/100)</f>
        <v>83.927999999999997</v>
      </c>
      <c r="G16" s="92">
        <v>218.21</v>
      </c>
      <c r="H16" s="93">
        <f t="shared" ref="H16:H26" si="0">SUM(F16*G16/1000)</f>
        <v>18.313928879999999</v>
      </c>
      <c r="I16" s="13">
        <f>F16/12*G16</f>
        <v>1526.16074</v>
      </c>
      <c r="J16" s="8"/>
      <c r="K16" s="8"/>
      <c r="L16" s="8"/>
      <c r="M16" s="8"/>
    </row>
    <row r="17" spans="1:13" ht="15.75" customHeight="1">
      <c r="A17" s="33">
        <v>2</v>
      </c>
      <c r="B17" s="89" t="s">
        <v>120</v>
      </c>
      <c r="C17" s="90" t="s">
        <v>82</v>
      </c>
      <c r="D17" s="89" t="s">
        <v>179</v>
      </c>
      <c r="E17" s="91">
        <v>107.6</v>
      </c>
      <c r="F17" s="92">
        <f>SUM(E17*104/100)</f>
        <v>111.904</v>
      </c>
      <c r="G17" s="92">
        <v>218.21</v>
      </c>
      <c r="H17" s="93">
        <f t="shared" si="0"/>
        <v>24.418571840000002</v>
      </c>
      <c r="I17" s="13">
        <f>F17/12*G17</f>
        <v>2034.8809866666668</v>
      </c>
      <c r="J17" s="26"/>
      <c r="K17" s="8"/>
      <c r="L17" s="8"/>
      <c r="M17" s="8"/>
    </row>
    <row r="18" spans="1:13" ht="15.75" customHeight="1">
      <c r="A18" s="33">
        <v>3</v>
      </c>
      <c r="B18" s="89" t="s">
        <v>83</v>
      </c>
      <c r="C18" s="90" t="s">
        <v>82</v>
      </c>
      <c r="D18" s="89" t="s">
        <v>180</v>
      </c>
      <c r="E18" s="91">
        <f>SUM(E16+E17)</f>
        <v>161.39999999999998</v>
      </c>
      <c r="F18" s="92">
        <f>SUM(E18*24/100)</f>
        <v>38.735999999999997</v>
      </c>
      <c r="G18" s="92">
        <v>627.77</v>
      </c>
      <c r="H18" s="93">
        <f t="shared" si="0"/>
        <v>24.31729872</v>
      </c>
      <c r="I18" s="13">
        <f>F18/12*G18</f>
        <v>2026.4415599999998</v>
      </c>
      <c r="J18" s="26"/>
      <c r="K18" s="8"/>
      <c r="L18" s="8"/>
      <c r="M18" s="8"/>
    </row>
    <row r="19" spans="1:13" ht="15.75" hidden="1" customHeight="1">
      <c r="A19" s="33"/>
      <c r="B19" s="89" t="s">
        <v>84</v>
      </c>
      <c r="C19" s="90" t="s">
        <v>85</v>
      </c>
      <c r="D19" s="89" t="s">
        <v>86</v>
      </c>
      <c r="E19" s="91">
        <v>15.3</v>
      </c>
      <c r="F19" s="92">
        <f>SUM(E19/10)</f>
        <v>1.53</v>
      </c>
      <c r="G19" s="92">
        <v>211.74</v>
      </c>
      <c r="H19" s="93">
        <f t="shared" si="0"/>
        <v>0.32396219999999998</v>
      </c>
      <c r="I19" s="13">
        <v>0</v>
      </c>
      <c r="J19" s="26"/>
      <c r="K19" s="8"/>
      <c r="L19" s="8"/>
      <c r="M19" s="8"/>
    </row>
    <row r="20" spans="1:13" ht="15.75" hidden="1" customHeight="1">
      <c r="A20" s="33">
        <v>4</v>
      </c>
      <c r="B20" s="89" t="s">
        <v>91</v>
      </c>
      <c r="C20" s="90" t="s">
        <v>50</v>
      </c>
      <c r="D20" s="89" t="s">
        <v>121</v>
      </c>
      <c r="E20" s="91">
        <v>4.5</v>
      </c>
      <c r="F20" s="92">
        <f>E20/100</f>
        <v>4.4999999999999998E-2</v>
      </c>
      <c r="G20" s="92">
        <v>484.94</v>
      </c>
      <c r="H20" s="93">
        <f>SUM(F20*G20/1000)</f>
        <v>2.1822299999999999E-2</v>
      </c>
      <c r="I20" s="13">
        <v>0</v>
      </c>
      <c r="J20" s="26"/>
      <c r="K20" s="8"/>
      <c r="L20" s="8"/>
      <c r="M20" s="8"/>
    </row>
    <row r="21" spans="1:13" ht="15.75" hidden="1" customHeight="1">
      <c r="A21" s="33">
        <v>5</v>
      </c>
      <c r="B21" s="89" t="s">
        <v>87</v>
      </c>
      <c r="C21" s="90" t="s">
        <v>82</v>
      </c>
      <c r="D21" s="89" t="s">
        <v>40</v>
      </c>
      <c r="E21" s="91">
        <v>19.62</v>
      </c>
      <c r="F21" s="92">
        <f>SUM(E21*2/100)</f>
        <v>0.39240000000000003</v>
      </c>
      <c r="G21" s="92">
        <v>271.12</v>
      </c>
      <c r="H21" s="93">
        <f t="shared" si="0"/>
        <v>0.106387488</v>
      </c>
      <c r="I21" s="13">
        <v>0</v>
      </c>
      <c r="J21" s="26"/>
      <c r="K21" s="8"/>
      <c r="L21" s="8"/>
      <c r="M21" s="8"/>
    </row>
    <row r="22" spans="1:13" ht="15.75" hidden="1" customHeight="1">
      <c r="A22" s="33"/>
      <c r="B22" s="89" t="s">
        <v>88</v>
      </c>
      <c r="C22" s="90" t="s">
        <v>82</v>
      </c>
      <c r="D22" s="89" t="s">
        <v>40</v>
      </c>
      <c r="E22" s="91">
        <v>8.68</v>
      </c>
      <c r="F22" s="92">
        <f>SUM(E22*2/100)</f>
        <v>0.1736</v>
      </c>
      <c r="G22" s="92">
        <v>268.92</v>
      </c>
      <c r="H22" s="93">
        <f t="shared" si="0"/>
        <v>4.6684512000000004E-2</v>
      </c>
      <c r="I22" s="13">
        <v>0</v>
      </c>
      <c r="J22" s="26"/>
      <c r="K22" s="8"/>
      <c r="L22" s="8"/>
      <c r="M22" s="8"/>
    </row>
    <row r="23" spans="1:13" ht="15.75" hidden="1" customHeight="1">
      <c r="A23" s="33"/>
      <c r="B23" s="89" t="s">
        <v>89</v>
      </c>
      <c r="C23" s="90" t="s">
        <v>50</v>
      </c>
      <c r="D23" s="89" t="s">
        <v>86</v>
      </c>
      <c r="E23" s="91">
        <v>215</v>
      </c>
      <c r="F23" s="92">
        <f>SUM(E23/100)</f>
        <v>2.15</v>
      </c>
      <c r="G23" s="92">
        <v>335.05</v>
      </c>
      <c r="H23" s="93">
        <f t="shared" si="0"/>
        <v>0.72035749999999998</v>
      </c>
      <c r="I23" s="13">
        <v>0</v>
      </c>
      <c r="J23" s="26"/>
      <c r="K23" s="8"/>
      <c r="L23" s="8"/>
      <c r="M23" s="8"/>
    </row>
    <row r="24" spans="1:13" ht="15.75" hidden="1" customHeight="1">
      <c r="A24" s="33"/>
      <c r="B24" s="89" t="s">
        <v>90</v>
      </c>
      <c r="C24" s="90" t="s">
        <v>50</v>
      </c>
      <c r="D24" s="89" t="s">
        <v>86</v>
      </c>
      <c r="E24" s="94">
        <v>17.64</v>
      </c>
      <c r="F24" s="92">
        <f>SUM(E24/100)</f>
        <v>0.1764</v>
      </c>
      <c r="G24" s="92">
        <v>55.1</v>
      </c>
      <c r="H24" s="93">
        <f t="shared" si="0"/>
        <v>9.7196399999999999E-3</v>
      </c>
      <c r="I24" s="13">
        <v>0</v>
      </c>
      <c r="J24" s="26"/>
      <c r="K24" s="8"/>
      <c r="L24" s="8"/>
      <c r="M24" s="8"/>
    </row>
    <row r="25" spans="1:13" ht="15.75" hidden="1" customHeight="1">
      <c r="A25" s="45">
        <v>6</v>
      </c>
      <c r="B25" s="89" t="s">
        <v>92</v>
      </c>
      <c r="C25" s="90" t="s">
        <v>50</v>
      </c>
      <c r="D25" s="89" t="s">
        <v>86</v>
      </c>
      <c r="E25" s="91">
        <v>14.4</v>
      </c>
      <c r="F25" s="92">
        <f>SUM(E25/100)</f>
        <v>0.14400000000000002</v>
      </c>
      <c r="G25" s="92">
        <v>648.04999999999995</v>
      </c>
      <c r="H25" s="93">
        <f>SUM(F25*G25/1000)</f>
        <v>9.3319200000000005E-2</v>
      </c>
      <c r="I25" s="13">
        <v>0</v>
      </c>
      <c r="J25" s="26"/>
      <c r="K25" s="8"/>
      <c r="L25" s="8"/>
      <c r="M25" s="8"/>
    </row>
    <row r="26" spans="1:13" ht="15.75" hidden="1" customHeight="1">
      <c r="A26" s="45"/>
      <c r="B26" s="89" t="s">
        <v>122</v>
      </c>
      <c r="C26" s="90" t="s">
        <v>50</v>
      </c>
      <c r="D26" s="89" t="s">
        <v>51</v>
      </c>
      <c r="E26" s="91">
        <v>9.4499999999999993</v>
      </c>
      <c r="F26" s="92">
        <v>0.09</v>
      </c>
      <c r="G26" s="92">
        <v>268.92</v>
      </c>
      <c r="H26" s="93">
        <f t="shared" si="0"/>
        <v>2.42028E-2</v>
      </c>
      <c r="I26" s="13">
        <v>0</v>
      </c>
      <c r="J26" s="26"/>
      <c r="K26" s="8"/>
      <c r="L26" s="8"/>
      <c r="M26" s="8"/>
    </row>
    <row r="27" spans="1:13" ht="15.75" customHeight="1">
      <c r="A27" s="45">
        <v>4</v>
      </c>
      <c r="B27" s="89" t="s">
        <v>177</v>
      </c>
      <c r="C27" s="44" t="s">
        <v>173</v>
      </c>
      <c r="D27" s="120" t="s">
        <v>181</v>
      </c>
      <c r="E27" s="121">
        <v>2.5099999999999998</v>
      </c>
      <c r="F27" s="122">
        <f>E27*258</f>
        <v>647.57999999999993</v>
      </c>
      <c r="G27" s="122">
        <v>10.39</v>
      </c>
      <c r="H27" s="93">
        <f t="shared" ref="H27" si="1">SUM(F27*G27/1000)</f>
        <v>6.7283561999999995</v>
      </c>
      <c r="I27" s="13">
        <f>F27/12*G27</f>
        <v>560.69634999999994</v>
      </c>
      <c r="J27" s="26"/>
      <c r="K27" s="8"/>
      <c r="L27" s="8"/>
      <c r="M27" s="8"/>
    </row>
    <row r="28" spans="1:13" ht="15.75" customHeight="1">
      <c r="A28" s="180" t="s">
        <v>79</v>
      </c>
      <c r="B28" s="180"/>
      <c r="C28" s="180"/>
      <c r="D28" s="180"/>
      <c r="E28" s="180"/>
      <c r="F28" s="180"/>
      <c r="G28" s="180"/>
      <c r="H28" s="180"/>
      <c r="I28" s="180"/>
      <c r="J28" s="26"/>
      <c r="K28" s="8"/>
      <c r="L28" s="8"/>
      <c r="M28" s="8"/>
    </row>
    <row r="29" spans="1:13" ht="15.75" hidden="1" customHeight="1">
      <c r="A29" s="45"/>
      <c r="B29" s="55" t="s">
        <v>26</v>
      </c>
      <c r="C29" s="55"/>
      <c r="D29" s="55"/>
      <c r="E29" s="55"/>
      <c r="F29" s="55"/>
      <c r="G29" s="55"/>
      <c r="H29" s="55"/>
      <c r="I29" s="19"/>
      <c r="J29" s="26"/>
      <c r="K29" s="8"/>
      <c r="L29" s="8"/>
      <c r="M29" s="8"/>
    </row>
    <row r="30" spans="1:13" ht="15.75" hidden="1" customHeight="1">
      <c r="A30" s="45">
        <v>2</v>
      </c>
      <c r="B30" s="89" t="s">
        <v>150</v>
      </c>
      <c r="C30" s="90" t="s">
        <v>93</v>
      </c>
      <c r="D30" s="89" t="s">
        <v>94</v>
      </c>
      <c r="E30" s="92">
        <v>306.55</v>
      </c>
      <c r="F30" s="92">
        <f>SUM(E30*52/1000)</f>
        <v>15.9406</v>
      </c>
      <c r="G30" s="92">
        <v>193.97</v>
      </c>
      <c r="H30" s="93">
        <f t="shared" ref="H30:H36" si="2">SUM(F30*G30/1000)</f>
        <v>3.0919981819999998</v>
      </c>
      <c r="I30" s="13">
        <f>F30/6*G30</f>
        <v>515.33303033333334</v>
      </c>
      <c r="J30" s="26"/>
      <c r="K30" s="8"/>
      <c r="L30" s="8"/>
      <c r="M30" s="8"/>
    </row>
    <row r="31" spans="1:13" ht="31.5" hidden="1" customHeight="1">
      <c r="A31" s="45">
        <v>3</v>
      </c>
      <c r="B31" s="89" t="s">
        <v>95</v>
      </c>
      <c r="C31" s="90" t="s">
        <v>93</v>
      </c>
      <c r="D31" s="89" t="s">
        <v>96</v>
      </c>
      <c r="E31" s="92">
        <v>42.5</v>
      </c>
      <c r="F31" s="92">
        <f>SUM(E31*78/1000)</f>
        <v>3.3149999999999999</v>
      </c>
      <c r="G31" s="92">
        <v>321.82</v>
      </c>
      <c r="H31" s="93">
        <f t="shared" si="2"/>
        <v>1.0668333000000001</v>
      </c>
      <c r="I31" s="13">
        <f t="shared" ref="I31:I34" si="3">F31/6*G31</f>
        <v>177.80554999999998</v>
      </c>
      <c r="J31" s="26"/>
      <c r="K31" s="8"/>
      <c r="L31" s="8"/>
      <c r="M31" s="8"/>
    </row>
    <row r="32" spans="1:13" ht="15.75" hidden="1" customHeight="1">
      <c r="A32" s="45">
        <v>4</v>
      </c>
      <c r="B32" s="89" t="s">
        <v>149</v>
      </c>
      <c r="C32" s="90" t="s">
        <v>93</v>
      </c>
      <c r="D32" s="89" t="s">
        <v>51</v>
      </c>
      <c r="E32" s="92">
        <v>306.55</v>
      </c>
      <c r="F32" s="92">
        <f>SUM(E32/1000)</f>
        <v>0.30654999999999999</v>
      </c>
      <c r="G32" s="92">
        <v>3758.28</v>
      </c>
      <c r="H32" s="93">
        <f t="shared" si="2"/>
        <v>1.152100734</v>
      </c>
      <c r="I32" s="13">
        <f>F32*G32</f>
        <v>1152.1007340000001</v>
      </c>
      <c r="J32" s="26"/>
      <c r="K32" s="8"/>
      <c r="L32" s="8"/>
      <c r="M32" s="8"/>
    </row>
    <row r="33" spans="1:14" ht="15.75" hidden="1" customHeight="1">
      <c r="A33" s="45"/>
      <c r="B33" s="89" t="s">
        <v>123</v>
      </c>
      <c r="C33" s="90" t="s">
        <v>38</v>
      </c>
      <c r="D33" s="89" t="s">
        <v>60</v>
      </c>
      <c r="E33" s="92">
        <v>3</v>
      </c>
      <c r="F33" s="92">
        <f>E33*155/100</f>
        <v>4.6500000000000004</v>
      </c>
      <c r="G33" s="92">
        <v>1620.15</v>
      </c>
      <c r="H33" s="93">
        <f t="shared" si="2"/>
        <v>7.5336975000000015</v>
      </c>
      <c r="I33" s="13">
        <f t="shared" si="3"/>
        <v>1255.61625</v>
      </c>
      <c r="J33" s="26"/>
      <c r="K33" s="8"/>
      <c r="L33" s="8"/>
      <c r="M33" s="8"/>
    </row>
    <row r="34" spans="1:14" ht="15.75" hidden="1" customHeight="1">
      <c r="A34" s="45">
        <v>5</v>
      </c>
      <c r="B34" s="89" t="s">
        <v>97</v>
      </c>
      <c r="C34" s="90" t="s">
        <v>28</v>
      </c>
      <c r="D34" s="89" t="s">
        <v>60</v>
      </c>
      <c r="E34" s="96">
        <f>1/3</f>
        <v>0.33333333333333331</v>
      </c>
      <c r="F34" s="92">
        <f>155/3</f>
        <v>51.666666666666664</v>
      </c>
      <c r="G34" s="92">
        <v>70.540000000000006</v>
      </c>
      <c r="H34" s="93">
        <f t="shared" si="2"/>
        <v>3.6445666666666665</v>
      </c>
      <c r="I34" s="13">
        <f t="shared" si="3"/>
        <v>607.42777777777781</v>
      </c>
      <c r="J34" s="26"/>
      <c r="K34" s="8"/>
      <c r="L34" s="8"/>
      <c r="M34" s="8"/>
    </row>
    <row r="35" spans="1:14" ht="15.75" hidden="1" customHeight="1">
      <c r="A35" s="45">
        <v>4</v>
      </c>
      <c r="B35" s="89" t="s">
        <v>61</v>
      </c>
      <c r="C35" s="90" t="s">
        <v>30</v>
      </c>
      <c r="D35" s="89" t="s">
        <v>63</v>
      </c>
      <c r="E35" s="91"/>
      <c r="F35" s="92">
        <v>2</v>
      </c>
      <c r="G35" s="92">
        <v>238.07</v>
      </c>
      <c r="H35" s="93">
        <f t="shared" si="2"/>
        <v>0.47614000000000001</v>
      </c>
      <c r="I35" s="13">
        <v>0</v>
      </c>
      <c r="J35" s="26"/>
      <c r="K35" s="8"/>
    </row>
    <row r="36" spans="1:14" ht="15.75" hidden="1" customHeight="1">
      <c r="A36" s="33">
        <v>8</v>
      </c>
      <c r="B36" s="89" t="s">
        <v>62</v>
      </c>
      <c r="C36" s="90" t="s">
        <v>29</v>
      </c>
      <c r="D36" s="89" t="s">
        <v>63</v>
      </c>
      <c r="E36" s="91"/>
      <c r="F36" s="92">
        <v>3</v>
      </c>
      <c r="G36" s="92">
        <v>1413.96</v>
      </c>
      <c r="H36" s="93">
        <f t="shared" si="2"/>
        <v>4.2418800000000001</v>
      </c>
      <c r="I36" s="13">
        <v>0</v>
      </c>
      <c r="J36" s="27"/>
    </row>
    <row r="37" spans="1:14" ht="15.75" customHeight="1">
      <c r="A37" s="45"/>
      <c r="B37" s="53" t="s">
        <v>5</v>
      </c>
      <c r="C37" s="53"/>
      <c r="D37" s="53"/>
      <c r="E37" s="13"/>
      <c r="F37" s="13"/>
      <c r="G37" s="14"/>
      <c r="H37" s="14"/>
      <c r="I37" s="19"/>
      <c r="J37" s="27"/>
    </row>
    <row r="38" spans="1:14" ht="15.75" customHeight="1">
      <c r="A38" s="37">
        <v>5</v>
      </c>
      <c r="B38" s="89" t="s">
        <v>25</v>
      </c>
      <c r="C38" s="90" t="s">
        <v>29</v>
      </c>
      <c r="D38" s="123" t="s">
        <v>197</v>
      </c>
      <c r="E38" s="91"/>
      <c r="F38" s="92">
        <v>2</v>
      </c>
      <c r="G38" s="92">
        <v>1900.37</v>
      </c>
      <c r="H38" s="93">
        <f t="shared" ref="H38:H43" si="4">SUM(F38*G38/1000)</f>
        <v>3.8007399999999998</v>
      </c>
      <c r="I38" s="13">
        <f>G38*1.6</f>
        <v>3040.5920000000001</v>
      </c>
      <c r="J38" s="27"/>
    </row>
    <row r="39" spans="1:14" ht="15.75" customHeight="1">
      <c r="A39" s="37">
        <v>6</v>
      </c>
      <c r="B39" s="89" t="s">
        <v>64</v>
      </c>
      <c r="C39" s="90" t="s">
        <v>27</v>
      </c>
      <c r="D39" s="89" t="s">
        <v>151</v>
      </c>
      <c r="E39" s="92">
        <v>42.5</v>
      </c>
      <c r="F39" s="92">
        <f>SUM(E39*30/1000)</f>
        <v>1.2749999999999999</v>
      </c>
      <c r="G39" s="92">
        <v>2616.4899999999998</v>
      </c>
      <c r="H39" s="93">
        <f t="shared" si="4"/>
        <v>3.3360247499999995</v>
      </c>
      <c r="I39" s="13">
        <f t="shared" ref="I39:I41" si="5">F39/6*G39</f>
        <v>556.00412499999993</v>
      </c>
      <c r="J39" s="27"/>
    </row>
    <row r="40" spans="1:14" ht="15.75" customHeight="1">
      <c r="A40" s="37">
        <v>7</v>
      </c>
      <c r="B40" s="89" t="s">
        <v>65</v>
      </c>
      <c r="C40" s="90" t="s">
        <v>27</v>
      </c>
      <c r="D40" s="89" t="s">
        <v>187</v>
      </c>
      <c r="E40" s="92">
        <v>42.5</v>
      </c>
      <c r="F40" s="92">
        <f>SUM(E40*155/1000)</f>
        <v>6.5875000000000004</v>
      </c>
      <c r="G40" s="92">
        <v>436.45</v>
      </c>
      <c r="H40" s="93">
        <f t="shared" si="4"/>
        <v>2.8751143749999999</v>
      </c>
      <c r="I40" s="13">
        <f t="shared" si="5"/>
        <v>479.18572916666665</v>
      </c>
      <c r="J40" s="27"/>
    </row>
    <row r="41" spans="1:14" ht="47.25" customHeight="1">
      <c r="A41" s="37">
        <v>8</v>
      </c>
      <c r="B41" s="89" t="s">
        <v>78</v>
      </c>
      <c r="C41" s="90" t="s">
        <v>93</v>
      </c>
      <c r="D41" s="89" t="s">
        <v>188</v>
      </c>
      <c r="E41" s="92">
        <v>42.5</v>
      </c>
      <c r="F41" s="92">
        <f>SUM(E41*35/1000)</f>
        <v>1.4875</v>
      </c>
      <c r="G41" s="92">
        <v>7221.21</v>
      </c>
      <c r="H41" s="93">
        <f t="shared" si="4"/>
        <v>10.741549875</v>
      </c>
      <c r="I41" s="13">
        <f t="shared" si="5"/>
        <v>1790.2583125000001</v>
      </c>
      <c r="J41" s="27"/>
    </row>
    <row r="42" spans="1:14" ht="15.75" customHeight="1">
      <c r="A42" s="37">
        <v>9</v>
      </c>
      <c r="B42" s="89" t="s">
        <v>101</v>
      </c>
      <c r="C42" s="90" t="s">
        <v>93</v>
      </c>
      <c r="D42" s="89" t="s">
        <v>184</v>
      </c>
      <c r="E42" s="92">
        <v>42.5</v>
      </c>
      <c r="F42" s="92">
        <f>SUM(E42*20/1000)</f>
        <v>0.85</v>
      </c>
      <c r="G42" s="92">
        <v>533.45000000000005</v>
      </c>
      <c r="H42" s="93">
        <f t="shared" si="4"/>
        <v>0.45343250000000002</v>
      </c>
      <c r="I42" s="13">
        <f>G42*F42/20*1</f>
        <v>22.671624999999999</v>
      </c>
      <c r="J42" s="27"/>
      <c r="L42" s="21"/>
      <c r="M42" s="22"/>
      <c r="N42" s="23"/>
    </row>
    <row r="43" spans="1:14" ht="15.75" customHeight="1">
      <c r="A43" s="37">
        <v>10</v>
      </c>
      <c r="B43" s="89" t="s">
        <v>66</v>
      </c>
      <c r="C43" s="90" t="s">
        <v>30</v>
      </c>
      <c r="D43" s="89"/>
      <c r="E43" s="91"/>
      <c r="F43" s="92">
        <v>0.5</v>
      </c>
      <c r="G43" s="92">
        <v>992.97</v>
      </c>
      <c r="H43" s="93">
        <f t="shared" si="4"/>
        <v>0.49648500000000001</v>
      </c>
      <c r="I43" s="13">
        <f>G43*F43/20*1</f>
        <v>24.824249999999999</v>
      </c>
      <c r="J43" s="27"/>
      <c r="L43" s="21"/>
      <c r="M43" s="22"/>
      <c r="N43" s="23"/>
    </row>
    <row r="44" spans="1:14" ht="15.75" customHeight="1">
      <c r="A44" s="170" t="s">
        <v>146</v>
      </c>
      <c r="B44" s="171"/>
      <c r="C44" s="171"/>
      <c r="D44" s="171"/>
      <c r="E44" s="171"/>
      <c r="F44" s="171"/>
      <c r="G44" s="171"/>
      <c r="H44" s="171"/>
      <c r="I44" s="172"/>
      <c r="J44" s="27"/>
      <c r="L44" s="21"/>
      <c r="M44" s="22"/>
      <c r="N44" s="23"/>
    </row>
    <row r="45" spans="1:14" ht="15.75" hidden="1" customHeight="1">
      <c r="A45" s="45">
        <v>15</v>
      </c>
      <c r="B45" s="89" t="s">
        <v>103</v>
      </c>
      <c r="C45" s="90" t="s">
        <v>93</v>
      </c>
      <c r="D45" s="89" t="s">
        <v>40</v>
      </c>
      <c r="E45" s="91">
        <v>1060.4000000000001</v>
      </c>
      <c r="F45" s="92">
        <f>SUM(E45*2/1000)</f>
        <v>2.1208</v>
      </c>
      <c r="G45" s="13">
        <v>1283.46</v>
      </c>
      <c r="H45" s="93">
        <f t="shared" ref="H45:H55" si="6">SUM(F45*G45/1000)</f>
        <v>2.721961968</v>
      </c>
      <c r="I45" s="13">
        <v>0</v>
      </c>
      <c r="J45" s="27"/>
      <c r="L45" s="21"/>
      <c r="M45" s="22"/>
      <c r="N45" s="23"/>
    </row>
    <row r="46" spans="1:14" ht="15.75" hidden="1" customHeight="1">
      <c r="A46" s="45"/>
      <c r="B46" s="89" t="s">
        <v>33</v>
      </c>
      <c r="C46" s="90" t="s">
        <v>93</v>
      </c>
      <c r="D46" s="89" t="s">
        <v>40</v>
      </c>
      <c r="E46" s="91">
        <v>19.8</v>
      </c>
      <c r="F46" s="92">
        <f>SUM(E46*2/1000)</f>
        <v>3.9600000000000003E-2</v>
      </c>
      <c r="G46" s="13">
        <v>721.04</v>
      </c>
      <c r="H46" s="93">
        <f t="shared" si="6"/>
        <v>2.8553184000000002E-2</v>
      </c>
      <c r="I46" s="13">
        <v>0</v>
      </c>
      <c r="J46" s="27"/>
      <c r="L46" s="21"/>
      <c r="M46" s="22"/>
      <c r="N46" s="23"/>
    </row>
    <row r="47" spans="1:14" ht="15.75" hidden="1" customHeight="1">
      <c r="A47" s="45">
        <v>16</v>
      </c>
      <c r="B47" s="89" t="s">
        <v>34</v>
      </c>
      <c r="C47" s="90" t="s">
        <v>93</v>
      </c>
      <c r="D47" s="89" t="s">
        <v>40</v>
      </c>
      <c r="E47" s="91">
        <v>660.84</v>
      </c>
      <c r="F47" s="92">
        <f>SUM(E47*2/1000)</f>
        <v>1.32168</v>
      </c>
      <c r="G47" s="13">
        <v>1711.28</v>
      </c>
      <c r="H47" s="93">
        <f t="shared" si="6"/>
        <v>2.2617645503999997</v>
      </c>
      <c r="I47" s="13">
        <v>0</v>
      </c>
      <c r="J47" s="27"/>
      <c r="L47" s="21"/>
      <c r="M47" s="22"/>
      <c r="N47" s="23"/>
    </row>
    <row r="48" spans="1:14" ht="15.75" hidden="1" customHeight="1">
      <c r="A48" s="45">
        <v>17</v>
      </c>
      <c r="B48" s="89" t="s">
        <v>35</v>
      </c>
      <c r="C48" s="90" t="s">
        <v>93</v>
      </c>
      <c r="D48" s="89" t="s">
        <v>40</v>
      </c>
      <c r="E48" s="91">
        <v>1156.21</v>
      </c>
      <c r="F48" s="92">
        <f>SUM(E48*2/1000)</f>
        <v>2.3124199999999999</v>
      </c>
      <c r="G48" s="13">
        <v>1179.73</v>
      </c>
      <c r="H48" s="93">
        <f t="shared" si="6"/>
        <v>2.7280312466000001</v>
      </c>
      <c r="I48" s="13">
        <v>0</v>
      </c>
      <c r="J48" s="27"/>
      <c r="L48" s="21"/>
      <c r="M48" s="22"/>
      <c r="N48" s="23"/>
    </row>
    <row r="49" spans="1:14" ht="15.75" hidden="1" customHeight="1">
      <c r="A49" s="45">
        <v>18</v>
      </c>
      <c r="B49" s="89" t="s">
        <v>31</v>
      </c>
      <c r="C49" s="90" t="s">
        <v>32</v>
      </c>
      <c r="D49" s="89" t="s">
        <v>40</v>
      </c>
      <c r="E49" s="91">
        <v>15.38</v>
      </c>
      <c r="F49" s="92">
        <f>SUM(E49*2/100)</f>
        <v>0.30760000000000004</v>
      </c>
      <c r="G49" s="13">
        <v>90.61</v>
      </c>
      <c r="H49" s="93">
        <f t="shared" si="6"/>
        <v>2.7871636000000002E-2</v>
      </c>
      <c r="I49" s="13">
        <v>0</v>
      </c>
      <c r="J49" s="27"/>
      <c r="L49" s="21"/>
      <c r="M49" s="22"/>
      <c r="N49" s="23"/>
    </row>
    <row r="50" spans="1:14" ht="15.75" customHeight="1">
      <c r="A50" s="45">
        <v>11</v>
      </c>
      <c r="B50" s="89" t="s">
        <v>53</v>
      </c>
      <c r="C50" s="90" t="s">
        <v>93</v>
      </c>
      <c r="D50" s="89" t="s">
        <v>184</v>
      </c>
      <c r="E50" s="91">
        <v>823</v>
      </c>
      <c r="F50" s="92">
        <f>SUM(E50*5/1000)</f>
        <v>4.1150000000000002</v>
      </c>
      <c r="G50" s="13">
        <v>1711.28</v>
      </c>
      <c r="H50" s="93">
        <f t="shared" si="6"/>
        <v>7.0419171999999994</v>
      </c>
      <c r="I50" s="13">
        <f>F50/5*G50</f>
        <v>1408.3834400000001</v>
      </c>
      <c r="J50" s="27"/>
      <c r="L50" s="21"/>
      <c r="M50" s="22"/>
      <c r="N50" s="23"/>
    </row>
    <row r="51" spans="1:14" ht="31.5" hidden="1" customHeight="1">
      <c r="A51" s="45">
        <v>13</v>
      </c>
      <c r="B51" s="89" t="s">
        <v>104</v>
      </c>
      <c r="C51" s="90" t="s">
        <v>93</v>
      </c>
      <c r="D51" s="89" t="s">
        <v>40</v>
      </c>
      <c r="E51" s="91">
        <v>823</v>
      </c>
      <c r="F51" s="92">
        <f>SUM(E51*2/1000)</f>
        <v>1.6459999999999999</v>
      </c>
      <c r="G51" s="13">
        <v>1510.06</v>
      </c>
      <c r="H51" s="93">
        <f t="shared" si="6"/>
        <v>2.48555876</v>
      </c>
      <c r="I51" s="13">
        <v>0</v>
      </c>
      <c r="J51" s="27"/>
      <c r="L51" s="21"/>
      <c r="M51" s="22"/>
      <c r="N51" s="23"/>
    </row>
    <row r="52" spans="1:14" ht="31.5" hidden="1" customHeight="1">
      <c r="A52" s="45">
        <v>14</v>
      </c>
      <c r="B52" s="89" t="s">
        <v>105</v>
      </c>
      <c r="C52" s="90" t="s">
        <v>36</v>
      </c>
      <c r="D52" s="89" t="s">
        <v>40</v>
      </c>
      <c r="E52" s="91">
        <v>9</v>
      </c>
      <c r="F52" s="92">
        <f>SUM(E52*2/100)</f>
        <v>0.18</v>
      </c>
      <c r="G52" s="13">
        <v>3850.4</v>
      </c>
      <c r="H52" s="93">
        <f t="shared" si="6"/>
        <v>0.69307200000000002</v>
      </c>
      <c r="I52" s="13">
        <v>0</v>
      </c>
      <c r="J52" s="27"/>
      <c r="L52" s="21"/>
      <c r="M52" s="22"/>
      <c r="N52" s="23"/>
    </row>
    <row r="53" spans="1:14" ht="15.75" hidden="1" customHeight="1">
      <c r="A53" s="45">
        <v>15</v>
      </c>
      <c r="B53" s="89" t="s">
        <v>37</v>
      </c>
      <c r="C53" s="90" t="s">
        <v>38</v>
      </c>
      <c r="D53" s="89" t="s">
        <v>40</v>
      </c>
      <c r="E53" s="91">
        <v>1</v>
      </c>
      <c r="F53" s="92">
        <v>0.02</v>
      </c>
      <c r="G53" s="13">
        <v>7033.13</v>
      </c>
      <c r="H53" s="93">
        <f t="shared" si="6"/>
        <v>0.1406626</v>
      </c>
      <c r="I53" s="13">
        <v>0</v>
      </c>
      <c r="J53" s="27"/>
      <c r="L53" s="21"/>
      <c r="M53" s="22"/>
      <c r="N53" s="23"/>
    </row>
    <row r="54" spans="1:14" ht="15.75" customHeight="1">
      <c r="A54" s="45">
        <v>12</v>
      </c>
      <c r="B54" s="89" t="s">
        <v>124</v>
      </c>
      <c r="C54" s="90" t="s">
        <v>106</v>
      </c>
      <c r="D54" s="123">
        <v>44225</v>
      </c>
      <c r="E54" s="91">
        <v>36</v>
      </c>
      <c r="F54" s="92">
        <f>SUM(E54*3)</f>
        <v>108</v>
      </c>
      <c r="G54" s="13">
        <v>175.6</v>
      </c>
      <c r="H54" s="93">
        <f t="shared" si="6"/>
        <v>18.9648</v>
      </c>
      <c r="I54" s="13">
        <f>E54*G54</f>
        <v>6321.5999999999995</v>
      </c>
      <c r="J54" s="27"/>
      <c r="L54" s="21"/>
      <c r="M54" s="22"/>
      <c r="N54" s="23"/>
    </row>
    <row r="55" spans="1:14" ht="15.75" customHeight="1">
      <c r="A55" s="45">
        <v>13</v>
      </c>
      <c r="B55" s="89" t="s">
        <v>39</v>
      </c>
      <c r="C55" s="90" t="s">
        <v>106</v>
      </c>
      <c r="D55" s="123">
        <v>44225</v>
      </c>
      <c r="E55" s="91">
        <v>36</v>
      </c>
      <c r="F55" s="92">
        <f>SUM(E55)*3</f>
        <v>108</v>
      </c>
      <c r="G55" s="13">
        <v>81.73</v>
      </c>
      <c r="H55" s="93">
        <f t="shared" si="6"/>
        <v>8.8268400000000007</v>
      </c>
      <c r="I55" s="13">
        <f>E55*G55</f>
        <v>2942.28</v>
      </c>
      <c r="J55" s="27"/>
      <c r="L55" s="21"/>
      <c r="M55" s="22"/>
      <c r="N55" s="23"/>
    </row>
    <row r="56" spans="1:14" ht="15.75" customHeight="1">
      <c r="A56" s="170" t="s">
        <v>147</v>
      </c>
      <c r="B56" s="171"/>
      <c r="C56" s="171"/>
      <c r="D56" s="171"/>
      <c r="E56" s="171"/>
      <c r="F56" s="171"/>
      <c r="G56" s="171"/>
      <c r="H56" s="171"/>
      <c r="I56" s="172"/>
      <c r="J56" s="27"/>
      <c r="L56" s="21"/>
      <c r="M56" s="22"/>
      <c r="N56" s="23"/>
    </row>
    <row r="57" spans="1:14" ht="15.75" customHeight="1">
      <c r="A57" s="57"/>
      <c r="B57" s="52" t="s">
        <v>41</v>
      </c>
      <c r="C57" s="17"/>
      <c r="D57" s="16"/>
      <c r="E57" s="16"/>
      <c r="F57" s="16"/>
      <c r="G57" s="33"/>
      <c r="H57" s="33"/>
      <c r="I57" s="19"/>
      <c r="J57" s="27"/>
      <c r="L57" s="21"/>
      <c r="M57" s="22"/>
      <c r="N57" s="23"/>
    </row>
    <row r="58" spans="1:14" ht="31.5" customHeight="1">
      <c r="A58" s="45">
        <v>14</v>
      </c>
      <c r="B58" s="89" t="s">
        <v>152</v>
      </c>
      <c r="C58" s="90" t="s">
        <v>82</v>
      </c>
      <c r="D58" s="89"/>
      <c r="E58" s="91">
        <v>71.02</v>
      </c>
      <c r="F58" s="92">
        <f>SUM(E58*6/100)</f>
        <v>4.2611999999999997</v>
      </c>
      <c r="G58" s="13">
        <v>2306.62</v>
      </c>
      <c r="H58" s="93">
        <f>SUM(F58*G58/1000)</f>
        <v>9.8289691439999984</v>
      </c>
      <c r="I58" s="13">
        <f>G58*0.09</f>
        <v>207.59579999999997</v>
      </c>
      <c r="J58" s="27"/>
      <c r="L58" s="21"/>
      <c r="M58" s="22"/>
      <c r="N58" s="23"/>
    </row>
    <row r="59" spans="1:14" ht="15.75" hidden="1" customHeight="1">
      <c r="A59" s="45"/>
      <c r="B59" s="89" t="s">
        <v>108</v>
      </c>
      <c r="C59" s="90" t="s">
        <v>153</v>
      </c>
      <c r="D59" s="89" t="s">
        <v>63</v>
      </c>
      <c r="E59" s="97"/>
      <c r="F59" s="92">
        <v>2</v>
      </c>
      <c r="G59" s="92">
        <v>1501</v>
      </c>
      <c r="H59" s="93">
        <f>SUM(F59*G59/1000)</f>
        <v>3.0019999999999998</v>
      </c>
      <c r="I59" s="13">
        <v>0</v>
      </c>
      <c r="J59" s="27"/>
      <c r="L59" s="21"/>
      <c r="M59" s="22"/>
      <c r="N59" s="23"/>
    </row>
    <row r="60" spans="1:14" ht="15.75" hidden="1" customHeight="1">
      <c r="A60" s="45"/>
      <c r="B60" s="66" t="s">
        <v>42</v>
      </c>
      <c r="C60" s="66"/>
      <c r="D60" s="66"/>
      <c r="E60" s="66"/>
      <c r="F60" s="76"/>
      <c r="G60" s="66"/>
      <c r="H60" s="76"/>
      <c r="I60" s="39"/>
      <c r="J60" s="27"/>
      <c r="L60" s="21"/>
      <c r="M60" s="22"/>
      <c r="N60" s="23"/>
    </row>
    <row r="61" spans="1:14" ht="15.75" hidden="1" customHeight="1">
      <c r="A61" s="45">
        <v>27</v>
      </c>
      <c r="B61" s="89" t="s">
        <v>154</v>
      </c>
      <c r="C61" s="90" t="s">
        <v>50</v>
      </c>
      <c r="D61" s="89" t="s">
        <v>51</v>
      </c>
      <c r="E61" s="91">
        <v>434.4</v>
      </c>
      <c r="F61" s="93">
        <f>SUM(E61/100)</f>
        <v>4.3439999999999994</v>
      </c>
      <c r="G61" s="13">
        <v>987.51</v>
      </c>
      <c r="H61" s="98">
        <f>F61*G61/1000</f>
        <v>4.2897434399999996</v>
      </c>
      <c r="I61" s="13">
        <v>0</v>
      </c>
      <c r="J61" s="27"/>
      <c r="L61" s="21"/>
      <c r="M61" s="22"/>
      <c r="N61" s="23"/>
    </row>
    <row r="62" spans="1:14" ht="15.75" hidden="1" customHeight="1">
      <c r="A62" s="45"/>
      <c r="B62" s="69" t="s">
        <v>125</v>
      </c>
      <c r="C62" s="44"/>
      <c r="D62" s="68"/>
      <c r="E62" s="67"/>
      <c r="F62" s="67"/>
      <c r="G62" s="40"/>
      <c r="H62" s="40"/>
      <c r="I62" s="20"/>
      <c r="J62" s="27"/>
      <c r="L62" s="21"/>
      <c r="M62" s="22"/>
      <c r="N62" s="23"/>
    </row>
    <row r="63" spans="1:14" ht="15.75" hidden="1" customHeight="1">
      <c r="A63" s="45"/>
      <c r="B63" s="89" t="s">
        <v>126</v>
      </c>
      <c r="C63" s="90" t="s">
        <v>106</v>
      </c>
      <c r="D63" s="41" t="s">
        <v>63</v>
      </c>
      <c r="E63" s="91">
        <v>1</v>
      </c>
      <c r="F63" s="92">
        <f>E63</f>
        <v>1</v>
      </c>
      <c r="G63" s="99">
        <v>323.38</v>
      </c>
      <c r="H63" s="93">
        <f t="shared" ref="H63" si="7">SUM(F63*G63/1000)</f>
        <v>0.32338</v>
      </c>
      <c r="I63" s="13">
        <v>0</v>
      </c>
      <c r="J63" s="27"/>
      <c r="L63" s="21"/>
      <c r="M63" s="22"/>
      <c r="N63" s="23"/>
    </row>
    <row r="64" spans="1:14" ht="15.75" hidden="1" customHeight="1">
      <c r="A64" s="45"/>
      <c r="B64" s="66" t="s">
        <v>43</v>
      </c>
      <c r="C64" s="17"/>
      <c r="D64" s="41"/>
      <c r="E64" s="16"/>
      <c r="F64" s="16"/>
      <c r="G64" s="33"/>
      <c r="H64" s="33"/>
      <c r="I64" s="19"/>
      <c r="J64" s="27"/>
      <c r="L64" s="21"/>
      <c r="M64" s="22"/>
      <c r="N64" s="23"/>
    </row>
    <row r="65" spans="1:21" ht="15.75" hidden="1" customHeight="1">
      <c r="A65" s="45">
        <v>17</v>
      </c>
      <c r="B65" s="15" t="s">
        <v>44</v>
      </c>
      <c r="C65" s="17" t="s">
        <v>106</v>
      </c>
      <c r="D65" s="41" t="s">
        <v>63</v>
      </c>
      <c r="E65" s="19">
        <v>10</v>
      </c>
      <c r="F65" s="92">
        <v>10</v>
      </c>
      <c r="G65" s="13">
        <v>276.74</v>
      </c>
      <c r="H65" s="100">
        <f t="shared" ref="H65:H72" si="8">SUM(F65*G65/1000)</f>
        <v>2.7674000000000003</v>
      </c>
      <c r="I65" s="13">
        <v>0</v>
      </c>
      <c r="J65" s="27"/>
      <c r="L65" s="21"/>
      <c r="M65" s="22"/>
      <c r="N65" s="23"/>
    </row>
    <row r="66" spans="1:21" ht="15.75" hidden="1" customHeight="1">
      <c r="A66" s="33">
        <v>29</v>
      </c>
      <c r="B66" s="15" t="s">
        <v>45</v>
      </c>
      <c r="C66" s="17" t="s">
        <v>106</v>
      </c>
      <c r="D66" s="41" t="s">
        <v>63</v>
      </c>
      <c r="E66" s="19">
        <v>3</v>
      </c>
      <c r="F66" s="92">
        <v>3</v>
      </c>
      <c r="G66" s="13">
        <v>94.89</v>
      </c>
      <c r="H66" s="100">
        <f t="shared" si="8"/>
        <v>0.28467000000000003</v>
      </c>
      <c r="I66" s="13">
        <v>0</v>
      </c>
      <c r="J66" s="27"/>
      <c r="L66" s="21"/>
      <c r="M66" s="22"/>
      <c r="N66" s="23"/>
    </row>
    <row r="67" spans="1:21" ht="15.75" hidden="1" customHeight="1">
      <c r="A67" s="33">
        <v>8</v>
      </c>
      <c r="B67" s="15" t="s">
        <v>46</v>
      </c>
      <c r="C67" s="17" t="s">
        <v>109</v>
      </c>
      <c r="D67" s="15" t="s">
        <v>51</v>
      </c>
      <c r="E67" s="91">
        <v>7265</v>
      </c>
      <c r="F67" s="13">
        <f>SUM(E67/100)</f>
        <v>72.650000000000006</v>
      </c>
      <c r="G67" s="13">
        <v>263.99</v>
      </c>
      <c r="H67" s="100">
        <f t="shared" si="8"/>
        <v>19.178873500000002</v>
      </c>
      <c r="I67" s="13">
        <v>0</v>
      </c>
      <c r="J67" s="27"/>
      <c r="L67" s="21"/>
      <c r="M67" s="22"/>
      <c r="N67" s="23"/>
    </row>
    <row r="68" spans="1:21" ht="15.75" hidden="1" customHeight="1">
      <c r="A68" s="33">
        <v>9</v>
      </c>
      <c r="B68" s="15" t="s">
        <v>47</v>
      </c>
      <c r="C68" s="17" t="s">
        <v>110</v>
      </c>
      <c r="D68" s="15" t="s">
        <v>51</v>
      </c>
      <c r="E68" s="91">
        <v>7265</v>
      </c>
      <c r="F68" s="13">
        <f>SUM(E68/1000)</f>
        <v>7.2649999999999997</v>
      </c>
      <c r="G68" s="13">
        <v>205.57</v>
      </c>
      <c r="H68" s="100">
        <f t="shared" si="8"/>
        <v>1.4934660500000001</v>
      </c>
      <c r="I68" s="13">
        <v>0</v>
      </c>
      <c r="J68" s="27"/>
      <c r="L68" s="21"/>
      <c r="M68" s="22"/>
      <c r="N68" s="23"/>
    </row>
    <row r="69" spans="1:21" ht="15.75" hidden="1" customHeight="1">
      <c r="A69" s="33">
        <v>10</v>
      </c>
      <c r="B69" s="15" t="s">
        <v>48</v>
      </c>
      <c r="C69" s="17" t="s">
        <v>73</v>
      </c>
      <c r="D69" s="15" t="s">
        <v>51</v>
      </c>
      <c r="E69" s="91">
        <v>1090</v>
      </c>
      <c r="F69" s="13">
        <f>SUM(E69/100)</f>
        <v>10.9</v>
      </c>
      <c r="G69" s="13">
        <v>2581.5300000000002</v>
      </c>
      <c r="H69" s="100">
        <f t="shared" si="8"/>
        <v>28.138677000000005</v>
      </c>
      <c r="I69" s="13">
        <v>0</v>
      </c>
      <c r="J69" s="27"/>
      <c r="L69" s="21"/>
    </row>
    <row r="70" spans="1:21" ht="15.75" hidden="1" customHeight="1">
      <c r="A70" s="33">
        <v>11</v>
      </c>
      <c r="B70" s="101" t="s">
        <v>111</v>
      </c>
      <c r="C70" s="17" t="s">
        <v>30</v>
      </c>
      <c r="D70" s="15"/>
      <c r="E70" s="91">
        <v>7.4</v>
      </c>
      <c r="F70" s="13">
        <f>SUM(E70)</f>
        <v>7.4</v>
      </c>
      <c r="G70" s="13">
        <v>47.45</v>
      </c>
      <c r="H70" s="100">
        <f t="shared" si="8"/>
        <v>0.35113000000000005</v>
      </c>
      <c r="I70" s="13">
        <v>0</v>
      </c>
    </row>
    <row r="71" spans="1:21" ht="15.75" hidden="1" customHeight="1">
      <c r="A71" s="33">
        <v>12</v>
      </c>
      <c r="B71" s="101" t="s">
        <v>155</v>
      </c>
      <c r="C71" s="17" t="s">
        <v>30</v>
      </c>
      <c r="D71" s="15"/>
      <c r="E71" s="91">
        <v>7.4</v>
      </c>
      <c r="F71" s="13">
        <f>SUM(E71)</f>
        <v>7.4</v>
      </c>
      <c r="G71" s="13">
        <v>44.27</v>
      </c>
      <c r="H71" s="100">
        <f t="shared" si="8"/>
        <v>0.327598</v>
      </c>
      <c r="I71" s="13">
        <v>0</v>
      </c>
    </row>
    <row r="72" spans="1:21" ht="15.75" hidden="1" customHeight="1">
      <c r="A72" s="33">
        <v>13</v>
      </c>
      <c r="B72" s="15" t="s">
        <v>54</v>
      </c>
      <c r="C72" s="17" t="s">
        <v>55</v>
      </c>
      <c r="D72" s="15" t="s">
        <v>51</v>
      </c>
      <c r="E72" s="19">
        <v>3</v>
      </c>
      <c r="F72" s="92">
        <f>SUM(E72)</f>
        <v>3</v>
      </c>
      <c r="G72" s="13">
        <v>62.07</v>
      </c>
      <c r="H72" s="100">
        <f t="shared" si="8"/>
        <v>0.18621000000000001</v>
      </c>
      <c r="I72" s="13">
        <v>0</v>
      </c>
    </row>
    <row r="73" spans="1:21" ht="15.75" hidden="1" customHeight="1">
      <c r="A73" s="57"/>
      <c r="B73" s="66" t="s">
        <v>112</v>
      </c>
      <c r="C73" s="66"/>
      <c r="D73" s="66"/>
      <c r="E73" s="66"/>
      <c r="F73" s="76"/>
      <c r="G73" s="66"/>
      <c r="H73" s="76"/>
      <c r="I73" s="19"/>
      <c r="J73" s="29"/>
      <c r="K73" s="29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ht="15.75" hidden="1" customHeight="1">
      <c r="A74" s="33">
        <v>36</v>
      </c>
      <c r="B74" s="102" t="s">
        <v>113</v>
      </c>
      <c r="C74" s="25"/>
      <c r="D74" s="24"/>
      <c r="E74" s="84"/>
      <c r="F74" s="103">
        <v>1</v>
      </c>
      <c r="G74" s="103">
        <v>12171.2</v>
      </c>
      <c r="H74" s="13">
        <f>G74*F74/1000</f>
        <v>12.171200000000001</v>
      </c>
      <c r="I74" s="13">
        <v>0</v>
      </c>
      <c r="J74" s="3"/>
      <c r="K74" s="3"/>
      <c r="L74" s="3"/>
      <c r="M74" s="3"/>
      <c r="N74" s="3"/>
      <c r="O74" s="3"/>
      <c r="P74" s="3"/>
      <c r="Q74" s="3"/>
      <c r="S74" s="3"/>
      <c r="T74" s="3"/>
      <c r="U74" s="3"/>
    </row>
    <row r="75" spans="1:21" ht="15.75" hidden="1" customHeight="1">
      <c r="A75" s="33"/>
      <c r="B75" s="53" t="s">
        <v>68</v>
      </c>
      <c r="C75" s="53"/>
      <c r="D75" s="53"/>
      <c r="E75" s="19"/>
      <c r="F75" s="19"/>
      <c r="G75" s="33"/>
      <c r="H75" s="33"/>
      <c r="I75" s="19"/>
      <c r="J75" s="5"/>
      <c r="K75" s="5"/>
      <c r="L75" s="5"/>
      <c r="M75" s="5"/>
      <c r="N75" s="5"/>
      <c r="O75" s="5"/>
      <c r="P75" s="5"/>
      <c r="Q75" s="5"/>
      <c r="R75" s="168"/>
      <c r="S75" s="168"/>
      <c r="T75" s="168"/>
      <c r="U75" s="168"/>
    </row>
    <row r="76" spans="1:21" ht="15.75" hidden="1" customHeight="1">
      <c r="A76" s="33"/>
      <c r="B76" s="15" t="s">
        <v>127</v>
      </c>
      <c r="C76" s="17" t="s">
        <v>114</v>
      </c>
      <c r="D76" s="41" t="s">
        <v>63</v>
      </c>
      <c r="E76" s="19">
        <v>1</v>
      </c>
      <c r="F76" s="13">
        <f>E76</f>
        <v>1</v>
      </c>
      <c r="G76" s="13">
        <v>976.4</v>
      </c>
      <c r="H76" s="100">
        <f>F76*G76/1000</f>
        <v>0.97639999999999993</v>
      </c>
      <c r="I76" s="13">
        <v>0</v>
      </c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</row>
    <row r="77" spans="1:21" ht="15.75" hidden="1" customHeight="1">
      <c r="A77" s="33"/>
      <c r="B77" s="15" t="s">
        <v>115</v>
      </c>
      <c r="C77" s="17" t="s">
        <v>116</v>
      </c>
      <c r="D77" s="15"/>
      <c r="E77" s="19">
        <v>1</v>
      </c>
      <c r="F77" s="13">
        <v>1</v>
      </c>
      <c r="G77" s="13">
        <v>750</v>
      </c>
      <c r="H77" s="100">
        <f>F77*G77/1000</f>
        <v>0.75</v>
      </c>
      <c r="I77" s="13">
        <v>0</v>
      </c>
    </row>
    <row r="78" spans="1:21" ht="15.75" hidden="1" customHeight="1">
      <c r="A78" s="33"/>
      <c r="B78" s="15" t="s">
        <v>69</v>
      </c>
      <c r="C78" s="17" t="s">
        <v>71</v>
      </c>
      <c r="D78" s="41" t="s">
        <v>63</v>
      </c>
      <c r="E78" s="19">
        <v>3</v>
      </c>
      <c r="F78" s="13">
        <f>SUM(E78/100)</f>
        <v>0.03</v>
      </c>
      <c r="G78" s="13">
        <v>624.16999999999996</v>
      </c>
      <c r="H78" s="100">
        <f>F78*G78/1000</f>
        <v>1.8725099999999998E-2</v>
      </c>
      <c r="I78" s="13">
        <v>0</v>
      </c>
    </row>
    <row r="79" spans="1:21" ht="15.75" hidden="1" customHeight="1">
      <c r="A79" s="33"/>
      <c r="B79" s="15" t="s">
        <v>70</v>
      </c>
      <c r="C79" s="17" t="s">
        <v>28</v>
      </c>
      <c r="D79" s="41" t="s">
        <v>63</v>
      </c>
      <c r="E79" s="19">
        <v>1</v>
      </c>
      <c r="F79" s="13">
        <v>1</v>
      </c>
      <c r="G79" s="13">
        <v>1061.4100000000001</v>
      </c>
      <c r="H79" s="100">
        <f>F79*G79/1000</f>
        <v>1.0614100000000002</v>
      </c>
      <c r="I79" s="13">
        <v>0</v>
      </c>
    </row>
    <row r="80" spans="1:21" ht="15.75" hidden="1" customHeight="1">
      <c r="A80" s="33">
        <v>17</v>
      </c>
      <c r="B80" s="15" t="s">
        <v>128</v>
      </c>
      <c r="C80" s="17" t="s">
        <v>28</v>
      </c>
      <c r="D80" s="41" t="s">
        <v>63</v>
      </c>
      <c r="E80" s="19">
        <v>1</v>
      </c>
      <c r="F80" s="92">
        <f>SUM(E80)</f>
        <v>1</v>
      </c>
      <c r="G80" s="13">
        <v>446.12</v>
      </c>
      <c r="H80" s="100">
        <f t="shared" ref="H80" si="9">SUM(F80*G80/1000)</f>
        <v>0.44612000000000002</v>
      </c>
      <c r="I80" s="13">
        <v>0</v>
      </c>
    </row>
    <row r="81" spans="1:9" ht="15.75" hidden="1" customHeight="1">
      <c r="A81" s="33"/>
      <c r="B81" s="54" t="s">
        <v>72</v>
      </c>
      <c r="C81" s="42"/>
      <c r="D81" s="33"/>
      <c r="E81" s="19"/>
      <c r="F81" s="19"/>
      <c r="G81" s="40"/>
      <c r="H81" s="40"/>
      <c r="I81" s="19"/>
    </row>
    <row r="82" spans="1:9" ht="15.75" hidden="1" customHeight="1">
      <c r="A82" s="33">
        <v>39</v>
      </c>
      <c r="B82" s="56" t="s">
        <v>117</v>
      </c>
      <c r="C82" s="17" t="s">
        <v>73</v>
      </c>
      <c r="D82" s="15"/>
      <c r="E82" s="19"/>
      <c r="F82" s="13">
        <v>1.35</v>
      </c>
      <c r="G82" s="13">
        <v>3433.68</v>
      </c>
      <c r="H82" s="100">
        <f t="shared" ref="H82" si="10">SUM(F82*G82/1000)</f>
        <v>4.6354679999999995</v>
      </c>
      <c r="I82" s="13">
        <v>0</v>
      </c>
    </row>
    <row r="83" spans="1:9" ht="15.75" hidden="1" customHeight="1">
      <c r="A83" s="33"/>
      <c r="B83" s="66" t="s">
        <v>129</v>
      </c>
      <c r="C83" s="70"/>
      <c r="D83" s="35"/>
      <c r="E83" s="12"/>
      <c r="F83" s="12"/>
      <c r="G83" s="40"/>
      <c r="H83" s="40"/>
      <c r="I83" s="19"/>
    </row>
    <row r="84" spans="1:9" ht="31.5" hidden="1" customHeight="1">
      <c r="A84" s="33"/>
      <c r="B84" s="15" t="s">
        <v>130</v>
      </c>
      <c r="C84" s="17" t="s">
        <v>131</v>
      </c>
      <c r="D84" s="41" t="s">
        <v>63</v>
      </c>
      <c r="E84" s="19">
        <v>6</v>
      </c>
      <c r="F84" s="13">
        <f>E84</f>
        <v>6</v>
      </c>
      <c r="G84" s="13">
        <v>297.44</v>
      </c>
      <c r="H84" s="100">
        <f t="shared" ref="H84:H94" si="11">SUM(F84*G84/1000)</f>
        <v>1.7846399999999998</v>
      </c>
      <c r="I84" s="13">
        <v>0</v>
      </c>
    </row>
    <row r="85" spans="1:9" ht="15.75" hidden="1" customHeight="1">
      <c r="A85" s="33">
        <v>14</v>
      </c>
      <c r="B85" s="15" t="s">
        <v>132</v>
      </c>
      <c r="C85" s="17" t="s">
        <v>77</v>
      </c>
      <c r="D85" s="41"/>
      <c r="E85" s="19">
        <v>12</v>
      </c>
      <c r="F85" s="13">
        <f>E85</f>
        <v>12</v>
      </c>
      <c r="G85" s="13">
        <v>122.35</v>
      </c>
      <c r="H85" s="100">
        <f t="shared" si="11"/>
        <v>1.4681999999999997</v>
      </c>
      <c r="I85" s="13">
        <f>G85*3</f>
        <v>367.04999999999995</v>
      </c>
    </row>
    <row r="86" spans="1:9" ht="15.75" hidden="1" customHeight="1">
      <c r="A86" s="33"/>
      <c r="B86" s="15" t="s">
        <v>133</v>
      </c>
      <c r="C86" s="17" t="s">
        <v>134</v>
      </c>
      <c r="D86" s="41" t="s">
        <v>63</v>
      </c>
      <c r="E86" s="19">
        <v>9</v>
      </c>
      <c r="F86" s="13">
        <f>E86/3</f>
        <v>3</v>
      </c>
      <c r="G86" s="13">
        <v>1063.47</v>
      </c>
      <c r="H86" s="100">
        <f t="shared" si="11"/>
        <v>3.19041</v>
      </c>
      <c r="I86" s="13">
        <v>0</v>
      </c>
    </row>
    <row r="87" spans="1:9" ht="31.5" hidden="1" customHeight="1">
      <c r="A87" s="33"/>
      <c r="B87" s="15" t="s">
        <v>135</v>
      </c>
      <c r="C87" s="17" t="s">
        <v>136</v>
      </c>
      <c r="D87" s="41" t="s">
        <v>63</v>
      </c>
      <c r="E87" s="19">
        <v>10</v>
      </c>
      <c r="F87" s="13">
        <f>E87/10</f>
        <v>1</v>
      </c>
      <c r="G87" s="13">
        <v>297.99</v>
      </c>
      <c r="H87" s="100">
        <f t="shared" si="11"/>
        <v>0.29799000000000003</v>
      </c>
      <c r="I87" s="13">
        <v>0</v>
      </c>
    </row>
    <row r="88" spans="1:9" ht="31.5" hidden="1" customHeight="1">
      <c r="A88" s="33"/>
      <c r="B88" s="15" t="s">
        <v>137</v>
      </c>
      <c r="C88" s="17" t="s">
        <v>77</v>
      </c>
      <c r="D88" s="41" t="s">
        <v>63</v>
      </c>
      <c r="E88" s="19">
        <v>6</v>
      </c>
      <c r="F88" s="13">
        <f t="shared" ref="F88:F93" si="12">E88</f>
        <v>6</v>
      </c>
      <c r="G88" s="13">
        <v>1564.44</v>
      </c>
      <c r="H88" s="100">
        <f t="shared" si="11"/>
        <v>9.3866399999999999</v>
      </c>
      <c r="I88" s="13">
        <v>0</v>
      </c>
    </row>
    <row r="89" spans="1:9" ht="31.5" hidden="1" customHeight="1">
      <c r="A89" s="33"/>
      <c r="B89" s="15" t="s">
        <v>138</v>
      </c>
      <c r="C89" s="17" t="s">
        <v>77</v>
      </c>
      <c r="D89" s="41" t="s">
        <v>63</v>
      </c>
      <c r="E89" s="19">
        <v>6</v>
      </c>
      <c r="F89" s="13">
        <f t="shared" si="12"/>
        <v>6</v>
      </c>
      <c r="G89" s="13">
        <v>1906.89</v>
      </c>
      <c r="H89" s="100">
        <f t="shared" si="11"/>
        <v>11.44134</v>
      </c>
      <c r="I89" s="13">
        <v>0</v>
      </c>
    </row>
    <row r="90" spans="1:9" ht="31.5" hidden="1" customHeight="1">
      <c r="A90" s="33"/>
      <c r="B90" s="15" t="s">
        <v>139</v>
      </c>
      <c r="C90" s="17" t="s">
        <v>77</v>
      </c>
      <c r="D90" s="41" t="s">
        <v>63</v>
      </c>
      <c r="E90" s="19">
        <v>6</v>
      </c>
      <c r="F90" s="13">
        <f t="shared" si="12"/>
        <v>6</v>
      </c>
      <c r="G90" s="13">
        <v>664.35</v>
      </c>
      <c r="H90" s="100">
        <f t="shared" si="11"/>
        <v>3.9861000000000004</v>
      </c>
      <c r="I90" s="13">
        <v>0</v>
      </c>
    </row>
    <row r="91" spans="1:9" ht="31.5" hidden="1" customHeight="1">
      <c r="A91" s="33"/>
      <c r="B91" s="15" t="s">
        <v>140</v>
      </c>
      <c r="C91" s="17" t="s">
        <v>77</v>
      </c>
      <c r="D91" s="41" t="s">
        <v>63</v>
      </c>
      <c r="E91" s="19">
        <v>6</v>
      </c>
      <c r="F91" s="13">
        <f t="shared" si="12"/>
        <v>6</v>
      </c>
      <c r="G91" s="13">
        <v>778.85</v>
      </c>
      <c r="H91" s="100">
        <f t="shared" si="11"/>
        <v>4.6731000000000007</v>
      </c>
      <c r="I91" s="13">
        <v>0</v>
      </c>
    </row>
    <row r="92" spans="1:9" ht="15.75" hidden="1" customHeight="1">
      <c r="A92" s="33"/>
      <c r="B92" s="15" t="s">
        <v>141</v>
      </c>
      <c r="C92" s="17" t="s">
        <v>114</v>
      </c>
      <c r="D92" s="41" t="s">
        <v>63</v>
      </c>
      <c r="E92" s="19">
        <v>4</v>
      </c>
      <c r="F92" s="13">
        <f t="shared" si="12"/>
        <v>4</v>
      </c>
      <c r="G92" s="13">
        <v>498.11</v>
      </c>
      <c r="H92" s="100">
        <f t="shared" si="11"/>
        <v>1.99244</v>
      </c>
      <c r="I92" s="13">
        <v>0</v>
      </c>
    </row>
    <row r="93" spans="1:9" ht="31.5" hidden="1" customHeight="1">
      <c r="A93" s="33"/>
      <c r="B93" s="15" t="s">
        <v>142</v>
      </c>
      <c r="C93" s="17" t="s">
        <v>77</v>
      </c>
      <c r="D93" s="41" t="s">
        <v>63</v>
      </c>
      <c r="E93" s="19">
        <v>6</v>
      </c>
      <c r="F93" s="13">
        <f t="shared" si="12"/>
        <v>6</v>
      </c>
      <c r="G93" s="13">
        <v>1264.3399999999999</v>
      </c>
      <c r="H93" s="100">
        <f t="shared" si="11"/>
        <v>7.5860399999999988</v>
      </c>
      <c r="I93" s="13">
        <v>0</v>
      </c>
    </row>
    <row r="94" spans="1:9" ht="15.75" hidden="1" customHeight="1">
      <c r="A94" s="33"/>
      <c r="B94" s="15" t="s">
        <v>143</v>
      </c>
      <c r="C94" s="17" t="s">
        <v>27</v>
      </c>
      <c r="D94" s="15" t="s">
        <v>40</v>
      </c>
      <c r="E94" s="19">
        <v>823</v>
      </c>
      <c r="F94" s="13">
        <f>E94*2/1000</f>
        <v>1.6459999999999999</v>
      </c>
      <c r="G94" s="13">
        <v>1707.71</v>
      </c>
      <c r="H94" s="100">
        <f t="shared" si="11"/>
        <v>2.8108906600000001</v>
      </c>
      <c r="I94" s="13">
        <v>0</v>
      </c>
    </row>
    <row r="95" spans="1:9" ht="15.75" customHeight="1">
      <c r="A95" s="181" t="s">
        <v>161</v>
      </c>
      <c r="B95" s="182"/>
      <c r="C95" s="182"/>
      <c r="D95" s="182"/>
      <c r="E95" s="182"/>
      <c r="F95" s="182"/>
      <c r="G95" s="182"/>
      <c r="H95" s="182"/>
      <c r="I95" s="183"/>
    </row>
    <row r="96" spans="1:9" ht="15.75" customHeight="1">
      <c r="A96" s="33">
        <v>15</v>
      </c>
      <c r="B96" s="89" t="s">
        <v>118</v>
      </c>
      <c r="C96" s="17" t="s">
        <v>52</v>
      </c>
      <c r="D96" s="104"/>
      <c r="E96" s="13">
        <v>1832</v>
      </c>
      <c r="F96" s="13">
        <f>SUM(E96*12)</f>
        <v>21984</v>
      </c>
      <c r="G96" s="13">
        <v>2.95</v>
      </c>
      <c r="H96" s="100">
        <f>SUM(F96*G96/1000)</f>
        <v>64.852800000000002</v>
      </c>
      <c r="I96" s="13">
        <f>F96/12*G96</f>
        <v>5404.4000000000005</v>
      </c>
    </row>
    <row r="97" spans="1:9" ht="31.5" customHeight="1">
      <c r="A97" s="33">
        <v>16</v>
      </c>
      <c r="B97" s="15" t="s">
        <v>74</v>
      </c>
      <c r="C97" s="17" t="s">
        <v>156</v>
      </c>
      <c r="D97" s="104"/>
      <c r="E97" s="91">
        <v>1832</v>
      </c>
      <c r="F97" s="13">
        <f>E97*12</f>
        <v>21984</v>
      </c>
      <c r="G97" s="13">
        <v>3.05</v>
      </c>
      <c r="H97" s="100">
        <f>F97*G97/1000</f>
        <v>67.051199999999994</v>
      </c>
      <c r="I97" s="13">
        <f>F97/12*G97</f>
        <v>5587.5999999999995</v>
      </c>
    </row>
    <row r="98" spans="1:9" ht="15.75" customHeight="1">
      <c r="A98" s="57"/>
      <c r="B98" s="43" t="s">
        <v>76</v>
      </c>
      <c r="C98" s="45"/>
      <c r="D98" s="16"/>
      <c r="E98" s="16"/>
      <c r="F98" s="16"/>
      <c r="G98" s="19"/>
      <c r="H98" s="19"/>
      <c r="I98" s="36">
        <f>I97+I96+I58+I55+I54+I50+I43+I42+I41+I40+I39+I38+I27+I18+I17+I16</f>
        <v>33933.574918333332</v>
      </c>
    </row>
    <row r="99" spans="1:9" ht="15.75" customHeight="1">
      <c r="A99" s="184" t="s">
        <v>57</v>
      </c>
      <c r="B99" s="185"/>
      <c r="C99" s="185"/>
      <c r="D99" s="185"/>
      <c r="E99" s="185"/>
      <c r="F99" s="185"/>
      <c r="G99" s="185"/>
      <c r="H99" s="185"/>
      <c r="I99" s="186"/>
    </row>
    <row r="100" spans="1:9" ht="15.75" customHeight="1">
      <c r="A100" s="33">
        <v>17</v>
      </c>
      <c r="B100" s="108" t="s">
        <v>172</v>
      </c>
      <c r="C100" s="109" t="s">
        <v>173</v>
      </c>
      <c r="D100" s="108"/>
      <c r="E100" s="110"/>
      <c r="F100" s="111">
        <v>24</v>
      </c>
      <c r="G100" s="112">
        <v>1.4</v>
      </c>
      <c r="H100" s="113">
        <f>F100*G100/1000</f>
        <v>3.3599999999999991E-2</v>
      </c>
      <c r="I100" s="114">
        <f>G100*12</f>
        <v>16.799999999999997</v>
      </c>
    </row>
    <row r="101" spans="1:9" ht="31.5" customHeight="1">
      <c r="A101" s="33">
        <v>18</v>
      </c>
      <c r="B101" s="41" t="s">
        <v>175</v>
      </c>
      <c r="C101" s="42" t="s">
        <v>93</v>
      </c>
      <c r="D101" s="15"/>
      <c r="E101" s="19"/>
      <c r="F101" s="13"/>
      <c r="G101" s="115">
        <v>21369.24</v>
      </c>
      <c r="H101" s="100"/>
      <c r="I101" s="13">
        <f>G101*0.599*8/1000</f>
        <v>102.40139807999999</v>
      </c>
    </row>
    <row r="102" spans="1:9" ht="31.5" customHeight="1">
      <c r="A102" s="33">
        <v>19</v>
      </c>
      <c r="B102" s="116" t="s">
        <v>193</v>
      </c>
      <c r="C102" s="117" t="s">
        <v>36</v>
      </c>
      <c r="D102" s="41" t="s">
        <v>180</v>
      </c>
      <c r="E102" s="18"/>
      <c r="F102" s="124">
        <v>0.02</v>
      </c>
      <c r="G102" s="40">
        <v>4233.72</v>
      </c>
      <c r="H102" s="100"/>
      <c r="I102" s="13">
        <v>0</v>
      </c>
    </row>
    <row r="103" spans="1:9" ht="15.75" customHeight="1">
      <c r="A103" s="33"/>
      <c r="B103" s="50" t="s">
        <v>49</v>
      </c>
      <c r="C103" s="46"/>
      <c r="D103" s="58"/>
      <c r="E103" s="46">
        <v>1</v>
      </c>
      <c r="F103" s="46"/>
      <c r="G103" s="46"/>
      <c r="H103" s="46"/>
      <c r="I103" s="36">
        <f>SUM(I100:I102)</f>
        <v>119.20139807999999</v>
      </c>
    </row>
    <row r="104" spans="1:9" ht="15.75" customHeight="1">
      <c r="A104" s="33"/>
      <c r="B104" s="56" t="s">
        <v>75</v>
      </c>
      <c r="C104" s="16"/>
      <c r="D104" s="16"/>
      <c r="E104" s="47"/>
      <c r="F104" s="47"/>
      <c r="G104" s="48"/>
      <c r="H104" s="48"/>
      <c r="I104" s="18">
        <v>0</v>
      </c>
    </row>
    <row r="105" spans="1:9" ht="15.75" customHeight="1">
      <c r="A105" s="59"/>
      <c r="B105" s="51" t="s">
        <v>157</v>
      </c>
      <c r="C105" s="38"/>
      <c r="D105" s="38"/>
      <c r="E105" s="38"/>
      <c r="F105" s="38"/>
      <c r="G105" s="38"/>
      <c r="H105" s="38"/>
      <c r="I105" s="49">
        <f>I98+I103</f>
        <v>34052.776316413328</v>
      </c>
    </row>
    <row r="106" spans="1:9" ht="15.75" customHeight="1">
      <c r="A106" s="173" t="s">
        <v>198</v>
      </c>
      <c r="B106" s="173"/>
      <c r="C106" s="173"/>
      <c r="D106" s="173"/>
      <c r="E106" s="173"/>
      <c r="F106" s="173"/>
      <c r="G106" s="173"/>
      <c r="H106" s="173"/>
      <c r="I106" s="173"/>
    </row>
    <row r="107" spans="1:9" ht="15.75" customHeight="1">
      <c r="A107" s="65"/>
      <c r="B107" s="187" t="s">
        <v>199</v>
      </c>
      <c r="C107" s="187"/>
      <c r="D107" s="187"/>
      <c r="E107" s="187"/>
      <c r="F107" s="187"/>
      <c r="G107" s="187"/>
      <c r="H107" s="87"/>
      <c r="I107" s="3"/>
    </row>
    <row r="108" spans="1:9" ht="15.75" customHeight="1">
      <c r="A108" s="60"/>
      <c r="B108" s="161" t="s">
        <v>6</v>
      </c>
      <c r="C108" s="161"/>
      <c r="D108" s="161"/>
      <c r="E108" s="161"/>
      <c r="F108" s="161"/>
      <c r="G108" s="161"/>
      <c r="H108" s="28"/>
      <c r="I108" s="5"/>
    </row>
    <row r="109" spans="1:9" ht="15.75" customHeight="1">
      <c r="A109" s="9"/>
      <c r="B109" s="9"/>
      <c r="C109" s="9"/>
      <c r="D109" s="9"/>
      <c r="E109" s="9"/>
      <c r="F109" s="9"/>
      <c r="G109" s="9"/>
      <c r="H109" s="9"/>
      <c r="I109" s="9"/>
    </row>
    <row r="110" spans="1:9" ht="15.75" customHeight="1">
      <c r="A110" s="162" t="s">
        <v>7</v>
      </c>
      <c r="B110" s="162"/>
      <c r="C110" s="162"/>
      <c r="D110" s="162"/>
      <c r="E110" s="162"/>
      <c r="F110" s="162"/>
      <c r="G110" s="162"/>
      <c r="H110" s="162"/>
      <c r="I110" s="162"/>
    </row>
    <row r="111" spans="1:9" ht="15.75" customHeight="1">
      <c r="A111" s="162" t="s">
        <v>8</v>
      </c>
      <c r="B111" s="162"/>
      <c r="C111" s="162"/>
      <c r="D111" s="162"/>
      <c r="E111" s="162"/>
      <c r="F111" s="162"/>
      <c r="G111" s="162"/>
      <c r="H111" s="162"/>
      <c r="I111" s="162"/>
    </row>
    <row r="112" spans="1:9" ht="15.75" customHeight="1">
      <c r="A112" s="163" t="s">
        <v>58</v>
      </c>
      <c r="B112" s="163"/>
      <c r="C112" s="163"/>
      <c r="D112" s="163"/>
      <c r="E112" s="163"/>
      <c r="F112" s="163"/>
      <c r="G112" s="163"/>
      <c r="H112" s="163"/>
      <c r="I112" s="163"/>
    </row>
    <row r="113" spans="1:9" ht="15.75" customHeight="1">
      <c r="A113" s="10"/>
    </row>
    <row r="114" spans="1:9" ht="15.75" customHeight="1">
      <c r="A114" s="164" t="s">
        <v>9</v>
      </c>
      <c r="B114" s="164"/>
      <c r="C114" s="164"/>
      <c r="D114" s="164"/>
      <c r="E114" s="164"/>
      <c r="F114" s="164"/>
      <c r="G114" s="164"/>
      <c r="H114" s="164"/>
      <c r="I114" s="164"/>
    </row>
    <row r="115" spans="1:9" ht="15.75" customHeight="1">
      <c r="A115" s="4"/>
    </row>
    <row r="116" spans="1:9" ht="15.75" customHeight="1">
      <c r="B116" s="61" t="s">
        <v>10</v>
      </c>
      <c r="C116" s="165" t="s">
        <v>195</v>
      </c>
      <c r="D116" s="165"/>
      <c r="E116" s="165"/>
      <c r="F116" s="85"/>
      <c r="I116" s="63"/>
    </row>
    <row r="117" spans="1:9" ht="15.75" customHeight="1">
      <c r="A117" s="60"/>
      <c r="C117" s="161" t="s">
        <v>11</v>
      </c>
      <c r="D117" s="161"/>
      <c r="E117" s="161"/>
      <c r="F117" s="28"/>
      <c r="I117" s="62" t="s">
        <v>12</v>
      </c>
    </row>
    <row r="118" spans="1:9" ht="15.75" customHeight="1">
      <c r="A118" s="29"/>
      <c r="C118" s="11"/>
      <c r="D118" s="11"/>
      <c r="G118" s="11"/>
      <c r="H118" s="11"/>
    </row>
    <row r="119" spans="1:9" ht="15.75" customHeight="1">
      <c r="B119" s="61" t="s">
        <v>13</v>
      </c>
      <c r="C119" s="166"/>
      <c r="D119" s="166"/>
      <c r="E119" s="166"/>
      <c r="F119" s="86"/>
      <c r="I119" s="63"/>
    </row>
    <row r="120" spans="1:9" ht="15.75" customHeight="1">
      <c r="A120" s="60"/>
      <c r="C120" s="168" t="s">
        <v>11</v>
      </c>
      <c r="D120" s="168"/>
      <c r="E120" s="168"/>
      <c r="F120" s="71"/>
      <c r="I120" s="62" t="s">
        <v>12</v>
      </c>
    </row>
    <row r="121" spans="1:9" ht="15.75" customHeight="1">
      <c r="A121" s="4" t="s">
        <v>14</v>
      </c>
    </row>
    <row r="122" spans="1:9" ht="15.75" customHeight="1">
      <c r="A122" s="169" t="s">
        <v>15</v>
      </c>
      <c r="B122" s="169"/>
      <c r="C122" s="169"/>
      <c r="D122" s="169"/>
      <c r="E122" s="169"/>
      <c r="F122" s="169"/>
      <c r="G122" s="169"/>
      <c r="H122" s="169"/>
      <c r="I122" s="169"/>
    </row>
    <row r="123" spans="1:9" ht="45" customHeight="1">
      <c r="A123" s="167" t="s">
        <v>16</v>
      </c>
      <c r="B123" s="167"/>
      <c r="C123" s="167"/>
      <c r="D123" s="167"/>
      <c r="E123" s="167"/>
      <c r="F123" s="167"/>
      <c r="G123" s="167"/>
      <c r="H123" s="167"/>
      <c r="I123" s="167"/>
    </row>
    <row r="124" spans="1:9" ht="30" customHeight="1">
      <c r="A124" s="167" t="s">
        <v>17</v>
      </c>
      <c r="B124" s="167"/>
      <c r="C124" s="167"/>
      <c r="D124" s="167"/>
      <c r="E124" s="167"/>
      <c r="F124" s="167"/>
      <c r="G124" s="167"/>
      <c r="H124" s="167"/>
      <c r="I124" s="167"/>
    </row>
    <row r="125" spans="1:9" ht="30" customHeight="1">
      <c r="A125" s="167" t="s">
        <v>21</v>
      </c>
      <c r="B125" s="167"/>
      <c r="C125" s="167"/>
      <c r="D125" s="167"/>
      <c r="E125" s="167"/>
      <c r="F125" s="167"/>
      <c r="G125" s="167"/>
      <c r="H125" s="167"/>
      <c r="I125" s="167"/>
    </row>
    <row r="126" spans="1:9" ht="15" customHeight="1">
      <c r="A126" s="167" t="s">
        <v>20</v>
      </c>
      <c r="B126" s="167"/>
      <c r="C126" s="167"/>
      <c r="D126" s="167"/>
      <c r="E126" s="167"/>
      <c r="F126" s="167"/>
      <c r="G126" s="167"/>
      <c r="H126" s="167"/>
      <c r="I126" s="167"/>
    </row>
  </sheetData>
  <autoFilter ref="I12:I71"/>
  <mergeCells count="29">
    <mergeCell ref="R75:U75"/>
    <mergeCell ref="A56:I56"/>
    <mergeCell ref="A111:I111"/>
    <mergeCell ref="A106:I106"/>
    <mergeCell ref="A3:I3"/>
    <mergeCell ref="A4:I4"/>
    <mergeCell ref="A8:I8"/>
    <mergeCell ref="A10:I10"/>
    <mergeCell ref="A5:I5"/>
    <mergeCell ref="A14:I14"/>
    <mergeCell ref="A15:I15"/>
    <mergeCell ref="A28:I28"/>
    <mergeCell ref="A44:I44"/>
    <mergeCell ref="A95:I95"/>
    <mergeCell ref="A99:I99"/>
    <mergeCell ref="B107:G107"/>
    <mergeCell ref="C117:E117"/>
    <mergeCell ref="C119:E119"/>
    <mergeCell ref="A126:I126"/>
    <mergeCell ref="C120:E120"/>
    <mergeCell ref="A122:I122"/>
    <mergeCell ref="A123:I123"/>
    <mergeCell ref="A124:I124"/>
    <mergeCell ref="A125:I125"/>
    <mergeCell ref="B108:G108"/>
    <mergeCell ref="A110:I110"/>
    <mergeCell ref="A112:I112"/>
    <mergeCell ref="A114:I114"/>
    <mergeCell ref="C116:E116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U116"/>
  <sheetViews>
    <sheetView topLeftCell="A16" workbookViewId="0">
      <selection activeCell="B86" sqref="B86:I8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174</v>
      </c>
      <c r="I1" s="30"/>
      <c r="J1" s="1"/>
      <c r="K1" s="1"/>
      <c r="L1" s="1"/>
      <c r="M1" s="1"/>
    </row>
    <row r="2" spans="1:13" ht="15.75" customHeight="1">
      <c r="A2" s="32" t="s">
        <v>59</v>
      </c>
      <c r="J2" s="2"/>
      <c r="K2" s="2"/>
      <c r="L2" s="2"/>
      <c r="M2" s="2"/>
    </row>
    <row r="3" spans="1:13" ht="15.75" customHeight="1">
      <c r="A3" s="174" t="s">
        <v>169</v>
      </c>
      <c r="B3" s="174"/>
      <c r="C3" s="174"/>
      <c r="D3" s="174"/>
      <c r="E3" s="174"/>
      <c r="F3" s="174"/>
      <c r="G3" s="174"/>
      <c r="H3" s="174"/>
      <c r="I3" s="174"/>
      <c r="J3" s="3"/>
      <c r="K3" s="3"/>
      <c r="L3" s="3"/>
    </row>
    <row r="4" spans="1:13" ht="31.5" customHeight="1">
      <c r="A4" s="175" t="s">
        <v>119</v>
      </c>
      <c r="B4" s="175"/>
      <c r="C4" s="175"/>
      <c r="D4" s="175"/>
      <c r="E4" s="175"/>
      <c r="F4" s="175"/>
      <c r="G4" s="175"/>
      <c r="H4" s="175"/>
      <c r="I4" s="175"/>
    </row>
    <row r="5" spans="1:13" ht="15.75" customHeight="1">
      <c r="A5" s="174" t="s">
        <v>253</v>
      </c>
      <c r="B5" s="178"/>
      <c r="C5" s="178"/>
      <c r="D5" s="178"/>
      <c r="E5" s="178"/>
      <c r="F5" s="178"/>
      <c r="G5" s="178"/>
      <c r="H5" s="178"/>
      <c r="I5" s="178"/>
      <c r="J5" s="2"/>
      <c r="K5" s="2"/>
      <c r="L5" s="2"/>
      <c r="M5" s="2"/>
    </row>
    <row r="6" spans="1:13" ht="15.75" customHeight="1">
      <c r="A6" s="2"/>
      <c r="B6" s="75"/>
      <c r="C6" s="75"/>
      <c r="D6" s="75"/>
      <c r="E6" s="75"/>
      <c r="F6" s="75"/>
      <c r="G6" s="75"/>
      <c r="H6" s="75"/>
      <c r="I6" s="34">
        <v>44500</v>
      </c>
      <c r="J6" s="2"/>
      <c r="K6" s="2"/>
      <c r="L6" s="2"/>
      <c r="M6" s="2"/>
    </row>
    <row r="7" spans="1:13" ht="15.75" customHeight="1">
      <c r="B7" s="74"/>
      <c r="C7" s="74"/>
      <c r="D7" s="74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76" t="s">
        <v>220</v>
      </c>
      <c r="B8" s="176"/>
      <c r="C8" s="176"/>
      <c r="D8" s="176"/>
      <c r="E8" s="176"/>
      <c r="F8" s="176"/>
      <c r="G8" s="176"/>
      <c r="H8" s="176"/>
      <c r="I8" s="17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77" t="s">
        <v>144</v>
      </c>
      <c r="B10" s="177"/>
      <c r="C10" s="177"/>
      <c r="D10" s="177"/>
      <c r="E10" s="177"/>
      <c r="F10" s="177"/>
      <c r="G10" s="177"/>
      <c r="H10" s="177"/>
      <c r="I10" s="177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79" t="s">
        <v>56</v>
      </c>
      <c r="B14" s="179"/>
      <c r="C14" s="179"/>
      <c r="D14" s="179"/>
      <c r="E14" s="179"/>
      <c r="F14" s="179"/>
      <c r="G14" s="179"/>
      <c r="H14" s="179"/>
      <c r="I14" s="179"/>
      <c r="J14" s="8"/>
      <c r="K14" s="8"/>
      <c r="L14" s="8"/>
      <c r="M14" s="8"/>
    </row>
    <row r="15" spans="1:13" ht="15.75" customHeight="1">
      <c r="A15" s="180" t="s">
        <v>4</v>
      </c>
      <c r="B15" s="180"/>
      <c r="C15" s="180"/>
      <c r="D15" s="180"/>
      <c r="E15" s="180"/>
      <c r="F15" s="180"/>
      <c r="G15" s="180"/>
      <c r="H15" s="180"/>
      <c r="I15" s="180"/>
      <c r="J15" s="8"/>
      <c r="K15" s="8"/>
      <c r="L15" s="8"/>
      <c r="M15" s="8"/>
    </row>
    <row r="16" spans="1:13" ht="15.75" customHeight="1">
      <c r="A16" s="33">
        <v>1</v>
      </c>
      <c r="B16" s="120" t="s">
        <v>81</v>
      </c>
      <c r="C16" s="44" t="s">
        <v>82</v>
      </c>
      <c r="D16" s="120" t="s">
        <v>178</v>
      </c>
      <c r="E16" s="132">
        <v>53.8</v>
      </c>
      <c r="F16" s="122">
        <f>SUM(E16*156/100)</f>
        <v>83.927999999999997</v>
      </c>
      <c r="G16" s="122">
        <v>481.7</v>
      </c>
      <c r="H16" s="93">
        <f t="shared" ref="H16:H22" si="0">SUM(F16*G16/1000)</f>
        <v>40.4281176</v>
      </c>
      <c r="I16" s="13">
        <f>F16/12*G16</f>
        <v>3369.0097999999998</v>
      </c>
      <c r="J16" s="8"/>
      <c r="K16" s="8"/>
      <c r="L16" s="8"/>
      <c r="M16" s="8"/>
    </row>
    <row r="17" spans="1:13" ht="15.75" customHeight="1">
      <c r="A17" s="33">
        <v>2</v>
      </c>
      <c r="B17" s="120" t="s">
        <v>120</v>
      </c>
      <c r="C17" s="44" t="s">
        <v>82</v>
      </c>
      <c r="D17" s="120" t="s">
        <v>179</v>
      </c>
      <c r="E17" s="132">
        <v>107.6</v>
      </c>
      <c r="F17" s="122">
        <f>SUM(E17*104/100)</f>
        <v>111.904</v>
      </c>
      <c r="G17" s="122">
        <v>380.58</v>
      </c>
      <c r="H17" s="93">
        <f t="shared" si="0"/>
        <v>42.588424320000001</v>
      </c>
      <c r="I17" s="13">
        <f>F17/12*G17</f>
        <v>3549.0353599999999</v>
      </c>
      <c r="J17" s="26"/>
      <c r="K17" s="8"/>
      <c r="L17" s="8"/>
      <c r="M17" s="8"/>
    </row>
    <row r="18" spans="1:13" ht="15.75" customHeight="1">
      <c r="A18" s="33">
        <v>3</v>
      </c>
      <c r="B18" s="120" t="s">
        <v>83</v>
      </c>
      <c r="C18" s="44" t="s">
        <v>82</v>
      </c>
      <c r="D18" s="120" t="s">
        <v>180</v>
      </c>
      <c r="E18" s="132">
        <f>SUM(E16+E17)</f>
        <v>161.39999999999998</v>
      </c>
      <c r="F18" s="122">
        <f>SUM(E18*18/100)</f>
        <v>29.052</v>
      </c>
      <c r="G18" s="122">
        <v>889.97</v>
      </c>
      <c r="H18" s="93">
        <f t="shared" si="0"/>
        <v>25.855408439999998</v>
      </c>
      <c r="I18" s="13">
        <f>F18/18*2*G18</f>
        <v>2872.8231599999999</v>
      </c>
      <c r="J18" s="26"/>
      <c r="K18" s="8"/>
      <c r="L18" s="8"/>
      <c r="M18" s="8"/>
    </row>
    <row r="19" spans="1:13" ht="15.75" hidden="1" customHeight="1">
      <c r="A19" s="33">
        <v>4</v>
      </c>
      <c r="B19" s="120" t="s">
        <v>84</v>
      </c>
      <c r="C19" s="44" t="s">
        <v>82</v>
      </c>
      <c r="D19" s="120" t="s">
        <v>186</v>
      </c>
      <c r="E19" s="132">
        <v>15.3</v>
      </c>
      <c r="F19" s="122">
        <f>SUM(E19/100)</f>
        <v>0.153</v>
      </c>
      <c r="G19" s="122">
        <v>1965.89</v>
      </c>
      <c r="H19" s="93">
        <f t="shared" si="0"/>
        <v>0.30078117000000004</v>
      </c>
      <c r="I19" s="13">
        <f>F19*G19</f>
        <v>300.78117000000003</v>
      </c>
      <c r="J19" s="26"/>
      <c r="K19" s="8"/>
      <c r="L19" s="8"/>
      <c r="M19" s="8"/>
    </row>
    <row r="20" spans="1:13" ht="15.75" customHeight="1">
      <c r="A20" s="33">
        <v>4</v>
      </c>
      <c r="B20" s="120" t="s">
        <v>91</v>
      </c>
      <c r="C20" s="44" t="s">
        <v>50</v>
      </c>
      <c r="D20" s="120" t="s">
        <v>184</v>
      </c>
      <c r="E20" s="132">
        <v>4.5</v>
      </c>
      <c r="F20" s="122">
        <f>E20/100*12</f>
        <v>0.54</v>
      </c>
      <c r="G20" s="122">
        <v>1037.97</v>
      </c>
      <c r="H20" s="93">
        <f>SUM(F20*G20/1000)</f>
        <v>0.56050380000000011</v>
      </c>
      <c r="I20" s="13">
        <f>F20*G20/12</f>
        <v>46.708650000000006</v>
      </c>
      <c r="J20" s="26"/>
      <c r="K20" s="8"/>
      <c r="L20" s="8"/>
      <c r="M20" s="8"/>
    </row>
    <row r="21" spans="1:13" ht="15.75" customHeight="1">
      <c r="A21" s="33">
        <v>5</v>
      </c>
      <c r="B21" s="120" t="s">
        <v>87</v>
      </c>
      <c r="C21" s="44" t="s">
        <v>82</v>
      </c>
      <c r="D21" s="120" t="s">
        <v>183</v>
      </c>
      <c r="E21" s="132">
        <v>19.62</v>
      </c>
      <c r="F21" s="122">
        <f>SUM(E21*12/100)</f>
        <v>2.3544</v>
      </c>
      <c r="G21" s="122">
        <v>848.17</v>
      </c>
      <c r="H21" s="93">
        <f t="shared" si="0"/>
        <v>1.996931448</v>
      </c>
      <c r="I21" s="13">
        <f>F21*G21/12</f>
        <v>166.410954</v>
      </c>
      <c r="J21" s="26"/>
      <c r="K21" s="8"/>
      <c r="L21" s="8"/>
      <c r="M21" s="8"/>
    </row>
    <row r="22" spans="1:13" ht="15.75" customHeight="1">
      <c r="A22" s="33">
        <v>6</v>
      </c>
      <c r="B22" s="120" t="s">
        <v>88</v>
      </c>
      <c r="C22" s="44" t="s">
        <v>82</v>
      </c>
      <c r="D22" s="120" t="s">
        <v>183</v>
      </c>
      <c r="E22" s="132">
        <v>8.68</v>
      </c>
      <c r="F22" s="122">
        <f>SUM(E22*12/100)</f>
        <v>1.0415999999999999</v>
      </c>
      <c r="G22" s="122">
        <v>523.94000000000005</v>
      </c>
      <c r="H22" s="93">
        <f t="shared" si="0"/>
        <v>0.54573590400000005</v>
      </c>
      <c r="I22" s="13">
        <f>F22*G22/12</f>
        <v>45.477992</v>
      </c>
      <c r="J22" s="26"/>
      <c r="K22" s="8"/>
      <c r="L22" s="8"/>
      <c r="M22" s="8"/>
    </row>
    <row r="23" spans="1:13" ht="15.75" hidden="1" customHeight="1">
      <c r="A23" s="33">
        <v>8</v>
      </c>
      <c r="B23" s="89" t="s">
        <v>89</v>
      </c>
      <c r="C23" s="90" t="s">
        <v>50</v>
      </c>
      <c r="D23" s="89" t="s">
        <v>86</v>
      </c>
      <c r="E23" s="91">
        <v>215</v>
      </c>
      <c r="F23" s="92">
        <f>SUM(E23/100)</f>
        <v>2.15</v>
      </c>
      <c r="G23" s="92">
        <v>335.05</v>
      </c>
      <c r="H23" s="93">
        <f t="shared" ref="H23:H26" si="1">SUM(F23*G23/1000)</f>
        <v>0.72035749999999998</v>
      </c>
      <c r="I23" s="13">
        <f>F23*G23</f>
        <v>720.35749999999996</v>
      </c>
      <c r="J23" s="26"/>
      <c r="K23" s="8"/>
      <c r="L23" s="8"/>
      <c r="M23" s="8"/>
    </row>
    <row r="24" spans="1:13" ht="15.75" hidden="1" customHeight="1">
      <c r="A24" s="33">
        <v>9</v>
      </c>
      <c r="B24" s="89" t="s">
        <v>90</v>
      </c>
      <c r="C24" s="90" t="s">
        <v>50</v>
      </c>
      <c r="D24" s="89" t="s">
        <v>86</v>
      </c>
      <c r="E24" s="94">
        <v>17.64</v>
      </c>
      <c r="F24" s="92">
        <f>SUM(E24/100)</f>
        <v>0.1764</v>
      </c>
      <c r="G24" s="92">
        <v>55.1</v>
      </c>
      <c r="H24" s="93">
        <f t="shared" si="1"/>
        <v>9.7196399999999999E-3</v>
      </c>
      <c r="I24" s="13">
        <f t="shared" ref="I24:I26" si="2">F24*G24</f>
        <v>9.7196400000000001</v>
      </c>
      <c r="J24" s="26"/>
      <c r="K24" s="8"/>
      <c r="L24" s="8"/>
      <c r="M24" s="8"/>
    </row>
    <row r="25" spans="1:13" ht="15.75" hidden="1" customHeight="1">
      <c r="A25" s="33">
        <v>10</v>
      </c>
      <c r="B25" s="89" t="s">
        <v>92</v>
      </c>
      <c r="C25" s="90" t="s">
        <v>50</v>
      </c>
      <c r="D25" s="89" t="s">
        <v>86</v>
      </c>
      <c r="E25" s="91">
        <v>14.4</v>
      </c>
      <c r="F25" s="92">
        <f>SUM(E25/100)</f>
        <v>0.14400000000000002</v>
      </c>
      <c r="G25" s="92">
        <v>648.04999999999995</v>
      </c>
      <c r="H25" s="93">
        <f>SUM(F25*G25/1000)</f>
        <v>9.3319200000000005E-2</v>
      </c>
      <c r="I25" s="13">
        <f t="shared" si="2"/>
        <v>93.319200000000009</v>
      </c>
      <c r="J25" s="26"/>
      <c r="K25" s="8"/>
      <c r="L25" s="8"/>
      <c r="M25" s="8"/>
    </row>
    <row r="26" spans="1:13" ht="15.75" hidden="1" customHeight="1">
      <c r="A26" s="33">
        <v>11</v>
      </c>
      <c r="B26" s="89" t="s">
        <v>122</v>
      </c>
      <c r="C26" s="90" t="s">
        <v>50</v>
      </c>
      <c r="D26" s="89" t="s">
        <v>51</v>
      </c>
      <c r="E26" s="91">
        <v>9.4499999999999993</v>
      </c>
      <c r="F26" s="92">
        <v>0.09</v>
      </c>
      <c r="G26" s="92">
        <v>268.92</v>
      </c>
      <c r="H26" s="93">
        <f t="shared" si="1"/>
        <v>2.42028E-2</v>
      </c>
      <c r="I26" s="13">
        <f t="shared" si="2"/>
        <v>24.2028</v>
      </c>
      <c r="J26" s="26"/>
      <c r="K26" s="8"/>
      <c r="L26" s="8"/>
      <c r="M26" s="8"/>
    </row>
    <row r="27" spans="1:13" ht="15.75" hidden="1" customHeight="1">
      <c r="A27" s="33">
        <v>4</v>
      </c>
      <c r="B27" s="89" t="s">
        <v>177</v>
      </c>
      <c r="C27" s="44" t="s">
        <v>173</v>
      </c>
      <c r="D27" s="120" t="s">
        <v>181</v>
      </c>
      <c r="E27" s="121">
        <v>2.5099999999999998</v>
      </c>
      <c r="F27" s="122">
        <f>E27*258</f>
        <v>647.57999999999993</v>
      </c>
      <c r="G27" s="122">
        <v>10.39</v>
      </c>
      <c r="H27" s="93">
        <f t="shared" ref="H27" si="3">SUM(F27*G27/1000)</f>
        <v>6.7283561999999995</v>
      </c>
      <c r="I27" s="13">
        <f>F27/12*G27</f>
        <v>560.69634999999994</v>
      </c>
      <c r="J27" s="26"/>
      <c r="K27" s="8"/>
      <c r="L27" s="8"/>
      <c r="M27" s="8"/>
    </row>
    <row r="28" spans="1:13" ht="15.75" customHeight="1">
      <c r="A28" s="180" t="s">
        <v>79</v>
      </c>
      <c r="B28" s="180"/>
      <c r="C28" s="180"/>
      <c r="D28" s="180"/>
      <c r="E28" s="180"/>
      <c r="F28" s="180"/>
      <c r="G28" s="180"/>
      <c r="H28" s="180"/>
      <c r="I28" s="180"/>
      <c r="J28" s="26"/>
      <c r="K28" s="8"/>
      <c r="L28" s="8"/>
      <c r="M28" s="8"/>
    </row>
    <row r="29" spans="1:13" ht="15.75" customHeight="1">
      <c r="A29" s="45"/>
      <c r="B29" s="55" t="s">
        <v>26</v>
      </c>
      <c r="C29" s="55"/>
      <c r="D29" s="55"/>
      <c r="E29" s="55"/>
      <c r="F29" s="55"/>
      <c r="G29" s="55"/>
      <c r="H29" s="55"/>
      <c r="I29" s="19"/>
      <c r="J29" s="26"/>
      <c r="K29" s="8"/>
      <c r="L29" s="8"/>
      <c r="M29" s="8"/>
    </row>
    <row r="30" spans="1:13" ht="15.75" customHeight="1">
      <c r="A30" s="45">
        <v>7</v>
      </c>
      <c r="B30" s="120" t="s">
        <v>150</v>
      </c>
      <c r="C30" s="44" t="s">
        <v>52</v>
      </c>
      <c r="D30" s="120" t="s">
        <v>222</v>
      </c>
      <c r="E30" s="122">
        <v>303.39999999999998</v>
      </c>
      <c r="F30" s="122">
        <f>SUM(E30*24)</f>
        <v>7281.5999999999995</v>
      </c>
      <c r="G30" s="122">
        <v>4.67</v>
      </c>
      <c r="H30" s="93">
        <f t="shared" ref="H30:H33" si="4">SUM(F30*G30/1000)</f>
        <v>34.005071999999998</v>
      </c>
      <c r="I30" s="13">
        <f>F30/6*G30</f>
        <v>5667.5119999999997</v>
      </c>
      <c r="J30" s="26"/>
      <c r="K30" s="8"/>
      <c r="L30" s="8"/>
      <c r="M30" s="8"/>
    </row>
    <row r="31" spans="1:13" ht="31.5" customHeight="1">
      <c r="A31" s="45">
        <v>8</v>
      </c>
      <c r="B31" s="120" t="s">
        <v>221</v>
      </c>
      <c r="C31" s="44" t="s">
        <v>93</v>
      </c>
      <c r="D31" s="120" t="s">
        <v>223</v>
      </c>
      <c r="E31" s="122">
        <v>42.5</v>
      </c>
      <c r="F31" s="122">
        <f>SUM(E31*72/1000)</f>
        <v>3.06</v>
      </c>
      <c r="G31" s="122">
        <v>537.1</v>
      </c>
      <c r="H31" s="93">
        <f t="shared" si="4"/>
        <v>1.643526</v>
      </c>
      <c r="I31" s="13">
        <f t="shared" ref="I31:I33" si="5">F31/6*G31</f>
        <v>273.92099999999999</v>
      </c>
      <c r="J31" s="26"/>
      <c r="K31" s="8"/>
      <c r="L31" s="8"/>
      <c r="M31" s="8"/>
    </row>
    <row r="32" spans="1:13" ht="15.75" hidden="1" customHeight="1">
      <c r="A32" s="45">
        <v>16</v>
      </c>
      <c r="B32" s="120" t="s">
        <v>149</v>
      </c>
      <c r="C32" s="44" t="s">
        <v>52</v>
      </c>
      <c r="D32" s="120" t="s">
        <v>51</v>
      </c>
      <c r="E32" s="122">
        <v>632.4</v>
      </c>
      <c r="F32" s="122">
        <f>SUM(E32)</f>
        <v>632.4</v>
      </c>
      <c r="G32" s="122">
        <v>7.07</v>
      </c>
      <c r="H32" s="93">
        <f t="shared" si="4"/>
        <v>4.4710679999999998</v>
      </c>
      <c r="I32" s="13">
        <f>F32*G32</f>
        <v>4471.0680000000002</v>
      </c>
      <c r="J32" s="26"/>
      <c r="K32" s="8"/>
      <c r="L32" s="8"/>
      <c r="M32" s="8"/>
    </row>
    <row r="33" spans="1:14" ht="15.75" customHeight="1">
      <c r="A33" s="45">
        <v>9</v>
      </c>
      <c r="B33" s="120" t="s">
        <v>123</v>
      </c>
      <c r="C33" s="44" t="s">
        <v>38</v>
      </c>
      <c r="D33" s="120" t="s">
        <v>224</v>
      </c>
      <c r="E33" s="122">
        <v>3</v>
      </c>
      <c r="F33" s="122">
        <f>E33*156/100</f>
        <v>4.68</v>
      </c>
      <c r="G33" s="122">
        <v>2018.82</v>
      </c>
      <c r="H33" s="93">
        <f t="shared" si="4"/>
        <v>9.4480775999999995</v>
      </c>
      <c r="I33" s="13">
        <f t="shared" si="5"/>
        <v>1574.6795999999997</v>
      </c>
      <c r="J33" s="26"/>
      <c r="K33" s="8"/>
      <c r="L33" s="8"/>
      <c r="M33" s="8"/>
    </row>
    <row r="34" spans="1:14" ht="15.75" hidden="1" customHeight="1">
      <c r="A34" s="45">
        <v>4</v>
      </c>
      <c r="B34" s="89" t="s">
        <v>61</v>
      </c>
      <c r="C34" s="90" t="s">
        <v>30</v>
      </c>
      <c r="D34" s="89" t="s">
        <v>63</v>
      </c>
      <c r="E34" s="91"/>
      <c r="F34" s="92">
        <v>2</v>
      </c>
      <c r="G34" s="92">
        <v>238.07</v>
      </c>
      <c r="H34" s="93">
        <f t="shared" ref="H34:H35" si="6">SUM(F34*G34/1000)</f>
        <v>0.47614000000000001</v>
      </c>
      <c r="I34" s="13">
        <v>0</v>
      </c>
      <c r="J34" s="26"/>
      <c r="K34" s="8"/>
    </row>
    <row r="35" spans="1:14" ht="15.75" hidden="1" customHeight="1">
      <c r="A35" s="33">
        <v>8</v>
      </c>
      <c r="B35" s="89" t="s">
        <v>62</v>
      </c>
      <c r="C35" s="90" t="s">
        <v>29</v>
      </c>
      <c r="D35" s="89" t="s">
        <v>63</v>
      </c>
      <c r="E35" s="91"/>
      <c r="F35" s="92">
        <v>3</v>
      </c>
      <c r="G35" s="92">
        <v>1413.96</v>
      </c>
      <c r="H35" s="93">
        <f t="shared" si="6"/>
        <v>4.2418800000000001</v>
      </c>
      <c r="I35" s="13">
        <v>0</v>
      </c>
      <c r="J35" s="27"/>
    </row>
    <row r="36" spans="1:14" ht="15.75" hidden="1" customHeight="1">
      <c r="A36" s="45"/>
      <c r="B36" s="53" t="s">
        <v>5</v>
      </c>
      <c r="C36" s="53"/>
      <c r="D36" s="53"/>
      <c r="E36" s="13"/>
      <c r="F36" s="13"/>
      <c r="G36" s="14"/>
      <c r="H36" s="14"/>
      <c r="I36" s="19"/>
      <c r="J36" s="27"/>
    </row>
    <row r="37" spans="1:14" ht="15.75" hidden="1" customHeight="1">
      <c r="A37" s="37">
        <v>6</v>
      </c>
      <c r="B37" s="89" t="s">
        <v>25</v>
      </c>
      <c r="C37" s="90" t="s">
        <v>29</v>
      </c>
      <c r="D37" s="89"/>
      <c r="E37" s="91"/>
      <c r="F37" s="92">
        <v>2</v>
      </c>
      <c r="G37" s="92">
        <v>1900.37</v>
      </c>
      <c r="H37" s="93">
        <f t="shared" ref="H37:H42" si="7">SUM(F37*G37/1000)</f>
        <v>3.8007399999999998</v>
      </c>
      <c r="I37" s="13">
        <f t="shared" ref="I37:I42" si="8">F37/6*G37</f>
        <v>633.45666666666659</v>
      </c>
      <c r="J37" s="27"/>
    </row>
    <row r="38" spans="1:14" ht="15.75" hidden="1" customHeight="1">
      <c r="A38" s="37">
        <v>7</v>
      </c>
      <c r="B38" s="89" t="s">
        <v>64</v>
      </c>
      <c r="C38" s="90" t="s">
        <v>27</v>
      </c>
      <c r="D38" s="89" t="s">
        <v>98</v>
      </c>
      <c r="E38" s="92">
        <v>42.5</v>
      </c>
      <c r="F38" s="92">
        <f>SUM(E38*30/1000)</f>
        <v>1.2749999999999999</v>
      </c>
      <c r="G38" s="92">
        <v>2616.4899999999998</v>
      </c>
      <c r="H38" s="93">
        <f t="shared" si="7"/>
        <v>3.3360247499999995</v>
      </c>
      <c r="I38" s="13">
        <f t="shared" si="8"/>
        <v>556.00412499999993</v>
      </c>
      <c r="J38" s="27"/>
    </row>
    <row r="39" spans="1:14" ht="15.75" hidden="1" customHeight="1">
      <c r="A39" s="37">
        <v>8</v>
      </c>
      <c r="B39" s="89" t="s">
        <v>65</v>
      </c>
      <c r="C39" s="90" t="s">
        <v>27</v>
      </c>
      <c r="D39" s="89" t="s">
        <v>99</v>
      </c>
      <c r="E39" s="92">
        <v>42.5</v>
      </c>
      <c r="F39" s="92">
        <f>SUM(E39*155/1000)</f>
        <v>6.5875000000000004</v>
      </c>
      <c r="G39" s="92">
        <v>436.45</v>
      </c>
      <c r="H39" s="93">
        <f t="shared" si="7"/>
        <v>2.8751143749999999</v>
      </c>
      <c r="I39" s="13">
        <f t="shared" si="8"/>
        <v>479.18572916666665</v>
      </c>
      <c r="J39" s="27"/>
    </row>
    <row r="40" spans="1:14" ht="47.25" hidden="1" customHeight="1">
      <c r="A40" s="37">
        <v>9</v>
      </c>
      <c r="B40" s="89" t="s">
        <v>78</v>
      </c>
      <c r="C40" s="90" t="s">
        <v>93</v>
      </c>
      <c r="D40" s="89" t="s">
        <v>100</v>
      </c>
      <c r="E40" s="92">
        <v>42.5</v>
      </c>
      <c r="F40" s="92">
        <f>SUM(E40*35/1000)</f>
        <v>1.4875</v>
      </c>
      <c r="G40" s="92">
        <v>7221.21</v>
      </c>
      <c r="H40" s="93">
        <f t="shared" si="7"/>
        <v>10.741549875</v>
      </c>
      <c r="I40" s="13">
        <f t="shared" si="8"/>
        <v>1790.2583125000001</v>
      </c>
      <c r="J40" s="27"/>
    </row>
    <row r="41" spans="1:14" ht="15.75" hidden="1" customHeight="1">
      <c r="A41" s="37">
        <v>10</v>
      </c>
      <c r="B41" s="89" t="s">
        <v>101</v>
      </c>
      <c r="C41" s="90" t="s">
        <v>93</v>
      </c>
      <c r="D41" s="89" t="s">
        <v>102</v>
      </c>
      <c r="E41" s="92">
        <v>42.5</v>
      </c>
      <c r="F41" s="92">
        <f>SUM(E41*20/1000)</f>
        <v>0.85</v>
      </c>
      <c r="G41" s="92">
        <v>533.45000000000005</v>
      </c>
      <c r="H41" s="93">
        <f t="shared" si="7"/>
        <v>0.45343250000000002</v>
      </c>
      <c r="I41" s="13">
        <f t="shared" si="8"/>
        <v>75.572083333333339</v>
      </c>
      <c r="J41" s="27"/>
      <c r="L41" s="21"/>
      <c r="M41" s="22"/>
      <c r="N41" s="23"/>
    </row>
    <row r="42" spans="1:14" ht="15.75" hidden="1" customHeight="1">
      <c r="A42" s="37">
        <v>11</v>
      </c>
      <c r="B42" s="89" t="s">
        <v>66</v>
      </c>
      <c r="C42" s="90" t="s">
        <v>30</v>
      </c>
      <c r="D42" s="89"/>
      <c r="E42" s="91"/>
      <c r="F42" s="92">
        <v>0.5</v>
      </c>
      <c r="G42" s="92">
        <v>992.97</v>
      </c>
      <c r="H42" s="93">
        <f t="shared" si="7"/>
        <v>0.49648500000000001</v>
      </c>
      <c r="I42" s="13">
        <f t="shared" si="8"/>
        <v>82.747500000000002</v>
      </c>
      <c r="J42" s="27"/>
      <c r="L42" s="21"/>
      <c r="M42" s="22"/>
      <c r="N42" s="23"/>
    </row>
    <row r="43" spans="1:14" ht="15.75" hidden="1" customHeight="1">
      <c r="A43" s="170" t="s">
        <v>146</v>
      </c>
      <c r="B43" s="171"/>
      <c r="C43" s="171"/>
      <c r="D43" s="171"/>
      <c r="E43" s="171"/>
      <c r="F43" s="171"/>
      <c r="G43" s="171"/>
      <c r="H43" s="171"/>
      <c r="I43" s="172"/>
      <c r="J43" s="27"/>
      <c r="L43" s="21"/>
      <c r="M43" s="22"/>
      <c r="N43" s="23"/>
    </row>
    <row r="44" spans="1:14" ht="15.75" hidden="1" customHeight="1">
      <c r="A44" s="45">
        <v>12</v>
      </c>
      <c r="B44" s="89" t="s">
        <v>103</v>
      </c>
      <c r="C44" s="90" t="s">
        <v>93</v>
      </c>
      <c r="D44" s="89" t="s">
        <v>40</v>
      </c>
      <c r="E44" s="91">
        <v>1060.4000000000001</v>
      </c>
      <c r="F44" s="92">
        <f>SUM(E44*2/1000)</f>
        <v>2.1208</v>
      </c>
      <c r="G44" s="13">
        <v>1283.46</v>
      </c>
      <c r="H44" s="93">
        <f t="shared" ref="H44:H54" si="9">SUM(F44*G44/1000)</f>
        <v>2.721961968</v>
      </c>
      <c r="I44" s="13">
        <f t="shared" ref="I44:I47" si="10">F44/2*G44</f>
        <v>1360.980984</v>
      </c>
      <c r="J44" s="27"/>
      <c r="L44" s="21"/>
      <c r="M44" s="22"/>
      <c r="N44" s="23"/>
    </row>
    <row r="45" spans="1:14" ht="15.75" hidden="1" customHeight="1">
      <c r="A45" s="45">
        <v>13</v>
      </c>
      <c r="B45" s="89" t="s">
        <v>33</v>
      </c>
      <c r="C45" s="90" t="s">
        <v>93</v>
      </c>
      <c r="D45" s="89" t="s">
        <v>40</v>
      </c>
      <c r="E45" s="91">
        <v>19.8</v>
      </c>
      <c r="F45" s="92">
        <f>SUM(E45*2/1000)</f>
        <v>3.9600000000000003E-2</v>
      </c>
      <c r="G45" s="13">
        <v>721.04</v>
      </c>
      <c r="H45" s="93">
        <f t="shared" si="9"/>
        <v>2.8553184000000002E-2</v>
      </c>
      <c r="I45" s="13">
        <f t="shared" si="10"/>
        <v>14.276592000000001</v>
      </c>
      <c r="J45" s="27"/>
      <c r="L45" s="21"/>
      <c r="M45" s="22"/>
      <c r="N45" s="23"/>
    </row>
    <row r="46" spans="1:14" ht="15.75" hidden="1" customHeight="1">
      <c r="A46" s="45">
        <v>14</v>
      </c>
      <c r="B46" s="89" t="s">
        <v>34</v>
      </c>
      <c r="C46" s="90" t="s">
        <v>93</v>
      </c>
      <c r="D46" s="89" t="s">
        <v>40</v>
      </c>
      <c r="E46" s="91">
        <v>660.84</v>
      </c>
      <c r="F46" s="92">
        <f>SUM(E46*2/1000)</f>
        <v>1.32168</v>
      </c>
      <c r="G46" s="13">
        <v>1711.28</v>
      </c>
      <c r="H46" s="93">
        <f t="shared" si="9"/>
        <v>2.2617645503999997</v>
      </c>
      <c r="I46" s="13">
        <f t="shared" si="10"/>
        <v>1130.8822751999999</v>
      </c>
      <c r="J46" s="27"/>
      <c r="L46" s="21"/>
      <c r="M46" s="22"/>
      <c r="N46" s="23"/>
    </row>
    <row r="47" spans="1:14" ht="15.75" hidden="1" customHeight="1">
      <c r="A47" s="45">
        <v>15</v>
      </c>
      <c r="B47" s="89" t="s">
        <v>35</v>
      </c>
      <c r="C47" s="90" t="s">
        <v>93</v>
      </c>
      <c r="D47" s="89" t="s">
        <v>40</v>
      </c>
      <c r="E47" s="91">
        <v>1156.21</v>
      </c>
      <c r="F47" s="92">
        <f>SUM(E47*2/1000)</f>
        <v>2.3124199999999999</v>
      </c>
      <c r="G47" s="13">
        <v>1179.73</v>
      </c>
      <c r="H47" s="93">
        <f t="shared" si="9"/>
        <v>2.7280312466000001</v>
      </c>
      <c r="I47" s="13">
        <f t="shared" si="10"/>
        <v>1364.0156233</v>
      </c>
      <c r="J47" s="27"/>
      <c r="L47" s="21"/>
      <c r="M47" s="22"/>
      <c r="N47" s="23"/>
    </row>
    <row r="48" spans="1:14" ht="15.75" hidden="1" customHeight="1">
      <c r="A48" s="45">
        <v>16</v>
      </c>
      <c r="B48" s="89" t="s">
        <v>31</v>
      </c>
      <c r="C48" s="90" t="s">
        <v>32</v>
      </c>
      <c r="D48" s="89" t="s">
        <v>40</v>
      </c>
      <c r="E48" s="91">
        <v>15.38</v>
      </c>
      <c r="F48" s="92">
        <f>SUM(E48*2/100)</f>
        <v>0.30760000000000004</v>
      </c>
      <c r="G48" s="13">
        <v>90.61</v>
      </c>
      <c r="H48" s="93">
        <f t="shared" si="9"/>
        <v>2.7871636000000002E-2</v>
      </c>
      <c r="I48" s="13">
        <f>F48/2*G48</f>
        <v>13.935818000000001</v>
      </c>
      <c r="J48" s="27"/>
      <c r="L48" s="21"/>
      <c r="M48" s="22"/>
      <c r="N48" s="23"/>
    </row>
    <row r="49" spans="1:14" ht="15.75" hidden="1" customHeight="1">
      <c r="A49" s="45">
        <v>17</v>
      </c>
      <c r="B49" s="89" t="s">
        <v>53</v>
      </c>
      <c r="C49" s="90" t="s">
        <v>93</v>
      </c>
      <c r="D49" s="89" t="s">
        <v>151</v>
      </c>
      <c r="E49" s="91">
        <v>823</v>
      </c>
      <c r="F49" s="92">
        <f>SUM(E49*5/1000)</f>
        <v>4.1150000000000002</v>
      </c>
      <c r="G49" s="13">
        <v>1711.28</v>
      </c>
      <c r="H49" s="93">
        <f t="shared" si="9"/>
        <v>7.0419171999999994</v>
      </c>
      <c r="I49" s="13">
        <f>F49/5*G49</f>
        <v>1408.3834400000001</v>
      </c>
      <c r="J49" s="27"/>
      <c r="L49" s="21"/>
      <c r="M49" s="22"/>
      <c r="N49" s="23"/>
    </row>
    <row r="50" spans="1:14" ht="31.5" hidden="1" customHeight="1">
      <c r="A50" s="45">
        <v>10</v>
      </c>
      <c r="B50" s="89" t="s">
        <v>104</v>
      </c>
      <c r="C50" s="90" t="s">
        <v>93</v>
      </c>
      <c r="D50" s="89" t="s">
        <v>40</v>
      </c>
      <c r="E50" s="91">
        <v>823</v>
      </c>
      <c r="F50" s="92">
        <f>SUM(E50*2/1000)</f>
        <v>1.6459999999999999</v>
      </c>
      <c r="G50" s="13">
        <v>1510.06</v>
      </c>
      <c r="H50" s="93">
        <f t="shared" si="9"/>
        <v>2.48555876</v>
      </c>
      <c r="I50" s="13">
        <f>F50/2*G50</f>
        <v>1242.7793799999999</v>
      </c>
      <c r="J50" s="27"/>
      <c r="L50" s="21"/>
      <c r="M50" s="22"/>
      <c r="N50" s="23"/>
    </row>
    <row r="51" spans="1:14" ht="31.5" hidden="1" customHeight="1">
      <c r="A51" s="45">
        <v>11</v>
      </c>
      <c r="B51" s="89" t="s">
        <v>105</v>
      </c>
      <c r="C51" s="90" t="s">
        <v>36</v>
      </c>
      <c r="D51" s="89" t="s">
        <v>40</v>
      </c>
      <c r="E51" s="91">
        <v>9</v>
      </c>
      <c r="F51" s="92">
        <f>SUM(E51*2/100)</f>
        <v>0.18</v>
      </c>
      <c r="G51" s="13">
        <v>3850.4</v>
      </c>
      <c r="H51" s="93">
        <f t="shared" si="9"/>
        <v>0.69307200000000002</v>
      </c>
      <c r="I51" s="13">
        <f t="shared" ref="I51:I52" si="11">F51/2*G51</f>
        <v>346.536</v>
      </c>
      <c r="J51" s="27"/>
      <c r="L51" s="21"/>
      <c r="M51" s="22"/>
      <c r="N51" s="23"/>
    </row>
    <row r="52" spans="1:14" ht="15.75" hidden="1" customHeight="1">
      <c r="A52" s="45">
        <v>12</v>
      </c>
      <c r="B52" s="89" t="s">
        <v>37</v>
      </c>
      <c r="C52" s="90" t="s">
        <v>38</v>
      </c>
      <c r="D52" s="89" t="s">
        <v>40</v>
      </c>
      <c r="E52" s="91">
        <v>1</v>
      </c>
      <c r="F52" s="92">
        <v>0.02</v>
      </c>
      <c r="G52" s="13">
        <v>7033.13</v>
      </c>
      <c r="H52" s="93">
        <f t="shared" si="9"/>
        <v>0.1406626</v>
      </c>
      <c r="I52" s="13">
        <f t="shared" si="11"/>
        <v>70.331299999999999</v>
      </c>
      <c r="J52" s="27"/>
      <c r="L52" s="21"/>
      <c r="M52" s="22"/>
      <c r="N52" s="23"/>
    </row>
    <row r="53" spans="1:14" ht="15.75" hidden="1" customHeight="1">
      <c r="A53" s="45">
        <v>13</v>
      </c>
      <c r="B53" s="89" t="s">
        <v>124</v>
      </c>
      <c r="C53" s="90" t="s">
        <v>106</v>
      </c>
      <c r="D53" s="89" t="s">
        <v>67</v>
      </c>
      <c r="E53" s="91">
        <v>36</v>
      </c>
      <c r="F53" s="92">
        <f>SUM(E53*3)</f>
        <v>108</v>
      </c>
      <c r="G53" s="13">
        <v>175.6</v>
      </c>
      <c r="H53" s="93">
        <f t="shared" si="9"/>
        <v>18.9648</v>
      </c>
      <c r="I53" s="13">
        <f>E53*G53</f>
        <v>6321.5999999999995</v>
      </c>
      <c r="J53" s="27"/>
      <c r="L53" s="21"/>
      <c r="M53" s="22"/>
      <c r="N53" s="23"/>
    </row>
    <row r="54" spans="1:14" ht="15.75" hidden="1" customHeight="1">
      <c r="A54" s="45">
        <v>14</v>
      </c>
      <c r="B54" s="89" t="s">
        <v>39</v>
      </c>
      <c r="C54" s="90" t="s">
        <v>106</v>
      </c>
      <c r="D54" s="89" t="s">
        <v>67</v>
      </c>
      <c r="E54" s="91">
        <v>36</v>
      </c>
      <c r="F54" s="92">
        <f>SUM(E54)*3</f>
        <v>108</v>
      </c>
      <c r="G54" s="13">
        <v>81.73</v>
      </c>
      <c r="H54" s="93">
        <f t="shared" si="9"/>
        <v>8.8268400000000007</v>
      </c>
      <c r="I54" s="13">
        <f>E54*G54</f>
        <v>2942.28</v>
      </c>
      <c r="J54" s="27"/>
      <c r="L54" s="21"/>
      <c r="M54" s="22"/>
      <c r="N54" s="23"/>
    </row>
    <row r="55" spans="1:14" ht="15.75" customHeight="1">
      <c r="A55" s="170" t="s">
        <v>160</v>
      </c>
      <c r="B55" s="171"/>
      <c r="C55" s="171"/>
      <c r="D55" s="171"/>
      <c r="E55" s="171"/>
      <c r="F55" s="171"/>
      <c r="G55" s="171"/>
      <c r="H55" s="171"/>
      <c r="I55" s="172"/>
      <c r="J55" s="27"/>
      <c r="L55" s="21"/>
      <c r="M55" s="22"/>
      <c r="N55" s="23"/>
    </row>
    <row r="56" spans="1:14" ht="17.25" hidden="1" customHeight="1">
      <c r="A56" s="57"/>
      <c r="B56" s="52" t="s">
        <v>41</v>
      </c>
      <c r="C56" s="17"/>
      <c r="D56" s="16"/>
      <c r="E56" s="16"/>
      <c r="F56" s="16"/>
      <c r="G56" s="33"/>
      <c r="H56" s="33"/>
      <c r="I56" s="19"/>
      <c r="J56" s="27"/>
      <c r="L56" s="21"/>
      <c r="M56" s="22"/>
      <c r="N56" s="23"/>
    </row>
    <row r="57" spans="1:14" ht="31.5" hidden="1" customHeight="1">
      <c r="A57" s="45">
        <v>12</v>
      </c>
      <c r="B57" s="89" t="s">
        <v>152</v>
      </c>
      <c r="C57" s="90" t="s">
        <v>82</v>
      </c>
      <c r="D57" s="89" t="s">
        <v>107</v>
      </c>
      <c r="E57" s="91">
        <v>71.02</v>
      </c>
      <c r="F57" s="92">
        <f>SUM(E57*6/100)</f>
        <v>4.2611999999999997</v>
      </c>
      <c r="G57" s="13">
        <v>2306.62</v>
      </c>
      <c r="H57" s="93">
        <f>SUM(F57*G57/1000)</f>
        <v>9.8289691439999984</v>
      </c>
      <c r="I57" s="13">
        <f>F57/6*G57</f>
        <v>1638.1615239999999</v>
      </c>
      <c r="J57" s="27"/>
      <c r="L57" s="21"/>
      <c r="M57" s="22"/>
      <c r="N57" s="23"/>
    </row>
    <row r="58" spans="1:14" ht="15.75" hidden="1" customHeight="1">
      <c r="A58" s="45"/>
      <c r="B58" s="89" t="s">
        <v>108</v>
      </c>
      <c r="C58" s="90" t="s">
        <v>153</v>
      </c>
      <c r="D58" s="89" t="s">
        <v>63</v>
      </c>
      <c r="E58" s="97"/>
      <c r="F58" s="92">
        <v>2</v>
      </c>
      <c r="G58" s="92">
        <v>1501</v>
      </c>
      <c r="H58" s="93">
        <f>SUM(F58*G58/1000)</f>
        <v>3.0019999999999998</v>
      </c>
      <c r="I58" s="13">
        <v>0</v>
      </c>
      <c r="J58" s="27"/>
      <c r="L58" s="21"/>
      <c r="M58" s="22"/>
      <c r="N58" s="23"/>
    </row>
    <row r="59" spans="1:14" ht="15.75" customHeight="1">
      <c r="A59" s="45"/>
      <c r="B59" s="76" t="s">
        <v>42</v>
      </c>
      <c r="C59" s="76"/>
      <c r="D59" s="76"/>
      <c r="E59" s="76"/>
      <c r="F59" s="76"/>
      <c r="G59" s="76"/>
      <c r="H59" s="76"/>
      <c r="I59" s="39"/>
      <c r="J59" s="27"/>
      <c r="L59" s="21"/>
      <c r="M59" s="22"/>
      <c r="N59" s="23"/>
    </row>
    <row r="60" spans="1:14" ht="15.75" hidden="1" customHeight="1">
      <c r="A60" s="45">
        <v>27</v>
      </c>
      <c r="B60" s="89" t="s">
        <v>154</v>
      </c>
      <c r="C60" s="90" t="s">
        <v>50</v>
      </c>
      <c r="D60" s="89" t="s">
        <v>51</v>
      </c>
      <c r="E60" s="91">
        <v>434.4</v>
      </c>
      <c r="F60" s="93">
        <f>SUM(E60/100)</f>
        <v>4.3439999999999994</v>
      </c>
      <c r="G60" s="13">
        <v>987.51</v>
      </c>
      <c r="H60" s="98">
        <f>F60*G60/1000</f>
        <v>4.2897434399999996</v>
      </c>
      <c r="I60" s="13">
        <v>0</v>
      </c>
      <c r="J60" s="27"/>
      <c r="L60" s="21"/>
      <c r="M60" s="22"/>
      <c r="N60" s="23"/>
    </row>
    <row r="61" spans="1:14" ht="15.75" customHeight="1">
      <c r="A61" s="45">
        <v>10</v>
      </c>
      <c r="B61" s="120" t="s">
        <v>172</v>
      </c>
      <c r="C61" s="44" t="s">
        <v>173</v>
      </c>
      <c r="D61" s="120" t="s">
        <v>184</v>
      </c>
      <c r="E61" s="132">
        <v>12</v>
      </c>
      <c r="F61" s="138">
        <f>E61*12</f>
        <v>144</v>
      </c>
      <c r="G61" s="40">
        <v>1.4</v>
      </c>
      <c r="H61" s="112"/>
      <c r="I61" s="13">
        <f>G61*F61/12</f>
        <v>16.8</v>
      </c>
      <c r="J61" s="27"/>
      <c r="L61" s="21"/>
      <c r="M61" s="22"/>
      <c r="N61" s="23"/>
    </row>
    <row r="62" spans="1:14" ht="15.75" hidden="1" customHeight="1">
      <c r="A62" s="45"/>
      <c r="B62" s="69" t="s">
        <v>125</v>
      </c>
      <c r="C62" s="44"/>
      <c r="D62" s="68"/>
      <c r="E62" s="67"/>
      <c r="F62" s="67"/>
      <c r="G62" s="40"/>
      <c r="H62" s="40"/>
      <c r="I62" s="20"/>
      <c r="J62" s="27"/>
      <c r="L62" s="21"/>
      <c r="M62" s="22"/>
      <c r="N62" s="23"/>
    </row>
    <row r="63" spans="1:14" ht="15.75" hidden="1" customHeight="1">
      <c r="A63" s="45"/>
      <c r="B63" s="89" t="s">
        <v>126</v>
      </c>
      <c r="C63" s="90" t="s">
        <v>106</v>
      </c>
      <c r="D63" s="41" t="s">
        <v>63</v>
      </c>
      <c r="E63" s="91">
        <v>1</v>
      </c>
      <c r="F63" s="92">
        <f>E63</f>
        <v>1</v>
      </c>
      <c r="G63" s="99">
        <v>323.38</v>
      </c>
      <c r="H63" s="93">
        <f t="shared" ref="H63" si="12">SUM(F63*G63/1000)</f>
        <v>0.32338</v>
      </c>
      <c r="I63" s="13">
        <v>0</v>
      </c>
      <c r="J63" s="27"/>
      <c r="L63" s="21"/>
      <c r="M63" s="22"/>
      <c r="N63" s="23"/>
    </row>
    <row r="64" spans="1:14" ht="15.75" hidden="1" customHeight="1">
      <c r="A64" s="45"/>
      <c r="B64" s="76" t="s">
        <v>43</v>
      </c>
      <c r="C64" s="17"/>
      <c r="D64" s="41"/>
      <c r="E64" s="16"/>
      <c r="F64" s="16"/>
      <c r="G64" s="33"/>
      <c r="H64" s="33"/>
      <c r="I64" s="19"/>
      <c r="J64" s="27"/>
      <c r="L64" s="21"/>
      <c r="M64" s="22"/>
      <c r="N64" s="23"/>
    </row>
    <row r="65" spans="1:21" ht="15.75" hidden="1" customHeight="1">
      <c r="A65" s="45">
        <v>17</v>
      </c>
      <c r="B65" s="15" t="s">
        <v>44</v>
      </c>
      <c r="C65" s="17" t="s">
        <v>106</v>
      </c>
      <c r="D65" s="41" t="s">
        <v>63</v>
      </c>
      <c r="E65" s="19">
        <v>10</v>
      </c>
      <c r="F65" s="92">
        <v>10</v>
      </c>
      <c r="G65" s="13">
        <v>276.74</v>
      </c>
      <c r="H65" s="100">
        <f t="shared" ref="H65:H72" si="13">SUM(F65*G65/1000)</f>
        <v>2.7674000000000003</v>
      </c>
      <c r="I65" s="13">
        <v>0</v>
      </c>
      <c r="J65" s="27"/>
      <c r="L65" s="21"/>
      <c r="M65" s="22"/>
      <c r="N65" s="23"/>
    </row>
    <row r="66" spans="1:21" ht="15.75" hidden="1" customHeight="1">
      <c r="A66" s="33">
        <v>29</v>
      </c>
      <c r="B66" s="15" t="s">
        <v>45</v>
      </c>
      <c r="C66" s="17" t="s">
        <v>106</v>
      </c>
      <c r="D66" s="41" t="s">
        <v>63</v>
      </c>
      <c r="E66" s="19">
        <v>3</v>
      </c>
      <c r="F66" s="92">
        <v>3</v>
      </c>
      <c r="G66" s="13">
        <v>94.89</v>
      </c>
      <c r="H66" s="100">
        <f t="shared" si="13"/>
        <v>0.28467000000000003</v>
      </c>
      <c r="I66" s="13">
        <v>0</v>
      </c>
      <c r="J66" s="27"/>
      <c r="L66" s="21"/>
      <c r="M66" s="22"/>
      <c r="N66" s="23"/>
    </row>
    <row r="67" spans="1:21" ht="15.75" hidden="1" customHeight="1">
      <c r="A67" s="33">
        <v>28</v>
      </c>
      <c r="B67" s="15" t="s">
        <v>46</v>
      </c>
      <c r="C67" s="17" t="s">
        <v>109</v>
      </c>
      <c r="D67" s="15" t="s">
        <v>51</v>
      </c>
      <c r="E67" s="91">
        <v>7265</v>
      </c>
      <c r="F67" s="13">
        <f>SUM(E67/100)</f>
        <v>72.650000000000006</v>
      </c>
      <c r="G67" s="13">
        <v>263.99</v>
      </c>
      <c r="H67" s="100">
        <f t="shared" si="13"/>
        <v>19.178873500000002</v>
      </c>
      <c r="I67" s="13">
        <f>F67*G67</f>
        <v>19178.873500000002</v>
      </c>
      <c r="J67" s="27"/>
      <c r="L67" s="21"/>
      <c r="M67" s="22"/>
      <c r="N67" s="23"/>
    </row>
    <row r="68" spans="1:21" ht="15.75" hidden="1" customHeight="1">
      <c r="A68" s="33">
        <v>29</v>
      </c>
      <c r="B68" s="15" t="s">
        <v>47</v>
      </c>
      <c r="C68" s="17" t="s">
        <v>110</v>
      </c>
      <c r="D68" s="15" t="s">
        <v>51</v>
      </c>
      <c r="E68" s="91">
        <v>7265</v>
      </c>
      <c r="F68" s="13">
        <f>SUM(E68/1000)</f>
        <v>7.2649999999999997</v>
      </c>
      <c r="G68" s="13">
        <v>205.57</v>
      </c>
      <c r="H68" s="100">
        <f t="shared" si="13"/>
        <v>1.4934660500000001</v>
      </c>
      <c r="I68" s="13">
        <f t="shared" ref="I68:I71" si="14">F68*G68</f>
        <v>1493.46605</v>
      </c>
      <c r="J68" s="27"/>
      <c r="L68" s="21"/>
      <c r="M68" s="22"/>
      <c r="N68" s="23"/>
    </row>
    <row r="69" spans="1:21" ht="15.75" hidden="1" customHeight="1">
      <c r="A69" s="33">
        <v>30</v>
      </c>
      <c r="B69" s="15" t="s">
        <v>48</v>
      </c>
      <c r="C69" s="17" t="s">
        <v>73</v>
      </c>
      <c r="D69" s="15" t="s">
        <v>51</v>
      </c>
      <c r="E69" s="91">
        <v>1090</v>
      </c>
      <c r="F69" s="13">
        <f>SUM(E69/100)</f>
        <v>10.9</v>
      </c>
      <c r="G69" s="13">
        <v>2581.5300000000002</v>
      </c>
      <c r="H69" s="100">
        <f t="shared" si="13"/>
        <v>28.138677000000005</v>
      </c>
      <c r="I69" s="13">
        <f t="shared" si="14"/>
        <v>28138.677000000003</v>
      </c>
      <c r="J69" s="27"/>
      <c r="L69" s="21"/>
    </row>
    <row r="70" spans="1:21" ht="15.75" hidden="1" customHeight="1">
      <c r="A70" s="33">
        <v>31</v>
      </c>
      <c r="B70" s="101" t="s">
        <v>111</v>
      </c>
      <c r="C70" s="17" t="s">
        <v>30</v>
      </c>
      <c r="D70" s="15"/>
      <c r="E70" s="91">
        <v>7.4</v>
      </c>
      <c r="F70" s="13">
        <f>SUM(E70)</f>
        <v>7.4</v>
      </c>
      <c r="G70" s="13">
        <v>47.45</v>
      </c>
      <c r="H70" s="100">
        <f t="shared" si="13"/>
        <v>0.35113000000000005</v>
      </c>
      <c r="I70" s="13">
        <f t="shared" si="14"/>
        <v>351.13000000000005</v>
      </c>
    </row>
    <row r="71" spans="1:21" ht="15.75" hidden="1" customHeight="1">
      <c r="A71" s="33">
        <v>32</v>
      </c>
      <c r="B71" s="101" t="s">
        <v>155</v>
      </c>
      <c r="C71" s="17" t="s">
        <v>30</v>
      </c>
      <c r="D71" s="15"/>
      <c r="E71" s="91">
        <v>7.4</v>
      </c>
      <c r="F71" s="13">
        <f>SUM(E71)</f>
        <v>7.4</v>
      </c>
      <c r="G71" s="13">
        <v>44.27</v>
      </c>
      <c r="H71" s="100">
        <f t="shared" si="13"/>
        <v>0.327598</v>
      </c>
      <c r="I71" s="13">
        <f t="shared" si="14"/>
        <v>327.59800000000001</v>
      </c>
    </row>
    <row r="72" spans="1:21" ht="15.75" hidden="1" customHeight="1">
      <c r="A72" s="33">
        <v>18</v>
      </c>
      <c r="B72" s="15" t="s">
        <v>54</v>
      </c>
      <c r="C72" s="17" t="s">
        <v>55</v>
      </c>
      <c r="D72" s="15" t="s">
        <v>51</v>
      </c>
      <c r="E72" s="19">
        <v>3</v>
      </c>
      <c r="F72" s="92">
        <f>SUM(E72)</f>
        <v>3</v>
      </c>
      <c r="G72" s="13">
        <v>62.07</v>
      </c>
      <c r="H72" s="100">
        <f t="shared" si="13"/>
        <v>0.18621000000000001</v>
      </c>
      <c r="I72" s="13">
        <f>G72*3</f>
        <v>186.21</v>
      </c>
    </row>
    <row r="73" spans="1:21" ht="15.75" customHeight="1">
      <c r="A73" s="33"/>
      <c r="B73" s="148" t="s">
        <v>129</v>
      </c>
      <c r="C73" s="70"/>
      <c r="D73" s="35"/>
      <c r="E73" s="12"/>
      <c r="F73" s="12"/>
      <c r="G73" s="40"/>
      <c r="H73" s="40"/>
      <c r="I73" s="19"/>
    </row>
    <row r="74" spans="1:21" ht="32.25" customHeight="1">
      <c r="A74" s="33">
        <v>11</v>
      </c>
      <c r="B74" s="15" t="s">
        <v>225</v>
      </c>
      <c r="C74" s="33" t="s">
        <v>226</v>
      </c>
      <c r="D74" s="15"/>
      <c r="E74" s="19">
        <v>1832</v>
      </c>
      <c r="F74" s="13">
        <f>E74*12</f>
        <v>21984</v>
      </c>
      <c r="G74" s="13">
        <v>2.7</v>
      </c>
      <c r="H74" s="100">
        <f t="shared" ref="H74" si="15">SUM(F74*G74/1000)</f>
        <v>59.3568</v>
      </c>
      <c r="I74" s="13">
        <f>G74*F74/12</f>
        <v>4946.4000000000005</v>
      </c>
    </row>
    <row r="75" spans="1:21" ht="15.75" hidden="1" customHeight="1">
      <c r="A75" s="57"/>
      <c r="B75" s="76" t="s">
        <v>112</v>
      </c>
      <c r="C75" s="76"/>
      <c r="D75" s="76"/>
      <c r="E75" s="76"/>
      <c r="F75" s="76"/>
      <c r="G75" s="76"/>
      <c r="H75" s="76"/>
      <c r="I75" s="19"/>
      <c r="J75" s="29"/>
      <c r="K75" s="29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1" ht="15.75" hidden="1" customHeight="1">
      <c r="A76" s="33">
        <v>14</v>
      </c>
      <c r="B76" s="102" t="s">
        <v>113</v>
      </c>
      <c r="C76" s="25"/>
      <c r="D76" s="24"/>
      <c r="E76" s="84"/>
      <c r="F76" s="103">
        <v>1</v>
      </c>
      <c r="G76" s="103">
        <v>12171.2</v>
      </c>
      <c r="H76" s="13">
        <f>G76*F76/1000</f>
        <v>12.171200000000001</v>
      </c>
      <c r="I76" s="13">
        <f>G76</f>
        <v>12171.2</v>
      </c>
      <c r="J76" s="3"/>
      <c r="K76" s="3"/>
      <c r="L76" s="3"/>
      <c r="M76" s="3"/>
      <c r="N76" s="3"/>
      <c r="O76" s="3"/>
      <c r="P76" s="3"/>
      <c r="Q76" s="3"/>
      <c r="S76" s="3"/>
      <c r="T76" s="3"/>
      <c r="U76" s="3"/>
    </row>
    <row r="77" spans="1:21" ht="15.75" hidden="1" customHeight="1">
      <c r="A77" s="33"/>
      <c r="B77" s="53" t="s">
        <v>68</v>
      </c>
      <c r="C77" s="53"/>
      <c r="D77" s="53"/>
      <c r="E77" s="19"/>
      <c r="F77" s="19"/>
      <c r="G77" s="33"/>
      <c r="H77" s="33"/>
      <c r="I77" s="19"/>
      <c r="J77" s="5"/>
      <c r="K77" s="5"/>
      <c r="L77" s="5"/>
      <c r="M77" s="5"/>
      <c r="N77" s="5"/>
      <c r="O77" s="5"/>
      <c r="P77" s="5"/>
      <c r="Q77" s="5"/>
      <c r="R77" s="168"/>
      <c r="S77" s="168"/>
      <c r="T77" s="168"/>
      <c r="U77" s="168"/>
    </row>
    <row r="78" spans="1:21" ht="15.75" hidden="1" customHeight="1">
      <c r="A78" s="33"/>
      <c r="B78" s="15" t="s">
        <v>127</v>
      </c>
      <c r="C78" s="17" t="s">
        <v>114</v>
      </c>
      <c r="D78" s="41" t="s">
        <v>63</v>
      </c>
      <c r="E78" s="19">
        <v>1</v>
      </c>
      <c r="F78" s="13">
        <f>E78</f>
        <v>1</v>
      </c>
      <c r="G78" s="13">
        <v>976.4</v>
      </c>
      <c r="H78" s="100">
        <f>F78*G78/1000</f>
        <v>0.97639999999999993</v>
      </c>
      <c r="I78" s="13">
        <v>0</v>
      </c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</row>
    <row r="79" spans="1:21" ht="15.75" hidden="1" customHeight="1">
      <c r="A79" s="33"/>
      <c r="B79" s="15" t="s">
        <v>115</v>
      </c>
      <c r="C79" s="17" t="s">
        <v>116</v>
      </c>
      <c r="D79" s="15"/>
      <c r="E79" s="19">
        <v>1</v>
      </c>
      <c r="F79" s="13">
        <v>1</v>
      </c>
      <c r="G79" s="13">
        <v>750</v>
      </c>
      <c r="H79" s="100">
        <f>F79*G79/1000</f>
        <v>0.75</v>
      </c>
      <c r="I79" s="13">
        <v>0</v>
      </c>
    </row>
    <row r="80" spans="1:21" ht="15.75" hidden="1" customHeight="1">
      <c r="A80" s="33"/>
      <c r="B80" s="15" t="s">
        <v>69</v>
      </c>
      <c r="C80" s="17" t="s">
        <v>71</v>
      </c>
      <c r="D80" s="41" t="s">
        <v>63</v>
      </c>
      <c r="E80" s="19">
        <v>3</v>
      </c>
      <c r="F80" s="13">
        <f>SUM(E80/100)</f>
        <v>0.03</v>
      </c>
      <c r="G80" s="13">
        <v>624.16999999999996</v>
      </c>
      <c r="H80" s="100">
        <f>F80*G80/1000</f>
        <v>1.8725099999999998E-2</v>
      </c>
      <c r="I80" s="13">
        <v>0</v>
      </c>
    </row>
    <row r="81" spans="1:9" ht="15.75" hidden="1" customHeight="1">
      <c r="A81" s="33"/>
      <c r="B81" s="15" t="s">
        <v>70</v>
      </c>
      <c r="C81" s="17" t="s">
        <v>28</v>
      </c>
      <c r="D81" s="41" t="s">
        <v>63</v>
      </c>
      <c r="E81" s="19">
        <v>1</v>
      </c>
      <c r="F81" s="13">
        <v>1</v>
      </c>
      <c r="G81" s="13">
        <v>1061.4100000000001</v>
      </c>
      <c r="H81" s="100">
        <f>F81*G81/1000</f>
        <v>1.0614100000000002</v>
      </c>
      <c r="I81" s="13">
        <v>0</v>
      </c>
    </row>
    <row r="82" spans="1:9" ht="15.75" hidden="1" customHeight="1">
      <c r="A82" s="33">
        <v>17</v>
      </c>
      <c r="B82" s="15" t="s">
        <v>128</v>
      </c>
      <c r="C82" s="17" t="s">
        <v>28</v>
      </c>
      <c r="D82" s="41" t="s">
        <v>63</v>
      </c>
      <c r="E82" s="19">
        <v>1</v>
      </c>
      <c r="F82" s="92">
        <f>SUM(E82)</f>
        <v>1</v>
      </c>
      <c r="G82" s="13">
        <v>446.12</v>
      </c>
      <c r="H82" s="100">
        <f t="shared" ref="H82" si="16">SUM(F82*G82/1000)</f>
        <v>0.44612000000000002</v>
      </c>
      <c r="I82" s="13">
        <v>0</v>
      </c>
    </row>
    <row r="83" spans="1:9" ht="15.75" hidden="1" customHeight="1">
      <c r="A83" s="33"/>
      <c r="B83" s="54" t="s">
        <v>72</v>
      </c>
      <c r="C83" s="42"/>
      <c r="D83" s="33"/>
      <c r="E83" s="19"/>
      <c r="F83" s="19"/>
      <c r="G83" s="40"/>
      <c r="H83" s="40"/>
      <c r="I83" s="19"/>
    </row>
    <row r="84" spans="1:9" ht="0.75" customHeight="1">
      <c r="A84" s="33">
        <v>39</v>
      </c>
      <c r="B84" s="56" t="s">
        <v>117</v>
      </c>
      <c r="C84" s="17" t="s">
        <v>73</v>
      </c>
      <c r="D84" s="15"/>
      <c r="E84" s="19"/>
      <c r="F84" s="13">
        <v>1.35</v>
      </c>
      <c r="G84" s="13">
        <v>3433.68</v>
      </c>
      <c r="H84" s="100">
        <f t="shared" ref="H84" si="17">SUM(F84*G84/1000)</f>
        <v>4.6354679999999995</v>
      </c>
      <c r="I84" s="13">
        <v>0</v>
      </c>
    </row>
    <row r="85" spans="1:9" ht="15.75" customHeight="1">
      <c r="A85" s="181" t="s">
        <v>161</v>
      </c>
      <c r="B85" s="182"/>
      <c r="C85" s="182"/>
      <c r="D85" s="182"/>
      <c r="E85" s="182"/>
      <c r="F85" s="182"/>
      <c r="G85" s="182"/>
      <c r="H85" s="182"/>
      <c r="I85" s="183"/>
    </row>
    <row r="86" spans="1:9" ht="15.75" customHeight="1">
      <c r="A86" s="33">
        <v>12</v>
      </c>
      <c r="B86" s="120" t="s">
        <v>118</v>
      </c>
      <c r="C86" s="42" t="s">
        <v>52</v>
      </c>
      <c r="D86" s="142"/>
      <c r="E86" s="40">
        <v>1832</v>
      </c>
      <c r="F86" s="40">
        <f>SUM(E86*12)</f>
        <v>21984</v>
      </c>
      <c r="G86" s="40">
        <v>3.93</v>
      </c>
      <c r="H86" s="100">
        <f>SUM(F86*G86/1000)</f>
        <v>86.397120000000015</v>
      </c>
      <c r="I86" s="13">
        <f>F86/12*G86</f>
        <v>7199.76</v>
      </c>
    </row>
    <row r="87" spans="1:9" ht="31.5" customHeight="1">
      <c r="A87" s="33">
        <v>13</v>
      </c>
      <c r="B87" s="41" t="s">
        <v>227</v>
      </c>
      <c r="C87" s="42" t="s">
        <v>156</v>
      </c>
      <c r="D87" s="143"/>
      <c r="E87" s="132">
        <f>E86</f>
        <v>1832</v>
      </c>
      <c r="F87" s="40">
        <f>E87*12</f>
        <v>21984</v>
      </c>
      <c r="G87" s="40">
        <v>3.6</v>
      </c>
      <c r="H87" s="100">
        <f>F87*G87/1000</f>
        <v>79.142400000000009</v>
      </c>
      <c r="I87" s="13">
        <f>F87/12*G87</f>
        <v>6595.2</v>
      </c>
    </row>
    <row r="88" spans="1:9" ht="15.75" customHeight="1">
      <c r="A88" s="57"/>
      <c r="B88" s="43" t="s">
        <v>76</v>
      </c>
      <c r="C88" s="45"/>
      <c r="D88" s="16"/>
      <c r="E88" s="16"/>
      <c r="F88" s="16"/>
      <c r="G88" s="19"/>
      <c r="H88" s="19"/>
      <c r="I88" s="36">
        <f>I87+I86+I74+I61+I33+I31+I30+I22+I21+I20+I18+I17+I16</f>
        <v>36323.738515999998</v>
      </c>
    </row>
    <row r="89" spans="1:9" ht="15.75" customHeight="1">
      <c r="A89" s="184" t="s">
        <v>57</v>
      </c>
      <c r="B89" s="185"/>
      <c r="C89" s="185"/>
      <c r="D89" s="185"/>
      <c r="E89" s="185"/>
      <c r="F89" s="185"/>
      <c r="G89" s="185"/>
      <c r="H89" s="185"/>
      <c r="I89" s="186"/>
    </row>
    <row r="90" spans="1:9" ht="30" customHeight="1">
      <c r="A90" s="33">
        <v>14</v>
      </c>
      <c r="B90" s="116" t="s">
        <v>254</v>
      </c>
      <c r="C90" s="117" t="s">
        <v>176</v>
      </c>
      <c r="D90" s="41" t="s">
        <v>258</v>
      </c>
      <c r="E90" s="40"/>
      <c r="F90" s="40">
        <v>3</v>
      </c>
      <c r="G90" s="40">
        <v>1478.55</v>
      </c>
      <c r="H90" s="113"/>
      <c r="I90" s="114">
        <f>G90*3</f>
        <v>4435.6499999999996</v>
      </c>
    </row>
    <row r="91" spans="1:9" ht="15.75" customHeight="1">
      <c r="A91" s="33">
        <v>15</v>
      </c>
      <c r="B91" s="116" t="s">
        <v>255</v>
      </c>
      <c r="C91" s="117" t="s">
        <v>27</v>
      </c>
      <c r="D91" s="143"/>
      <c r="E91" s="40"/>
      <c r="F91" s="40">
        <f>0.502*4</f>
        <v>2.008</v>
      </c>
      <c r="G91" s="40">
        <v>241.69</v>
      </c>
      <c r="H91" s="112"/>
      <c r="I91" s="114">
        <f>G91*1.004</f>
        <v>242.65675999999999</v>
      </c>
    </row>
    <row r="92" spans="1:9" ht="35.25" customHeight="1">
      <c r="A92" s="33">
        <v>16</v>
      </c>
      <c r="B92" s="116" t="s">
        <v>256</v>
      </c>
      <c r="C92" s="117" t="s">
        <v>257</v>
      </c>
      <c r="D92" s="41" t="s">
        <v>259</v>
      </c>
      <c r="E92" s="40"/>
      <c r="F92" s="40">
        <v>1</v>
      </c>
      <c r="G92" s="40">
        <v>231.54</v>
      </c>
      <c r="H92" s="112"/>
      <c r="I92" s="114">
        <v>0</v>
      </c>
    </row>
    <row r="93" spans="1:9" ht="15.75" customHeight="1">
      <c r="A93" s="33"/>
      <c r="B93" s="50" t="s">
        <v>49</v>
      </c>
      <c r="C93" s="46"/>
      <c r="D93" s="58"/>
      <c r="E93" s="46">
        <v>1</v>
      </c>
      <c r="F93" s="46"/>
      <c r="G93" s="46"/>
      <c r="H93" s="46"/>
      <c r="I93" s="36">
        <f>SUM(I90:I92)</f>
        <v>4678.3067599999995</v>
      </c>
    </row>
    <row r="94" spans="1:9" ht="15.75" customHeight="1">
      <c r="A94" s="33"/>
      <c r="B94" s="56" t="s">
        <v>75</v>
      </c>
      <c r="C94" s="16"/>
      <c r="D94" s="16"/>
      <c r="E94" s="47"/>
      <c r="F94" s="47"/>
      <c r="G94" s="48"/>
      <c r="H94" s="48"/>
      <c r="I94" s="18">
        <v>0</v>
      </c>
    </row>
    <row r="95" spans="1:9" ht="15.75" customHeight="1">
      <c r="A95" s="59"/>
      <c r="B95" s="51" t="s">
        <v>157</v>
      </c>
      <c r="C95" s="38"/>
      <c r="D95" s="38"/>
      <c r="E95" s="38"/>
      <c r="F95" s="38"/>
      <c r="G95" s="38"/>
      <c r="H95" s="38"/>
      <c r="I95" s="49">
        <f>I88+I93</f>
        <v>41002.045275999997</v>
      </c>
    </row>
    <row r="96" spans="1:9" ht="15.75" customHeight="1">
      <c r="A96" s="173" t="s">
        <v>260</v>
      </c>
      <c r="B96" s="173"/>
      <c r="C96" s="173"/>
      <c r="D96" s="173"/>
      <c r="E96" s="173"/>
      <c r="F96" s="173"/>
      <c r="G96" s="173"/>
      <c r="H96" s="173"/>
      <c r="I96" s="173"/>
    </row>
    <row r="97" spans="1:9" ht="15.75" customHeight="1">
      <c r="A97" s="77"/>
      <c r="B97" s="187" t="s">
        <v>261</v>
      </c>
      <c r="C97" s="187"/>
      <c r="D97" s="187"/>
      <c r="E97" s="187"/>
      <c r="F97" s="187"/>
      <c r="G97" s="187"/>
      <c r="H97" s="87"/>
      <c r="I97" s="3"/>
    </row>
    <row r="98" spans="1:9" ht="15.75" customHeight="1">
      <c r="A98" s="71"/>
      <c r="B98" s="161" t="s">
        <v>6</v>
      </c>
      <c r="C98" s="161"/>
      <c r="D98" s="161"/>
      <c r="E98" s="161"/>
      <c r="F98" s="161"/>
      <c r="G98" s="161"/>
      <c r="H98" s="28"/>
      <c r="I98" s="5"/>
    </row>
    <row r="99" spans="1:9" ht="8.25" customHeight="1">
      <c r="A99" s="9"/>
      <c r="B99" s="9"/>
      <c r="C99" s="9"/>
      <c r="D99" s="9"/>
      <c r="E99" s="9"/>
      <c r="F99" s="9"/>
      <c r="G99" s="9"/>
      <c r="H99" s="9"/>
      <c r="I99" s="9"/>
    </row>
    <row r="100" spans="1:9" ht="15.75" customHeight="1">
      <c r="A100" s="162" t="s">
        <v>7</v>
      </c>
      <c r="B100" s="162"/>
      <c r="C100" s="162"/>
      <c r="D100" s="162"/>
      <c r="E100" s="162"/>
      <c r="F100" s="162"/>
      <c r="G100" s="162"/>
      <c r="H100" s="162"/>
      <c r="I100" s="162"/>
    </row>
    <row r="101" spans="1:9" ht="15.75" customHeight="1">
      <c r="A101" s="162" t="s">
        <v>8</v>
      </c>
      <c r="B101" s="162"/>
      <c r="C101" s="162"/>
      <c r="D101" s="162"/>
      <c r="E101" s="162"/>
      <c r="F101" s="162"/>
      <c r="G101" s="162"/>
      <c r="H101" s="162"/>
      <c r="I101" s="162"/>
    </row>
    <row r="102" spans="1:9" ht="15.75" customHeight="1">
      <c r="A102" s="163" t="s">
        <v>58</v>
      </c>
      <c r="B102" s="163"/>
      <c r="C102" s="163"/>
      <c r="D102" s="163"/>
      <c r="E102" s="163"/>
      <c r="F102" s="163"/>
      <c r="G102" s="163"/>
      <c r="H102" s="163"/>
      <c r="I102" s="163"/>
    </row>
    <row r="103" spans="1:9" ht="15.75" customHeight="1">
      <c r="A103" s="10"/>
    </row>
    <row r="104" spans="1:9" ht="15.75" customHeight="1">
      <c r="A104" s="164" t="s">
        <v>9</v>
      </c>
      <c r="B104" s="164"/>
      <c r="C104" s="164"/>
      <c r="D104" s="164"/>
      <c r="E104" s="164"/>
      <c r="F104" s="164"/>
      <c r="G104" s="164"/>
      <c r="H104" s="164"/>
      <c r="I104" s="164"/>
    </row>
    <row r="105" spans="1:9" ht="15.75" customHeight="1">
      <c r="A105" s="4"/>
    </row>
    <row r="106" spans="1:9" ht="15.75" customHeight="1">
      <c r="B106" s="74" t="s">
        <v>10</v>
      </c>
      <c r="C106" s="165" t="s">
        <v>195</v>
      </c>
      <c r="D106" s="165"/>
      <c r="E106" s="165"/>
      <c r="F106" s="85"/>
      <c r="I106" s="73"/>
    </row>
    <row r="107" spans="1:9" ht="15.75" customHeight="1">
      <c r="A107" s="71"/>
      <c r="C107" s="161" t="s">
        <v>11</v>
      </c>
      <c r="D107" s="161"/>
      <c r="E107" s="161"/>
      <c r="F107" s="28"/>
      <c r="I107" s="72" t="s">
        <v>12</v>
      </c>
    </row>
    <row r="108" spans="1:9" ht="15.75" customHeight="1">
      <c r="A108" s="29"/>
      <c r="C108" s="11"/>
      <c r="D108" s="11"/>
      <c r="G108" s="11"/>
      <c r="H108" s="11"/>
    </row>
    <row r="109" spans="1:9" ht="15.75" customHeight="1">
      <c r="B109" s="74" t="s">
        <v>13</v>
      </c>
      <c r="C109" s="166"/>
      <c r="D109" s="166"/>
      <c r="E109" s="166"/>
      <c r="F109" s="86"/>
      <c r="I109" s="73"/>
    </row>
    <row r="110" spans="1:9" ht="15.75" customHeight="1">
      <c r="A110" s="71"/>
      <c r="C110" s="168" t="s">
        <v>11</v>
      </c>
      <c r="D110" s="168"/>
      <c r="E110" s="168"/>
      <c r="F110" s="71"/>
      <c r="I110" s="72" t="s">
        <v>12</v>
      </c>
    </row>
    <row r="111" spans="1:9" ht="15.75" customHeight="1">
      <c r="A111" s="4" t="s">
        <v>14</v>
      </c>
    </row>
    <row r="112" spans="1:9" ht="15.75" customHeight="1">
      <c r="A112" s="169" t="s">
        <v>15</v>
      </c>
      <c r="B112" s="169"/>
      <c r="C112" s="169"/>
      <c r="D112" s="169"/>
      <c r="E112" s="169"/>
      <c r="F112" s="169"/>
      <c r="G112" s="169"/>
      <c r="H112" s="169"/>
      <c r="I112" s="169"/>
    </row>
    <row r="113" spans="1:9" ht="45" customHeight="1">
      <c r="A113" s="167" t="s">
        <v>16</v>
      </c>
      <c r="B113" s="167"/>
      <c r="C113" s="167"/>
      <c r="D113" s="167"/>
      <c r="E113" s="167"/>
      <c r="F113" s="167"/>
      <c r="G113" s="167"/>
      <c r="H113" s="167"/>
      <c r="I113" s="167"/>
    </row>
    <row r="114" spans="1:9" ht="30" customHeight="1">
      <c r="A114" s="167" t="s">
        <v>17</v>
      </c>
      <c r="B114" s="167"/>
      <c r="C114" s="167"/>
      <c r="D114" s="167"/>
      <c r="E114" s="167"/>
      <c r="F114" s="167"/>
      <c r="G114" s="167"/>
      <c r="H114" s="167"/>
      <c r="I114" s="167"/>
    </row>
    <row r="115" spans="1:9" ht="30" customHeight="1">
      <c r="A115" s="167" t="s">
        <v>21</v>
      </c>
      <c r="B115" s="167"/>
      <c r="C115" s="167"/>
      <c r="D115" s="167"/>
      <c r="E115" s="167"/>
      <c r="F115" s="167"/>
      <c r="G115" s="167"/>
      <c r="H115" s="167"/>
      <c r="I115" s="167"/>
    </row>
    <row r="116" spans="1:9" ht="15" customHeight="1">
      <c r="A116" s="167" t="s">
        <v>20</v>
      </c>
      <c r="B116" s="167"/>
      <c r="C116" s="167"/>
      <c r="D116" s="167"/>
      <c r="E116" s="167"/>
      <c r="F116" s="167"/>
      <c r="G116" s="167"/>
      <c r="H116" s="167"/>
      <c r="I116" s="167"/>
    </row>
  </sheetData>
  <autoFilter ref="I12:I71"/>
  <mergeCells count="29">
    <mergeCell ref="A14:I14"/>
    <mergeCell ref="A15:I15"/>
    <mergeCell ref="A28:I28"/>
    <mergeCell ref="A43:I43"/>
    <mergeCell ref="A55:I55"/>
    <mergeCell ref="A3:I3"/>
    <mergeCell ref="A4:I4"/>
    <mergeCell ref="A5:I5"/>
    <mergeCell ref="A8:I8"/>
    <mergeCell ref="A10:I10"/>
    <mergeCell ref="R77:U77"/>
    <mergeCell ref="C110:E110"/>
    <mergeCell ref="A89:I89"/>
    <mergeCell ref="A96:I96"/>
    <mergeCell ref="B97:G97"/>
    <mergeCell ref="B98:G98"/>
    <mergeCell ref="A100:I100"/>
    <mergeCell ref="A101:I101"/>
    <mergeCell ref="A102:I102"/>
    <mergeCell ref="A104:I104"/>
    <mergeCell ref="C106:E106"/>
    <mergeCell ref="C107:E107"/>
    <mergeCell ref="C109:E109"/>
    <mergeCell ref="A85:I85"/>
    <mergeCell ref="A112:I112"/>
    <mergeCell ref="A113:I113"/>
    <mergeCell ref="A114:I114"/>
    <mergeCell ref="A115:I115"/>
    <mergeCell ref="A116:I116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U122"/>
  <sheetViews>
    <sheetView workbookViewId="0">
      <selection activeCell="B91" sqref="B91:I9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8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174</v>
      </c>
      <c r="I1" s="30"/>
      <c r="J1" s="1"/>
      <c r="K1" s="1"/>
      <c r="L1" s="1"/>
      <c r="M1" s="1"/>
    </row>
    <row r="2" spans="1:13" ht="15.75" customHeight="1">
      <c r="A2" s="32" t="s">
        <v>59</v>
      </c>
      <c r="J2" s="2"/>
      <c r="K2" s="2"/>
      <c r="L2" s="2"/>
      <c r="M2" s="2"/>
    </row>
    <row r="3" spans="1:13" ht="15.75" customHeight="1">
      <c r="A3" s="174" t="s">
        <v>170</v>
      </c>
      <c r="B3" s="174"/>
      <c r="C3" s="174"/>
      <c r="D3" s="174"/>
      <c r="E3" s="174"/>
      <c r="F3" s="174"/>
      <c r="G3" s="174"/>
      <c r="H3" s="174"/>
      <c r="I3" s="174"/>
      <c r="J3" s="3"/>
      <c r="K3" s="3"/>
      <c r="L3" s="3"/>
    </row>
    <row r="4" spans="1:13" ht="31.5" customHeight="1">
      <c r="A4" s="175" t="s">
        <v>119</v>
      </c>
      <c r="B4" s="175"/>
      <c r="C4" s="175"/>
      <c r="D4" s="175"/>
      <c r="E4" s="175"/>
      <c r="F4" s="175"/>
      <c r="G4" s="175"/>
      <c r="H4" s="175"/>
      <c r="I4" s="175"/>
    </row>
    <row r="5" spans="1:13" ht="15.75" customHeight="1">
      <c r="A5" s="174" t="s">
        <v>265</v>
      </c>
      <c r="B5" s="178"/>
      <c r="C5" s="178"/>
      <c r="D5" s="178"/>
      <c r="E5" s="178"/>
      <c r="F5" s="178"/>
      <c r="G5" s="178"/>
      <c r="H5" s="178"/>
      <c r="I5" s="178"/>
      <c r="J5" s="2"/>
      <c r="K5" s="2"/>
      <c r="L5" s="2"/>
      <c r="M5" s="2"/>
    </row>
    <row r="6" spans="1:13" ht="15.75" customHeight="1">
      <c r="A6" s="2"/>
      <c r="B6" s="82"/>
      <c r="C6" s="82"/>
      <c r="D6" s="82"/>
      <c r="E6" s="82"/>
      <c r="F6" s="82"/>
      <c r="G6" s="82"/>
      <c r="H6" s="82"/>
      <c r="I6" s="34">
        <v>44530</v>
      </c>
      <c r="J6" s="2"/>
      <c r="K6" s="2"/>
      <c r="L6" s="2"/>
      <c r="M6" s="2"/>
    </row>
    <row r="7" spans="1:13" ht="15.75" customHeight="1">
      <c r="B7" s="83"/>
      <c r="C7" s="83"/>
      <c r="D7" s="83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76" t="s">
        <v>266</v>
      </c>
      <c r="B8" s="176"/>
      <c r="C8" s="176"/>
      <c r="D8" s="176"/>
      <c r="E8" s="176"/>
      <c r="F8" s="176"/>
      <c r="G8" s="176"/>
      <c r="H8" s="176"/>
      <c r="I8" s="17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77" t="s">
        <v>144</v>
      </c>
      <c r="B10" s="177"/>
      <c r="C10" s="177"/>
      <c r="D10" s="177"/>
      <c r="E10" s="177"/>
      <c r="F10" s="177"/>
      <c r="G10" s="177"/>
      <c r="H10" s="177"/>
      <c r="I10" s="177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79" t="s">
        <v>56</v>
      </c>
      <c r="B14" s="179"/>
      <c r="C14" s="179"/>
      <c r="D14" s="179"/>
      <c r="E14" s="179"/>
      <c r="F14" s="179"/>
      <c r="G14" s="179"/>
      <c r="H14" s="179"/>
      <c r="I14" s="179"/>
      <c r="J14" s="8"/>
      <c r="K14" s="8"/>
      <c r="L14" s="8"/>
      <c r="M14" s="8"/>
    </row>
    <row r="15" spans="1:13" ht="15.75" customHeight="1">
      <c r="A15" s="180" t="s">
        <v>4</v>
      </c>
      <c r="B15" s="180"/>
      <c r="C15" s="180"/>
      <c r="D15" s="180"/>
      <c r="E15" s="180"/>
      <c r="F15" s="180"/>
      <c r="G15" s="180"/>
      <c r="H15" s="180"/>
      <c r="I15" s="180"/>
      <c r="J15" s="8"/>
      <c r="K15" s="8"/>
      <c r="L15" s="8"/>
      <c r="M15" s="8"/>
    </row>
    <row r="16" spans="1:13" ht="15.75" customHeight="1">
      <c r="A16" s="33">
        <v>1</v>
      </c>
      <c r="B16" s="120" t="s">
        <v>81</v>
      </c>
      <c r="C16" s="44" t="s">
        <v>82</v>
      </c>
      <c r="D16" s="120" t="s">
        <v>178</v>
      </c>
      <c r="E16" s="132">
        <v>53.8</v>
      </c>
      <c r="F16" s="122">
        <f>SUM(E16*156/100)</f>
        <v>83.927999999999997</v>
      </c>
      <c r="G16" s="122">
        <v>481.7</v>
      </c>
      <c r="H16" s="93">
        <f t="shared" ref="H16:H22" si="0">SUM(F16*G16/1000)</f>
        <v>40.4281176</v>
      </c>
      <c r="I16" s="13">
        <f>F16/12*G16</f>
        <v>3369.0097999999998</v>
      </c>
      <c r="J16" s="8"/>
      <c r="K16" s="8"/>
      <c r="L16" s="8"/>
      <c r="M16" s="8"/>
    </row>
    <row r="17" spans="1:13" ht="15.75" customHeight="1">
      <c r="A17" s="33">
        <v>2</v>
      </c>
      <c r="B17" s="120" t="s">
        <v>120</v>
      </c>
      <c r="C17" s="44" t="s">
        <v>82</v>
      </c>
      <c r="D17" s="120" t="s">
        <v>179</v>
      </c>
      <c r="E17" s="132">
        <v>107.6</v>
      </c>
      <c r="F17" s="122">
        <f>SUM(E17*104/100)</f>
        <v>111.904</v>
      </c>
      <c r="G17" s="122">
        <v>380.58</v>
      </c>
      <c r="H17" s="93">
        <f t="shared" si="0"/>
        <v>42.588424320000001</v>
      </c>
      <c r="I17" s="13">
        <f>F17/12*G17</f>
        <v>3549.0353599999999</v>
      </c>
      <c r="J17" s="26"/>
      <c r="K17" s="8"/>
      <c r="L17" s="8"/>
      <c r="M17" s="8"/>
    </row>
    <row r="18" spans="1:13" ht="15.75" customHeight="1">
      <c r="A18" s="33">
        <v>3</v>
      </c>
      <c r="B18" s="120" t="s">
        <v>83</v>
      </c>
      <c r="C18" s="44" t="s">
        <v>82</v>
      </c>
      <c r="D18" s="120" t="s">
        <v>184</v>
      </c>
      <c r="E18" s="132">
        <f>SUM(E16+E17)</f>
        <v>161.39999999999998</v>
      </c>
      <c r="F18" s="122">
        <f>SUM(E18*18/100)</f>
        <v>29.052</v>
      </c>
      <c r="G18" s="122">
        <v>889.97</v>
      </c>
      <c r="H18" s="93">
        <f t="shared" si="0"/>
        <v>25.855408439999998</v>
      </c>
      <c r="I18" s="13">
        <f>F18/18*G18</f>
        <v>1436.41158</v>
      </c>
      <c r="J18" s="26"/>
      <c r="K18" s="8"/>
      <c r="L18" s="8"/>
      <c r="M18" s="8"/>
    </row>
    <row r="19" spans="1:13" ht="15.75" hidden="1" customHeight="1">
      <c r="A19" s="33">
        <v>4</v>
      </c>
      <c r="B19" s="120" t="s">
        <v>84</v>
      </c>
      <c r="C19" s="44" t="s">
        <v>82</v>
      </c>
      <c r="D19" s="120" t="s">
        <v>186</v>
      </c>
      <c r="E19" s="132">
        <v>15.3</v>
      </c>
      <c r="F19" s="122">
        <f>SUM(E19/100)</f>
        <v>0.153</v>
      </c>
      <c r="G19" s="122">
        <v>1965.89</v>
      </c>
      <c r="H19" s="93">
        <f t="shared" si="0"/>
        <v>0.30078117000000004</v>
      </c>
      <c r="I19" s="13">
        <f>F19*G19</f>
        <v>300.78117000000003</v>
      </c>
      <c r="J19" s="26"/>
      <c r="K19" s="8"/>
      <c r="L19" s="8"/>
      <c r="M19" s="8"/>
    </row>
    <row r="20" spans="1:13" ht="15.75" customHeight="1">
      <c r="A20" s="33">
        <v>4</v>
      </c>
      <c r="B20" s="120" t="s">
        <v>91</v>
      </c>
      <c r="C20" s="44" t="s">
        <v>50</v>
      </c>
      <c r="D20" s="120" t="s">
        <v>184</v>
      </c>
      <c r="E20" s="132">
        <v>4.5</v>
      </c>
      <c r="F20" s="122">
        <f>E20/100*12</f>
        <v>0.54</v>
      </c>
      <c r="G20" s="122">
        <v>1037.97</v>
      </c>
      <c r="H20" s="93">
        <f>SUM(F20*G20/1000)</f>
        <v>0.56050380000000011</v>
      </c>
      <c r="I20" s="13">
        <f>F20*G20/12</f>
        <v>46.708650000000006</v>
      </c>
      <c r="J20" s="26"/>
      <c r="K20" s="8"/>
      <c r="L20" s="8"/>
      <c r="M20" s="8"/>
    </row>
    <row r="21" spans="1:13" ht="15.75" customHeight="1">
      <c r="A21" s="33">
        <v>5</v>
      </c>
      <c r="B21" s="120" t="s">
        <v>87</v>
      </c>
      <c r="C21" s="44" t="s">
        <v>82</v>
      </c>
      <c r="D21" s="120" t="s">
        <v>183</v>
      </c>
      <c r="E21" s="132">
        <v>19.62</v>
      </c>
      <c r="F21" s="122">
        <f>SUM(E21*12/100)</f>
        <v>2.3544</v>
      </c>
      <c r="G21" s="122">
        <v>848.17</v>
      </c>
      <c r="H21" s="93">
        <f t="shared" si="0"/>
        <v>1.996931448</v>
      </c>
      <c r="I21" s="13">
        <f>F21*G21/12</f>
        <v>166.410954</v>
      </c>
      <c r="J21" s="26"/>
      <c r="K21" s="8"/>
      <c r="L21" s="8"/>
      <c r="M21" s="8"/>
    </row>
    <row r="22" spans="1:13" ht="15.75" customHeight="1">
      <c r="A22" s="33">
        <v>6</v>
      </c>
      <c r="B22" s="120" t="s">
        <v>88</v>
      </c>
      <c r="C22" s="44" t="s">
        <v>82</v>
      </c>
      <c r="D22" s="120" t="s">
        <v>183</v>
      </c>
      <c r="E22" s="132">
        <v>8.68</v>
      </c>
      <c r="F22" s="122">
        <f>SUM(E22*12/100)</f>
        <v>1.0415999999999999</v>
      </c>
      <c r="G22" s="122">
        <v>523.94000000000005</v>
      </c>
      <c r="H22" s="93">
        <f t="shared" si="0"/>
        <v>0.54573590400000005</v>
      </c>
      <c r="I22" s="13">
        <f>F22*G22/12</f>
        <v>45.477992</v>
      </c>
      <c r="J22" s="26"/>
      <c r="K22" s="8"/>
      <c r="L22" s="8"/>
      <c r="M22" s="8"/>
    </row>
    <row r="23" spans="1:13" ht="15.75" hidden="1" customHeight="1">
      <c r="A23" s="33">
        <v>8</v>
      </c>
      <c r="B23" s="89" t="s">
        <v>89</v>
      </c>
      <c r="C23" s="90" t="s">
        <v>50</v>
      </c>
      <c r="D23" s="89" t="s">
        <v>86</v>
      </c>
      <c r="E23" s="91">
        <v>215</v>
      </c>
      <c r="F23" s="92">
        <f>SUM(E23/100)</f>
        <v>2.15</v>
      </c>
      <c r="G23" s="92">
        <v>335.05</v>
      </c>
      <c r="H23" s="93">
        <f t="shared" ref="H23:H26" si="1">SUM(F23*G23/1000)</f>
        <v>0.72035749999999998</v>
      </c>
      <c r="I23" s="13">
        <f>F23*G23</f>
        <v>720.35749999999996</v>
      </c>
      <c r="J23" s="26"/>
      <c r="K23" s="8"/>
      <c r="L23" s="8"/>
      <c r="M23" s="8"/>
    </row>
    <row r="24" spans="1:13" ht="15.75" hidden="1" customHeight="1">
      <c r="A24" s="33">
        <v>9</v>
      </c>
      <c r="B24" s="89" t="s">
        <v>90</v>
      </c>
      <c r="C24" s="90" t="s">
        <v>50</v>
      </c>
      <c r="D24" s="89" t="s">
        <v>86</v>
      </c>
      <c r="E24" s="94">
        <v>17.64</v>
      </c>
      <c r="F24" s="92">
        <f>SUM(E24/100)</f>
        <v>0.1764</v>
      </c>
      <c r="G24" s="92">
        <v>55.1</v>
      </c>
      <c r="H24" s="93">
        <f t="shared" si="1"/>
        <v>9.7196399999999999E-3</v>
      </c>
      <c r="I24" s="13">
        <f t="shared" ref="I24:I26" si="2">F24*G24</f>
        <v>9.7196400000000001</v>
      </c>
      <c r="J24" s="26"/>
      <c r="K24" s="8"/>
      <c r="L24" s="8"/>
      <c r="M24" s="8"/>
    </row>
    <row r="25" spans="1:13" ht="15.75" hidden="1" customHeight="1">
      <c r="A25" s="33">
        <v>10</v>
      </c>
      <c r="B25" s="89" t="s">
        <v>92</v>
      </c>
      <c r="C25" s="90" t="s">
        <v>50</v>
      </c>
      <c r="D25" s="89" t="s">
        <v>86</v>
      </c>
      <c r="E25" s="91">
        <v>14.4</v>
      </c>
      <c r="F25" s="92">
        <f>SUM(E25/100)</f>
        <v>0.14400000000000002</v>
      </c>
      <c r="G25" s="92">
        <v>648.04999999999995</v>
      </c>
      <c r="H25" s="93">
        <f>SUM(F25*G25/1000)</f>
        <v>9.3319200000000005E-2</v>
      </c>
      <c r="I25" s="13">
        <f t="shared" si="2"/>
        <v>93.319200000000009</v>
      </c>
      <c r="J25" s="26"/>
      <c r="K25" s="8"/>
      <c r="L25" s="8"/>
      <c r="M25" s="8"/>
    </row>
    <row r="26" spans="1:13" ht="15.75" hidden="1" customHeight="1">
      <c r="A26" s="33">
        <v>11</v>
      </c>
      <c r="B26" s="89" t="s">
        <v>122</v>
      </c>
      <c r="C26" s="90" t="s">
        <v>50</v>
      </c>
      <c r="D26" s="89" t="s">
        <v>51</v>
      </c>
      <c r="E26" s="91">
        <v>9.4499999999999993</v>
      </c>
      <c r="F26" s="92">
        <v>0.09</v>
      </c>
      <c r="G26" s="92">
        <v>268.92</v>
      </c>
      <c r="H26" s="93">
        <f t="shared" si="1"/>
        <v>2.42028E-2</v>
      </c>
      <c r="I26" s="13">
        <f t="shared" si="2"/>
        <v>24.2028</v>
      </c>
      <c r="J26" s="26"/>
      <c r="K26" s="8"/>
      <c r="L26" s="8"/>
      <c r="M26" s="8"/>
    </row>
    <row r="27" spans="1:13" ht="15.75" hidden="1" customHeight="1">
      <c r="A27" s="33">
        <v>4</v>
      </c>
      <c r="B27" s="89" t="s">
        <v>177</v>
      </c>
      <c r="C27" s="44" t="s">
        <v>173</v>
      </c>
      <c r="D27" s="120" t="s">
        <v>181</v>
      </c>
      <c r="E27" s="121">
        <v>2.5099999999999998</v>
      </c>
      <c r="F27" s="122">
        <f>E27*258</f>
        <v>647.57999999999993</v>
      </c>
      <c r="G27" s="122">
        <v>10.39</v>
      </c>
      <c r="H27" s="93">
        <f t="shared" ref="H27" si="3">SUM(F27*G27/1000)</f>
        <v>6.7283561999999995</v>
      </c>
      <c r="I27" s="13">
        <f>F27/12*G27</f>
        <v>560.69634999999994</v>
      </c>
      <c r="J27" s="26"/>
      <c r="K27" s="8"/>
      <c r="L27" s="8"/>
      <c r="M27" s="8"/>
    </row>
    <row r="28" spans="1:13" ht="15.75" hidden="1" customHeight="1">
      <c r="A28" s="33">
        <v>5</v>
      </c>
      <c r="B28" s="95" t="s">
        <v>23</v>
      </c>
      <c r="C28" s="90" t="s">
        <v>24</v>
      </c>
      <c r="D28" s="89" t="s">
        <v>80</v>
      </c>
      <c r="E28" s="91">
        <v>1832</v>
      </c>
      <c r="F28" s="92">
        <f>SUM(E28*12)</f>
        <v>21984</v>
      </c>
      <c r="G28" s="92">
        <v>5.25</v>
      </c>
      <c r="H28" s="93">
        <f t="shared" ref="H28" si="4">SUM(F28*G28/1000)</f>
        <v>115.416</v>
      </c>
      <c r="I28" s="13">
        <f>F28/12*G28</f>
        <v>9618</v>
      </c>
      <c r="J28" s="26"/>
      <c r="K28" s="8"/>
      <c r="L28" s="8"/>
      <c r="M28" s="8"/>
    </row>
    <row r="29" spans="1:13" ht="15.75" customHeight="1">
      <c r="A29" s="180" t="s">
        <v>79</v>
      </c>
      <c r="B29" s="180"/>
      <c r="C29" s="180"/>
      <c r="D29" s="180"/>
      <c r="E29" s="180"/>
      <c r="F29" s="180"/>
      <c r="G29" s="180"/>
      <c r="H29" s="180"/>
      <c r="I29" s="180"/>
      <c r="J29" s="26"/>
      <c r="K29" s="8"/>
      <c r="L29" s="8"/>
      <c r="M29" s="8"/>
    </row>
    <row r="30" spans="1:13" ht="15.75" hidden="1" customHeight="1">
      <c r="A30" s="45"/>
      <c r="B30" s="55" t="s">
        <v>26</v>
      </c>
      <c r="C30" s="55"/>
      <c r="D30" s="55"/>
      <c r="E30" s="55"/>
      <c r="F30" s="55"/>
      <c r="G30" s="55"/>
      <c r="H30" s="55"/>
      <c r="I30" s="19"/>
      <c r="J30" s="26"/>
      <c r="K30" s="8"/>
      <c r="L30" s="8"/>
      <c r="M30" s="8"/>
    </row>
    <row r="31" spans="1:13" ht="15.75" hidden="1" customHeight="1">
      <c r="A31" s="45">
        <v>6</v>
      </c>
      <c r="B31" s="89" t="s">
        <v>150</v>
      </c>
      <c r="C31" s="90" t="s">
        <v>93</v>
      </c>
      <c r="D31" s="89" t="s">
        <v>94</v>
      </c>
      <c r="E31" s="92">
        <v>306.55</v>
      </c>
      <c r="F31" s="92">
        <f>SUM(E31*52/1000)</f>
        <v>15.9406</v>
      </c>
      <c r="G31" s="92">
        <v>193.97</v>
      </c>
      <c r="H31" s="93">
        <f t="shared" ref="H31:H37" si="5">SUM(F31*G31/1000)</f>
        <v>3.0919981819999998</v>
      </c>
      <c r="I31" s="13">
        <f>F31/6*G31</f>
        <v>515.33303033333334</v>
      </c>
      <c r="J31" s="26"/>
      <c r="K31" s="8"/>
      <c r="L31" s="8"/>
      <c r="M31" s="8"/>
    </row>
    <row r="32" spans="1:13" ht="31.5" hidden="1" customHeight="1">
      <c r="A32" s="45">
        <v>7</v>
      </c>
      <c r="B32" s="89" t="s">
        <v>95</v>
      </c>
      <c r="C32" s="90" t="s">
        <v>93</v>
      </c>
      <c r="D32" s="89" t="s">
        <v>96</v>
      </c>
      <c r="E32" s="92">
        <v>42.5</v>
      </c>
      <c r="F32" s="92">
        <f>SUM(E32*78/1000)</f>
        <v>3.3149999999999999</v>
      </c>
      <c r="G32" s="92">
        <v>321.82</v>
      </c>
      <c r="H32" s="93">
        <f t="shared" si="5"/>
        <v>1.0668333000000001</v>
      </c>
      <c r="I32" s="13">
        <f t="shared" ref="I32:I35" si="6">F32/6*G32</f>
        <v>177.80554999999998</v>
      </c>
      <c r="J32" s="26"/>
      <c r="K32" s="8"/>
      <c r="L32" s="8"/>
      <c r="M32" s="8"/>
    </row>
    <row r="33" spans="1:14" ht="15.75" hidden="1" customHeight="1">
      <c r="A33" s="45">
        <v>16</v>
      </c>
      <c r="B33" s="89" t="s">
        <v>149</v>
      </c>
      <c r="C33" s="90" t="s">
        <v>93</v>
      </c>
      <c r="D33" s="89" t="s">
        <v>51</v>
      </c>
      <c r="E33" s="92">
        <v>306.55</v>
      </c>
      <c r="F33" s="92">
        <f>SUM(E33/1000)</f>
        <v>0.30654999999999999</v>
      </c>
      <c r="G33" s="92">
        <v>3758.28</v>
      </c>
      <c r="H33" s="93">
        <f t="shared" si="5"/>
        <v>1.152100734</v>
      </c>
      <c r="I33" s="13">
        <f>F33*G33</f>
        <v>1152.1007340000001</v>
      </c>
      <c r="J33" s="26"/>
      <c r="K33" s="8"/>
      <c r="L33" s="8"/>
      <c r="M33" s="8"/>
    </row>
    <row r="34" spans="1:14" ht="15.75" hidden="1" customHeight="1">
      <c r="A34" s="45">
        <v>8</v>
      </c>
      <c r="B34" s="89" t="s">
        <v>123</v>
      </c>
      <c r="C34" s="90" t="s">
        <v>38</v>
      </c>
      <c r="D34" s="89" t="s">
        <v>60</v>
      </c>
      <c r="E34" s="92">
        <v>3</v>
      </c>
      <c r="F34" s="92">
        <f>E34*155/100</f>
        <v>4.6500000000000004</v>
      </c>
      <c r="G34" s="92">
        <v>1620.15</v>
      </c>
      <c r="H34" s="93">
        <f t="shared" si="5"/>
        <v>7.5336975000000015</v>
      </c>
      <c r="I34" s="13">
        <f t="shared" si="6"/>
        <v>1255.61625</v>
      </c>
      <c r="J34" s="26"/>
      <c r="K34" s="8"/>
      <c r="L34" s="8"/>
      <c r="M34" s="8"/>
    </row>
    <row r="35" spans="1:14" ht="15.75" hidden="1" customHeight="1">
      <c r="A35" s="45">
        <v>9</v>
      </c>
      <c r="B35" s="89" t="s">
        <v>97</v>
      </c>
      <c r="C35" s="90" t="s">
        <v>28</v>
      </c>
      <c r="D35" s="89" t="s">
        <v>60</v>
      </c>
      <c r="E35" s="96">
        <f>1/3</f>
        <v>0.33333333333333331</v>
      </c>
      <c r="F35" s="92">
        <f>155/3</f>
        <v>51.666666666666664</v>
      </c>
      <c r="G35" s="92">
        <v>70.540000000000006</v>
      </c>
      <c r="H35" s="93">
        <f t="shared" si="5"/>
        <v>3.6445666666666665</v>
      </c>
      <c r="I35" s="13">
        <f t="shared" si="6"/>
        <v>607.42777777777781</v>
      </c>
      <c r="J35" s="26"/>
      <c r="K35" s="8"/>
      <c r="L35" s="8"/>
      <c r="M35" s="8"/>
    </row>
    <row r="36" spans="1:14" ht="15.75" hidden="1" customHeight="1">
      <c r="A36" s="45">
        <v>4</v>
      </c>
      <c r="B36" s="89" t="s">
        <v>61</v>
      </c>
      <c r="C36" s="90" t="s">
        <v>30</v>
      </c>
      <c r="D36" s="89" t="s">
        <v>63</v>
      </c>
      <c r="E36" s="91"/>
      <c r="F36" s="92">
        <v>2</v>
      </c>
      <c r="G36" s="92">
        <v>238.07</v>
      </c>
      <c r="H36" s="93">
        <f t="shared" si="5"/>
        <v>0.47614000000000001</v>
      </c>
      <c r="I36" s="13">
        <v>0</v>
      </c>
      <c r="J36" s="26"/>
      <c r="K36" s="8"/>
    </row>
    <row r="37" spans="1:14" ht="15.75" hidden="1" customHeight="1">
      <c r="A37" s="33">
        <v>8</v>
      </c>
      <c r="B37" s="89" t="s">
        <v>62</v>
      </c>
      <c r="C37" s="90" t="s">
        <v>29</v>
      </c>
      <c r="D37" s="89" t="s">
        <v>63</v>
      </c>
      <c r="E37" s="91"/>
      <c r="F37" s="92">
        <v>3</v>
      </c>
      <c r="G37" s="92">
        <v>1413.96</v>
      </c>
      <c r="H37" s="93">
        <f t="shared" si="5"/>
        <v>4.2418800000000001</v>
      </c>
      <c r="I37" s="13">
        <v>0</v>
      </c>
      <c r="J37" s="27"/>
    </row>
    <row r="38" spans="1:14" ht="15.75" customHeight="1">
      <c r="A38" s="45"/>
      <c r="B38" s="53" t="s">
        <v>5</v>
      </c>
      <c r="C38" s="53"/>
      <c r="D38" s="53"/>
      <c r="E38" s="13"/>
      <c r="F38" s="13"/>
      <c r="G38" s="14"/>
      <c r="H38" s="14"/>
      <c r="I38" s="19"/>
      <c r="J38" s="27"/>
    </row>
    <row r="39" spans="1:14" ht="16.5" customHeight="1">
      <c r="A39" s="37">
        <v>7</v>
      </c>
      <c r="B39" s="154" t="s">
        <v>25</v>
      </c>
      <c r="C39" s="44" t="s">
        <v>29</v>
      </c>
      <c r="D39" s="120" t="s">
        <v>271</v>
      </c>
      <c r="E39" s="132"/>
      <c r="F39" s="122">
        <v>2</v>
      </c>
      <c r="G39" s="122">
        <v>2007</v>
      </c>
      <c r="H39" s="93">
        <f t="shared" ref="H39:H44" si="7">SUM(F39*G39/1000)</f>
        <v>4.0140000000000002</v>
      </c>
      <c r="I39" s="13">
        <f>G39*1</f>
        <v>2007</v>
      </c>
      <c r="J39" s="27"/>
    </row>
    <row r="40" spans="1:14" ht="15.75" customHeight="1">
      <c r="A40" s="37">
        <v>8</v>
      </c>
      <c r="B40" s="154" t="s">
        <v>64</v>
      </c>
      <c r="C40" s="155" t="s">
        <v>52</v>
      </c>
      <c r="D40" s="154" t="s">
        <v>179</v>
      </c>
      <c r="E40" s="156">
        <v>42.5</v>
      </c>
      <c r="F40" s="156">
        <f>SUM(E40*48)</f>
        <v>2040</v>
      </c>
      <c r="G40" s="156">
        <v>4.12</v>
      </c>
      <c r="H40" s="93">
        <f t="shared" si="7"/>
        <v>8.4048000000000016</v>
      </c>
      <c r="I40" s="13">
        <f t="shared" ref="I40:I42" si="8">F40/6*G40</f>
        <v>1400.8</v>
      </c>
      <c r="J40" s="27"/>
    </row>
    <row r="41" spans="1:14" ht="15.75" customHeight="1">
      <c r="A41" s="37">
        <v>9</v>
      </c>
      <c r="B41" s="120" t="s">
        <v>267</v>
      </c>
      <c r="C41" s="44" t="s">
        <v>231</v>
      </c>
      <c r="D41" s="120" t="s">
        <v>224</v>
      </c>
      <c r="E41" s="122">
        <v>42.5</v>
      </c>
      <c r="F41" s="156">
        <f>SUM(E41*156/10)</f>
        <v>663</v>
      </c>
      <c r="G41" s="122">
        <v>9.4499999999999993</v>
      </c>
      <c r="H41" s="93">
        <f t="shared" si="7"/>
        <v>6.2653499999999998</v>
      </c>
      <c r="I41" s="13">
        <f t="shared" si="8"/>
        <v>1044.2249999999999</v>
      </c>
      <c r="J41" s="27"/>
    </row>
    <row r="42" spans="1:14" ht="47.25" customHeight="1">
      <c r="A42" s="37">
        <v>10</v>
      </c>
      <c r="B42" s="120" t="s">
        <v>268</v>
      </c>
      <c r="C42" s="44" t="s">
        <v>52</v>
      </c>
      <c r="D42" s="120" t="s">
        <v>222</v>
      </c>
      <c r="E42" s="122">
        <v>42.5</v>
      </c>
      <c r="F42" s="156">
        <f>SUM(E42*24)</f>
        <v>1020</v>
      </c>
      <c r="G42" s="122">
        <v>28.3</v>
      </c>
      <c r="H42" s="93">
        <f t="shared" si="7"/>
        <v>28.866</v>
      </c>
      <c r="I42" s="13">
        <f t="shared" si="8"/>
        <v>4811</v>
      </c>
      <c r="J42" s="27"/>
    </row>
    <row r="43" spans="1:14" ht="15.75" hidden="1" customHeight="1">
      <c r="A43" s="37">
        <v>8</v>
      </c>
      <c r="B43" s="120" t="s">
        <v>101</v>
      </c>
      <c r="C43" s="44" t="s">
        <v>82</v>
      </c>
      <c r="D43" s="120" t="s">
        <v>269</v>
      </c>
      <c r="E43" s="122">
        <v>42.5</v>
      </c>
      <c r="F43" s="156">
        <f>SUM(E43*24/100)</f>
        <v>10.199999999999999</v>
      </c>
      <c r="G43" s="122">
        <v>371.4</v>
      </c>
      <c r="H43" s="93">
        <f t="shared" si="7"/>
        <v>3.7882799999999994</v>
      </c>
      <c r="I43" s="13">
        <f>G43*F43/20*2</f>
        <v>378.82799999999992</v>
      </c>
      <c r="J43" s="27"/>
      <c r="L43" s="21"/>
      <c r="M43" s="22"/>
      <c r="N43" s="23"/>
    </row>
    <row r="44" spans="1:14" ht="15.75" hidden="1" customHeight="1">
      <c r="A44" s="37">
        <v>9</v>
      </c>
      <c r="B44" s="154" t="s">
        <v>66</v>
      </c>
      <c r="C44" s="155" t="s">
        <v>30</v>
      </c>
      <c r="D44" s="154"/>
      <c r="E44" s="157"/>
      <c r="F44" s="156">
        <v>0.4</v>
      </c>
      <c r="G44" s="156">
        <v>900</v>
      </c>
      <c r="H44" s="93">
        <f t="shared" si="7"/>
        <v>0.36</v>
      </c>
      <c r="I44" s="13">
        <f>G44*F44/20*2</f>
        <v>36</v>
      </c>
      <c r="J44" s="27"/>
      <c r="L44" s="21"/>
      <c r="M44" s="22"/>
      <c r="N44" s="23"/>
    </row>
    <row r="45" spans="1:14" ht="33" customHeight="1">
      <c r="A45" s="152">
        <v>11</v>
      </c>
      <c r="B45" s="154" t="s">
        <v>270</v>
      </c>
      <c r="C45" s="155" t="s">
        <v>27</v>
      </c>
      <c r="D45" s="154" t="s">
        <v>180</v>
      </c>
      <c r="E45" s="157">
        <v>2.4</v>
      </c>
      <c r="F45" s="156">
        <f>E45*12/1000</f>
        <v>2.8799999999999996E-2</v>
      </c>
      <c r="G45" s="156">
        <v>21369.24</v>
      </c>
      <c r="H45" s="112"/>
      <c r="I45" s="153">
        <f>G45*F45/6</f>
        <v>102.57235199999998</v>
      </c>
      <c r="J45" s="27"/>
      <c r="L45" s="21"/>
      <c r="M45" s="22"/>
      <c r="N45" s="23"/>
    </row>
    <row r="46" spans="1:14" ht="15.75" customHeight="1">
      <c r="A46" s="152">
        <v>12</v>
      </c>
      <c r="B46" s="120" t="s">
        <v>123</v>
      </c>
      <c r="C46" s="44" t="s">
        <v>38</v>
      </c>
      <c r="D46" s="120" t="s">
        <v>224</v>
      </c>
      <c r="E46" s="122">
        <v>3</v>
      </c>
      <c r="F46" s="122">
        <f>E46*156/100</f>
        <v>4.68</v>
      </c>
      <c r="G46" s="122">
        <v>2018.82</v>
      </c>
      <c r="H46" s="112"/>
      <c r="I46" s="153">
        <f>G46*F46/6</f>
        <v>1574.6795999999997</v>
      </c>
      <c r="J46" s="27"/>
      <c r="L46" s="21"/>
      <c r="M46" s="22"/>
      <c r="N46" s="23"/>
    </row>
    <row r="47" spans="1:14" ht="15.75" customHeight="1">
      <c r="A47" s="170" t="s">
        <v>146</v>
      </c>
      <c r="B47" s="171"/>
      <c r="C47" s="171"/>
      <c r="D47" s="171"/>
      <c r="E47" s="171"/>
      <c r="F47" s="171"/>
      <c r="G47" s="171"/>
      <c r="H47" s="171"/>
      <c r="I47" s="172"/>
      <c r="J47" s="27"/>
      <c r="L47" s="21"/>
      <c r="M47" s="22"/>
      <c r="N47" s="23"/>
    </row>
    <row r="48" spans="1:14" ht="15.75" hidden="1" customHeight="1">
      <c r="A48" s="45">
        <v>12</v>
      </c>
      <c r="B48" s="89" t="s">
        <v>103</v>
      </c>
      <c r="C48" s="90" t="s">
        <v>93</v>
      </c>
      <c r="D48" s="89" t="s">
        <v>40</v>
      </c>
      <c r="E48" s="91">
        <v>1060.4000000000001</v>
      </c>
      <c r="F48" s="92">
        <f>SUM(E48*2/1000)</f>
        <v>2.1208</v>
      </c>
      <c r="G48" s="13">
        <v>1283.46</v>
      </c>
      <c r="H48" s="93">
        <f t="shared" ref="H48:H58" si="9">SUM(F48*G48/1000)</f>
        <v>2.721961968</v>
      </c>
      <c r="I48" s="13">
        <f t="shared" ref="I48:I51" si="10">F48/2*G48</f>
        <v>1360.980984</v>
      </c>
      <c r="J48" s="27"/>
      <c r="L48" s="21"/>
      <c r="M48" s="22"/>
      <c r="N48" s="23"/>
    </row>
    <row r="49" spans="1:14" ht="15.75" hidden="1" customHeight="1">
      <c r="A49" s="45">
        <v>13</v>
      </c>
      <c r="B49" s="89" t="s">
        <v>33</v>
      </c>
      <c r="C49" s="90" t="s">
        <v>93</v>
      </c>
      <c r="D49" s="89" t="s">
        <v>40</v>
      </c>
      <c r="E49" s="91">
        <v>19.8</v>
      </c>
      <c r="F49" s="92">
        <f>SUM(E49*2/1000)</f>
        <v>3.9600000000000003E-2</v>
      </c>
      <c r="G49" s="13">
        <v>721.04</v>
      </c>
      <c r="H49" s="93">
        <f t="shared" si="9"/>
        <v>2.8553184000000002E-2</v>
      </c>
      <c r="I49" s="13">
        <f t="shared" si="10"/>
        <v>14.276592000000001</v>
      </c>
      <c r="J49" s="27"/>
      <c r="L49" s="21"/>
      <c r="M49" s="22"/>
      <c r="N49" s="23"/>
    </row>
    <row r="50" spans="1:14" ht="15.75" hidden="1" customHeight="1">
      <c r="A50" s="45">
        <v>14</v>
      </c>
      <c r="B50" s="89" t="s">
        <v>34</v>
      </c>
      <c r="C50" s="90" t="s">
        <v>93</v>
      </c>
      <c r="D50" s="89" t="s">
        <v>40</v>
      </c>
      <c r="E50" s="91">
        <v>660.84</v>
      </c>
      <c r="F50" s="92">
        <f>SUM(E50*2/1000)</f>
        <v>1.32168</v>
      </c>
      <c r="G50" s="13">
        <v>1711.28</v>
      </c>
      <c r="H50" s="93">
        <f t="shared" si="9"/>
        <v>2.2617645503999997</v>
      </c>
      <c r="I50" s="13">
        <f t="shared" si="10"/>
        <v>1130.8822751999999</v>
      </c>
      <c r="J50" s="27"/>
      <c r="L50" s="21"/>
      <c r="M50" s="22"/>
      <c r="N50" s="23"/>
    </row>
    <row r="51" spans="1:14" ht="15.75" hidden="1" customHeight="1">
      <c r="A51" s="45">
        <v>15</v>
      </c>
      <c r="B51" s="89" t="s">
        <v>35</v>
      </c>
      <c r="C51" s="90" t="s">
        <v>93</v>
      </c>
      <c r="D51" s="89" t="s">
        <v>40</v>
      </c>
      <c r="E51" s="91">
        <v>1156.21</v>
      </c>
      <c r="F51" s="92">
        <f>SUM(E51*2/1000)</f>
        <v>2.3124199999999999</v>
      </c>
      <c r="G51" s="13">
        <v>1179.73</v>
      </c>
      <c r="H51" s="93">
        <f t="shared" si="9"/>
        <v>2.7280312466000001</v>
      </c>
      <c r="I51" s="13">
        <f t="shared" si="10"/>
        <v>1364.0156233</v>
      </c>
      <c r="J51" s="27"/>
      <c r="L51" s="21"/>
      <c r="M51" s="22"/>
      <c r="N51" s="23"/>
    </row>
    <row r="52" spans="1:14" ht="15.75" hidden="1" customHeight="1">
      <c r="A52" s="45">
        <v>16</v>
      </c>
      <c r="B52" s="89" t="s">
        <v>31</v>
      </c>
      <c r="C52" s="90" t="s">
        <v>32</v>
      </c>
      <c r="D52" s="89" t="s">
        <v>40</v>
      </c>
      <c r="E52" s="91">
        <v>15.38</v>
      </c>
      <c r="F52" s="92">
        <f>SUM(E52*2/100)</f>
        <v>0.30760000000000004</v>
      </c>
      <c r="G52" s="13">
        <v>90.61</v>
      </c>
      <c r="H52" s="93">
        <f t="shared" si="9"/>
        <v>2.7871636000000002E-2</v>
      </c>
      <c r="I52" s="13">
        <f>F52/2*G52</f>
        <v>13.935818000000001</v>
      </c>
      <c r="J52" s="27"/>
      <c r="L52" s="21"/>
      <c r="M52" s="22"/>
      <c r="N52" s="23"/>
    </row>
    <row r="53" spans="1:14" ht="15.75" hidden="1" customHeight="1">
      <c r="A53" s="45">
        <v>17</v>
      </c>
      <c r="B53" s="89" t="s">
        <v>53</v>
      </c>
      <c r="C53" s="90" t="s">
        <v>93</v>
      </c>
      <c r="D53" s="89" t="s">
        <v>151</v>
      </c>
      <c r="E53" s="91">
        <v>823</v>
      </c>
      <c r="F53" s="92">
        <f>SUM(E53*5/1000)</f>
        <v>4.1150000000000002</v>
      </c>
      <c r="G53" s="13">
        <v>1711.28</v>
      </c>
      <c r="H53" s="93">
        <f t="shared" si="9"/>
        <v>7.0419171999999994</v>
      </c>
      <c r="I53" s="13">
        <f>F53/5*G53</f>
        <v>1408.3834400000001</v>
      </c>
      <c r="J53" s="27"/>
      <c r="L53" s="21"/>
      <c r="M53" s="22"/>
      <c r="N53" s="23"/>
    </row>
    <row r="54" spans="1:14" ht="31.5" hidden="1" customHeight="1">
      <c r="A54" s="45">
        <v>10</v>
      </c>
      <c r="B54" s="89" t="s">
        <v>104</v>
      </c>
      <c r="C54" s="90" t="s">
        <v>93</v>
      </c>
      <c r="D54" s="89" t="s">
        <v>40</v>
      </c>
      <c r="E54" s="91">
        <v>823</v>
      </c>
      <c r="F54" s="92">
        <f>SUM(E54*2/1000)</f>
        <v>1.6459999999999999</v>
      </c>
      <c r="G54" s="13">
        <v>1510.06</v>
      </c>
      <c r="H54" s="93">
        <f t="shared" si="9"/>
        <v>2.48555876</v>
      </c>
      <c r="I54" s="13">
        <f>F54/2*G54</f>
        <v>1242.7793799999999</v>
      </c>
      <c r="J54" s="27"/>
      <c r="L54" s="21"/>
      <c r="M54" s="22"/>
      <c r="N54" s="23"/>
    </row>
    <row r="55" spans="1:14" ht="31.5" hidden="1" customHeight="1">
      <c r="A55" s="45">
        <v>11</v>
      </c>
      <c r="B55" s="89" t="s">
        <v>105</v>
      </c>
      <c r="C55" s="90" t="s">
        <v>36</v>
      </c>
      <c r="D55" s="89" t="s">
        <v>40</v>
      </c>
      <c r="E55" s="91">
        <v>9</v>
      </c>
      <c r="F55" s="92">
        <f>SUM(E55*2/100)</f>
        <v>0.18</v>
      </c>
      <c r="G55" s="13">
        <v>3850.4</v>
      </c>
      <c r="H55" s="93">
        <f t="shared" si="9"/>
        <v>0.69307200000000002</v>
      </c>
      <c r="I55" s="13">
        <f t="shared" ref="I55:I56" si="11">F55/2*G55</f>
        <v>346.536</v>
      </c>
      <c r="J55" s="27"/>
      <c r="L55" s="21"/>
      <c r="M55" s="22"/>
      <c r="N55" s="23"/>
    </row>
    <row r="56" spans="1:14" ht="15.75" hidden="1" customHeight="1">
      <c r="A56" s="45">
        <v>12</v>
      </c>
      <c r="B56" s="89" t="s">
        <v>37</v>
      </c>
      <c r="C56" s="90" t="s">
        <v>38</v>
      </c>
      <c r="D56" s="89" t="s">
        <v>40</v>
      </c>
      <c r="E56" s="91">
        <v>1</v>
      </c>
      <c r="F56" s="92">
        <v>0.02</v>
      </c>
      <c r="G56" s="13">
        <v>7033.13</v>
      </c>
      <c r="H56" s="93">
        <f t="shared" si="9"/>
        <v>0.1406626</v>
      </c>
      <c r="I56" s="13">
        <f t="shared" si="11"/>
        <v>70.331299999999999</v>
      </c>
      <c r="J56" s="27"/>
      <c r="L56" s="21"/>
      <c r="M56" s="22"/>
      <c r="N56" s="23"/>
    </row>
    <row r="57" spans="1:14" ht="15.75" customHeight="1">
      <c r="A57" s="45">
        <v>13</v>
      </c>
      <c r="B57" s="120" t="s">
        <v>124</v>
      </c>
      <c r="C57" s="44" t="s">
        <v>106</v>
      </c>
      <c r="D57" s="133">
        <v>44512</v>
      </c>
      <c r="E57" s="132">
        <v>30</v>
      </c>
      <c r="F57" s="122">
        <f>SUM(E57*3)</f>
        <v>90</v>
      </c>
      <c r="G57" s="134">
        <v>218.81</v>
      </c>
      <c r="H57" s="93">
        <f t="shared" si="9"/>
        <v>19.692900000000002</v>
      </c>
      <c r="I57" s="13">
        <f>E57*G57</f>
        <v>6564.3</v>
      </c>
      <c r="J57" s="27"/>
      <c r="L57" s="21"/>
      <c r="M57" s="22"/>
      <c r="N57" s="23"/>
    </row>
    <row r="58" spans="1:14" ht="15.75" customHeight="1">
      <c r="A58" s="45">
        <v>14</v>
      </c>
      <c r="B58" s="120" t="s">
        <v>39</v>
      </c>
      <c r="C58" s="44" t="s">
        <v>106</v>
      </c>
      <c r="D58" s="133">
        <v>44512</v>
      </c>
      <c r="E58" s="132">
        <v>60</v>
      </c>
      <c r="F58" s="122">
        <f>SUM(E58)*3</f>
        <v>180</v>
      </c>
      <c r="G58" s="134">
        <v>101.85</v>
      </c>
      <c r="H58" s="93">
        <f t="shared" si="9"/>
        <v>18.332999999999998</v>
      </c>
      <c r="I58" s="13">
        <f>E58*G58</f>
        <v>6111</v>
      </c>
      <c r="J58" s="27"/>
      <c r="L58" s="21"/>
      <c r="M58" s="22"/>
      <c r="N58" s="23"/>
    </row>
    <row r="59" spans="1:14" ht="18" customHeight="1">
      <c r="A59" s="170" t="s">
        <v>147</v>
      </c>
      <c r="B59" s="171"/>
      <c r="C59" s="171"/>
      <c r="D59" s="171"/>
      <c r="E59" s="171"/>
      <c r="F59" s="171"/>
      <c r="G59" s="171"/>
      <c r="H59" s="171"/>
      <c r="I59" s="172"/>
      <c r="J59" s="27"/>
      <c r="L59" s="21"/>
      <c r="M59" s="22"/>
      <c r="N59" s="23"/>
    </row>
    <row r="60" spans="1:14" ht="24" customHeight="1">
      <c r="A60" s="88"/>
      <c r="B60" s="52" t="s">
        <v>41</v>
      </c>
      <c r="C60" s="17"/>
      <c r="D60" s="16"/>
      <c r="E60" s="16"/>
      <c r="F60" s="16"/>
      <c r="G60" s="33"/>
      <c r="H60" s="33"/>
      <c r="I60" s="19"/>
      <c r="J60" s="27"/>
      <c r="L60" s="21"/>
      <c r="M60" s="22"/>
      <c r="N60" s="23"/>
    </row>
    <row r="61" spans="1:14" ht="48" customHeight="1">
      <c r="A61" s="45">
        <v>15</v>
      </c>
      <c r="B61" s="120" t="s">
        <v>152</v>
      </c>
      <c r="C61" s="44" t="s">
        <v>82</v>
      </c>
      <c r="D61" s="120"/>
      <c r="E61" s="132">
        <v>62.8</v>
      </c>
      <c r="F61" s="122">
        <f>SUM(E61*3/100)</f>
        <v>1.8839999999999997</v>
      </c>
      <c r="G61" s="40">
        <v>2399.1</v>
      </c>
      <c r="H61" s="93">
        <f>SUM(F61*G61/1000)</f>
        <v>4.5199043999999997</v>
      </c>
      <c r="I61" s="13">
        <f>G61*0.09</f>
        <v>215.91899999999998</v>
      </c>
      <c r="J61" s="27"/>
      <c r="L61" s="21"/>
      <c r="M61" s="22"/>
      <c r="N61" s="23"/>
    </row>
    <row r="62" spans="1:14" ht="34.5" customHeight="1">
      <c r="A62" s="45">
        <v>16</v>
      </c>
      <c r="B62" s="120" t="s">
        <v>272</v>
      </c>
      <c r="C62" s="44" t="s">
        <v>50</v>
      </c>
      <c r="D62" s="120" t="s">
        <v>274</v>
      </c>
      <c r="E62" s="144">
        <v>4.63</v>
      </c>
      <c r="F62" s="122">
        <f>E62*12/100</f>
        <v>0.55559999999999998</v>
      </c>
      <c r="G62" s="158">
        <v>2399.1</v>
      </c>
      <c r="H62" s="93"/>
      <c r="I62" s="13">
        <f>G62*F62/6</f>
        <v>222.15665999999999</v>
      </c>
      <c r="J62" s="27"/>
      <c r="L62" s="21"/>
      <c r="M62" s="22"/>
      <c r="N62" s="23"/>
    </row>
    <row r="63" spans="1:14" ht="26.25" hidden="1" customHeight="1">
      <c r="A63" s="45"/>
      <c r="B63" s="120" t="s">
        <v>108</v>
      </c>
      <c r="C63" s="44" t="s">
        <v>153</v>
      </c>
      <c r="D63" s="120" t="s">
        <v>273</v>
      </c>
      <c r="E63" s="159"/>
      <c r="F63" s="122">
        <v>2</v>
      </c>
      <c r="G63" s="156">
        <v>1872</v>
      </c>
      <c r="H63" s="93">
        <f>SUM(F63*G63/1000)</f>
        <v>3.7440000000000002</v>
      </c>
      <c r="I63" s="13">
        <v>0</v>
      </c>
      <c r="J63" s="27"/>
      <c r="L63" s="21"/>
      <c r="M63" s="22"/>
      <c r="N63" s="23"/>
    </row>
    <row r="64" spans="1:14" ht="24.75" customHeight="1">
      <c r="A64" s="45"/>
      <c r="B64" s="81" t="s">
        <v>42</v>
      </c>
      <c r="C64" s="81"/>
      <c r="D64" s="81"/>
      <c r="E64" s="81"/>
      <c r="F64" s="81"/>
      <c r="G64" s="81"/>
      <c r="H64" s="81"/>
      <c r="I64" s="39"/>
      <c r="J64" s="27"/>
      <c r="L64" s="21"/>
      <c r="M64" s="22"/>
      <c r="N64" s="23"/>
    </row>
    <row r="65" spans="1:21" ht="22.5" hidden="1" customHeight="1">
      <c r="A65" s="45">
        <v>27</v>
      </c>
      <c r="B65" s="89" t="s">
        <v>154</v>
      </c>
      <c r="C65" s="90" t="s">
        <v>50</v>
      </c>
      <c r="D65" s="89" t="s">
        <v>51</v>
      </c>
      <c r="E65" s="91">
        <v>434.4</v>
      </c>
      <c r="F65" s="93">
        <f>SUM(E65/100)</f>
        <v>4.3439999999999994</v>
      </c>
      <c r="G65" s="13">
        <v>987.51</v>
      </c>
      <c r="H65" s="98">
        <f>F65*G65/1000</f>
        <v>4.2897434399999996</v>
      </c>
      <c r="I65" s="13">
        <v>0</v>
      </c>
      <c r="J65" s="27"/>
      <c r="L65" s="21"/>
      <c r="M65" s="22"/>
      <c r="N65" s="23"/>
    </row>
    <row r="66" spans="1:21" ht="22.5" customHeight="1">
      <c r="A66" s="45">
        <v>17</v>
      </c>
      <c r="B66" s="120" t="s">
        <v>172</v>
      </c>
      <c r="C66" s="44" t="s">
        <v>173</v>
      </c>
      <c r="D66" s="120" t="s">
        <v>184</v>
      </c>
      <c r="E66" s="132">
        <v>12</v>
      </c>
      <c r="F66" s="138">
        <f>E66*12</f>
        <v>144</v>
      </c>
      <c r="G66" s="40">
        <v>1.4</v>
      </c>
      <c r="H66" s="112"/>
      <c r="I66" s="13">
        <f>G66*F66/12</f>
        <v>16.8</v>
      </c>
      <c r="J66" s="27"/>
      <c r="L66" s="21"/>
      <c r="M66" s="22"/>
      <c r="N66" s="23"/>
    </row>
    <row r="67" spans="1:21" ht="19.5" hidden="1" customHeight="1">
      <c r="A67" s="45"/>
      <c r="B67" s="69" t="s">
        <v>125</v>
      </c>
      <c r="C67" s="44"/>
      <c r="D67" s="68"/>
      <c r="E67" s="67"/>
      <c r="F67" s="67"/>
      <c r="G67" s="40"/>
      <c r="H67" s="40"/>
      <c r="I67" s="20"/>
      <c r="J67" s="27"/>
      <c r="L67" s="21"/>
      <c r="M67" s="22"/>
      <c r="N67" s="23"/>
    </row>
    <row r="68" spans="1:21" ht="20.25" hidden="1" customHeight="1">
      <c r="A68" s="45"/>
      <c r="B68" s="89" t="s">
        <v>126</v>
      </c>
      <c r="C68" s="90" t="s">
        <v>106</v>
      </c>
      <c r="D68" s="41" t="s">
        <v>63</v>
      </c>
      <c r="E68" s="91">
        <v>1</v>
      </c>
      <c r="F68" s="92">
        <f>E68</f>
        <v>1</v>
      </c>
      <c r="G68" s="99">
        <v>323.38</v>
      </c>
      <c r="H68" s="93">
        <f t="shared" ref="H68" si="12">SUM(F68*G68/1000)</f>
        <v>0.32338</v>
      </c>
      <c r="I68" s="13">
        <v>0</v>
      </c>
      <c r="J68" s="27"/>
      <c r="L68" s="21"/>
      <c r="M68" s="22"/>
      <c r="N68" s="23"/>
    </row>
    <row r="69" spans="1:21" ht="19.5" hidden="1" customHeight="1">
      <c r="A69" s="45"/>
      <c r="B69" s="81" t="s">
        <v>43</v>
      </c>
      <c r="C69" s="17"/>
      <c r="D69" s="41"/>
      <c r="E69" s="16"/>
      <c r="F69" s="16"/>
      <c r="G69" s="33"/>
      <c r="H69" s="33"/>
      <c r="I69" s="19"/>
      <c r="J69" s="27"/>
      <c r="L69" s="21"/>
      <c r="M69" s="22"/>
      <c r="N69" s="23"/>
    </row>
    <row r="70" spans="1:21" ht="16.5" hidden="1" customHeight="1">
      <c r="A70" s="45">
        <v>11</v>
      </c>
      <c r="B70" s="15" t="s">
        <v>44</v>
      </c>
      <c r="C70" s="17" t="s">
        <v>106</v>
      </c>
      <c r="D70" s="41" t="s">
        <v>63</v>
      </c>
      <c r="E70" s="19">
        <v>10</v>
      </c>
      <c r="F70" s="92">
        <v>10</v>
      </c>
      <c r="G70" s="13">
        <v>276.74</v>
      </c>
      <c r="H70" s="100">
        <f t="shared" ref="H70:H77" si="13">SUM(F70*G70/1000)</f>
        <v>2.7674000000000003</v>
      </c>
      <c r="I70" s="13">
        <f>G70*1</f>
        <v>276.74</v>
      </c>
      <c r="J70" s="27"/>
      <c r="L70" s="21"/>
      <c r="M70" s="22"/>
      <c r="N70" s="23"/>
    </row>
    <row r="71" spans="1:21" ht="16.5" hidden="1" customHeight="1">
      <c r="A71" s="33">
        <v>29</v>
      </c>
      <c r="B71" s="15" t="s">
        <v>45</v>
      </c>
      <c r="C71" s="17" t="s">
        <v>106</v>
      </c>
      <c r="D71" s="41" t="s">
        <v>63</v>
      </c>
      <c r="E71" s="19">
        <v>3</v>
      </c>
      <c r="F71" s="92">
        <v>3</v>
      </c>
      <c r="G71" s="13">
        <v>94.89</v>
      </c>
      <c r="H71" s="100">
        <f t="shared" si="13"/>
        <v>0.28467000000000003</v>
      </c>
      <c r="I71" s="13">
        <v>0</v>
      </c>
      <c r="J71" s="27"/>
      <c r="L71" s="21"/>
      <c r="M71" s="22"/>
      <c r="N71" s="23"/>
    </row>
    <row r="72" spans="1:21" ht="18.75" hidden="1" customHeight="1">
      <c r="A72" s="33">
        <v>28</v>
      </c>
      <c r="B72" s="15" t="s">
        <v>46</v>
      </c>
      <c r="C72" s="17" t="s">
        <v>109</v>
      </c>
      <c r="D72" s="15" t="s">
        <v>51</v>
      </c>
      <c r="E72" s="91">
        <v>7265</v>
      </c>
      <c r="F72" s="13">
        <f>SUM(E72/100)</f>
        <v>72.650000000000006</v>
      </c>
      <c r="G72" s="13">
        <v>263.99</v>
      </c>
      <c r="H72" s="100">
        <f t="shared" si="13"/>
        <v>19.178873500000002</v>
      </c>
      <c r="I72" s="13">
        <f>F72*G72</f>
        <v>19178.873500000002</v>
      </c>
      <c r="J72" s="27"/>
      <c r="L72" s="21"/>
      <c r="M72" s="22"/>
      <c r="N72" s="23"/>
    </row>
    <row r="73" spans="1:21" ht="18.75" hidden="1" customHeight="1">
      <c r="A73" s="33">
        <v>29</v>
      </c>
      <c r="B73" s="15" t="s">
        <v>47</v>
      </c>
      <c r="C73" s="17" t="s">
        <v>110</v>
      </c>
      <c r="D73" s="15" t="s">
        <v>51</v>
      </c>
      <c r="E73" s="91">
        <v>7265</v>
      </c>
      <c r="F73" s="13">
        <f>SUM(E73/1000)</f>
        <v>7.2649999999999997</v>
      </c>
      <c r="G73" s="13">
        <v>205.57</v>
      </c>
      <c r="H73" s="100">
        <f t="shared" si="13"/>
        <v>1.4934660500000001</v>
      </c>
      <c r="I73" s="13">
        <f t="shared" ref="I73:I76" si="14">F73*G73</f>
        <v>1493.46605</v>
      </c>
      <c r="J73" s="27"/>
      <c r="L73" s="21"/>
      <c r="M73" s="22"/>
      <c r="N73" s="23"/>
    </row>
    <row r="74" spans="1:21" ht="20.25" hidden="1" customHeight="1">
      <c r="A74" s="33">
        <v>30</v>
      </c>
      <c r="B74" s="15" t="s">
        <v>48</v>
      </c>
      <c r="C74" s="17" t="s">
        <v>73</v>
      </c>
      <c r="D74" s="15" t="s">
        <v>51</v>
      </c>
      <c r="E74" s="91">
        <v>1090</v>
      </c>
      <c r="F74" s="13">
        <f>SUM(E74/100)</f>
        <v>10.9</v>
      </c>
      <c r="G74" s="13">
        <v>2581.5300000000002</v>
      </c>
      <c r="H74" s="100">
        <f t="shared" si="13"/>
        <v>28.138677000000005</v>
      </c>
      <c r="I74" s="13">
        <f t="shared" si="14"/>
        <v>28138.677000000003</v>
      </c>
      <c r="J74" s="27"/>
      <c r="L74" s="21"/>
    </row>
    <row r="75" spans="1:21" ht="18" hidden="1" customHeight="1">
      <c r="A75" s="33">
        <v>31</v>
      </c>
      <c r="B75" s="101" t="s">
        <v>111</v>
      </c>
      <c r="C75" s="17" t="s">
        <v>30</v>
      </c>
      <c r="D75" s="15"/>
      <c r="E75" s="91">
        <v>7.4</v>
      </c>
      <c r="F75" s="13">
        <f>SUM(E75)</f>
        <v>7.4</v>
      </c>
      <c r="G75" s="13">
        <v>47.45</v>
      </c>
      <c r="H75" s="100">
        <f t="shared" si="13"/>
        <v>0.35113000000000005</v>
      </c>
      <c r="I75" s="13">
        <f t="shared" si="14"/>
        <v>351.13000000000005</v>
      </c>
    </row>
    <row r="76" spans="1:21" ht="19.5" hidden="1" customHeight="1">
      <c r="A76" s="33">
        <v>32</v>
      </c>
      <c r="B76" s="101" t="s">
        <v>155</v>
      </c>
      <c r="C76" s="17" t="s">
        <v>30</v>
      </c>
      <c r="D76" s="15"/>
      <c r="E76" s="91">
        <v>7.4</v>
      </c>
      <c r="F76" s="13">
        <f>SUM(E76)</f>
        <v>7.4</v>
      </c>
      <c r="G76" s="13">
        <v>44.27</v>
      </c>
      <c r="H76" s="100">
        <f t="shared" si="13"/>
        <v>0.327598</v>
      </c>
      <c r="I76" s="13">
        <f t="shared" si="14"/>
        <v>327.59800000000001</v>
      </c>
    </row>
    <row r="77" spans="1:21" ht="19.5" hidden="1" customHeight="1">
      <c r="A77" s="33">
        <v>18</v>
      </c>
      <c r="B77" s="15" t="s">
        <v>54</v>
      </c>
      <c r="C77" s="17" t="s">
        <v>55</v>
      </c>
      <c r="D77" s="15" t="s">
        <v>51</v>
      </c>
      <c r="E77" s="19">
        <v>3</v>
      </c>
      <c r="F77" s="92">
        <f>SUM(E77)</f>
        <v>3</v>
      </c>
      <c r="G77" s="13">
        <v>62.07</v>
      </c>
      <c r="H77" s="100">
        <f t="shared" si="13"/>
        <v>0.18621000000000001</v>
      </c>
      <c r="I77" s="13">
        <f>G77*3</f>
        <v>186.21</v>
      </c>
    </row>
    <row r="78" spans="1:21" ht="19.5" customHeight="1">
      <c r="A78" s="33"/>
      <c r="B78" s="150" t="s">
        <v>129</v>
      </c>
      <c r="C78" s="70"/>
      <c r="D78" s="35"/>
      <c r="E78" s="12"/>
      <c r="F78" s="12"/>
      <c r="G78" s="40"/>
      <c r="H78" s="40"/>
      <c r="I78" s="19"/>
    </row>
    <row r="79" spans="1:21" ht="39.75" customHeight="1">
      <c r="A79" s="33">
        <v>18</v>
      </c>
      <c r="B79" s="15" t="s">
        <v>225</v>
      </c>
      <c r="C79" s="33" t="s">
        <v>226</v>
      </c>
      <c r="D79" s="15"/>
      <c r="E79" s="19">
        <v>1832</v>
      </c>
      <c r="F79" s="13">
        <f>E79*12</f>
        <v>21984</v>
      </c>
      <c r="G79" s="13">
        <v>2.7</v>
      </c>
      <c r="H79" s="100">
        <f t="shared" ref="H79" si="15">SUM(F79*G79/1000)</f>
        <v>59.3568</v>
      </c>
      <c r="I79" s="13">
        <f>G79*F79/12</f>
        <v>4946.4000000000005</v>
      </c>
    </row>
    <row r="80" spans="1:21" ht="21" hidden="1" customHeight="1">
      <c r="A80" s="88"/>
      <c r="B80" s="81" t="s">
        <v>112</v>
      </c>
      <c r="C80" s="81"/>
      <c r="D80" s="81"/>
      <c r="E80" s="81"/>
      <c r="F80" s="81"/>
      <c r="G80" s="81"/>
      <c r="H80" s="81"/>
      <c r="I80" s="19"/>
      <c r="J80" s="29"/>
      <c r="K80" s="29"/>
      <c r="L80" s="3"/>
      <c r="M80" s="3"/>
      <c r="N80" s="3"/>
      <c r="O80" s="3"/>
      <c r="P80" s="3"/>
      <c r="Q80" s="3"/>
      <c r="R80" s="3"/>
      <c r="S80" s="3"/>
      <c r="T80" s="3"/>
      <c r="U80" s="3"/>
    </row>
    <row r="81" spans="1:21" ht="19.5" hidden="1" customHeight="1">
      <c r="A81" s="33">
        <v>14</v>
      </c>
      <c r="B81" s="102" t="s">
        <v>113</v>
      </c>
      <c r="C81" s="25"/>
      <c r="D81" s="24"/>
      <c r="E81" s="84"/>
      <c r="F81" s="103">
        <v>1</v>
      </c>
      <c r="G81" s="103">
        <v>12171.2</v>
      </c>
      <c r="H81" s="13">
        <f>G81*F81/1000</f>
        <v>12.171200000000001</v>
      </c>
      <c r="I81" s="13">
        <f>G81</f>
        <v>12171.2</v>
      </c>
      <c r="J81" s="3"/>
      <c r="K81" s="3"/>
      <c r="L81" s="3"/>
      <c r="M81" s="3"/>
      <c r="N81" s="3"/>
      <c r="O81" s="3"/>
      <c r="P81" s="3"/>
      <c r="Q81" s="3"/>
      <c r="S81" s="3"/>
      <c r="T81" s="3"/>
      <c r="U81" s="3"/>
    </row>
    <row r="82" spans="1:21" ht="21.75" hidden="1" customHeight="1">
      <c r="A82" s="33"/>
      <c r="B82" s="53" t="s">
        <v>68</v>
      </c>
      <c r="C82" s="53"/>
      <c r="D82" s="53"/>
      <c r="E82" s="19"/>
      <c r="F82" s="19"/>
      <c r="G82" s="33"/>
      <c r="H82" s="33"/>
      <c r="I82" s="19"/>
      <c r="J82" s="5"/>
      <c r="K82" s="5"/>
      <c r="L82" s="5"/>
      <c r="M82" s="5"/>
      <c r="N82" s="5"/>
      <c r="O82" s="5"/>
      <c r="P82" s="5"/>
      <c r="Q82" s="5"/>
      <c r="R82" s="168"/>
      <c r="S82" s="168"/>
      <c r="T82" s="168"/>
      <c r="U82" s="168"/>
    </row>
    <row r="83" spans="1:21" ht="21.75" hidden="1" customHeight="1">
      <c r="A83" s="33"/>
      <c r="B83" s="15" t="s">
        <v>127</v>
      </c>
      <c r="C83" s="17" t="s">
        <v>114</v>
      </c>
      <c r="D83" s="41" t="s">
        <v>63</v>
      </c>
      <c r="E83" s="19">
        <v>1</v>
      </c>
      <c r="F83" s="13">
        <f>E83</f>
        <v>1</v>
      </c>
      <c r="G83" s="13">
        <v>976.4</v>
      </c>
      <c r="H83" s="100">
        <f>F83*G83/1000</f>
        <v>0.97639999999999993</v>
      </c>
      <c r="I83" s="13">
        <v>0</v>
      </c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</row>
    <row r="84" spans="1:21" ht="24.75" hidden="1" customHeight="1">
      <c r="A84" s="33"/>
      <c r="B84" s="15" t="s">
        <v>115</v>
      </c>
      <c r="C84" s="17" t="s">
        <v>116</v>
      </c>
      <c r="D84" s="15"/>
      <c r="E84" s="19">
        <v>1</v>
      </c>
      <c r="F84" s="13">
        <v>1</v>
      </c>
      <c r="G84" s="13">
        <v>750</v>
      </c>
      <c r="H84" s="100">
        <f>F84*G84/1000</f>
        <v>0.75</v>
      </c>
      <c r="I84" s="13">
        <v>0</v>
      </c>
    </row>
    <row r="85" spans="1:21" ht="18" hidden="1" customHeight="1">
      <c r="A85" s="33"/>
      <c r="B85" s="15" t="s">
        <v>69</v>
      </c>
      <c r="C85" s="17" t="s">
        <v>71</v>
      </c>
      <c r="D85" s="41" t="s">
        <v>63</v>
      </c>
      <c r="E85" s="19">
        <v>3</v>
      </c>
      <c r="F85" s="13">
        <f>SUM(E85/100)</f>
        <v>0.03</v>
      </c>
      <c r="G85" s="13">
        <v>624.16999999999996</v>
      </c>
      <c r="H85" s="100">
        <f>F85*G85/1000</f>
        <v>1.8725099999999998E-2</v>
      </c>
      <c r="I85" s="13">
        <v>0</v>
      </c>
    </row>
    <row r="86" spans="1:21" ht="18" hidden="1" customHeight="1">
      <c r="A86" s="33"/>
      <c r="B86" s="15" t="s">
        <v>70</v>
      </c>
      <c r="C86" s="17" t="s">
        <v>28</v>
      </c>
      <c r="D86" s="41" t="s">
        <v>63</v>
      </c>
      <c r="E86" s="19">
        <v>1</v>
      </c>
      <c r="F86" s="13">
        <v>1</v>
      </c>
      <c r="G86" s="13">
        <v>1061.4100000000001</v>
      </c>
      <c r="H86" s="100">
        <f>F86*G86/1000</f>
        <v>1.0614100000000002</v>
      </c>
      <c r="I86" s="13">
        <v>0</v>
      </c>
    </row>
    <row r="87" spans="1:21" ht="18" hidden="1" customHeight="1">
      <c r="A87" s="33">
        <v>17</v>
      </c>
      <c r="B87" s="15" t="s">
        <v>128</v>
      </c>
      <c r="C87" s="17" t="s">
        <v>28</v>
      </c>
      <c r="D87" s="41" t="s">
        <v>63</v>
      </c>
      <c r="E87" s="19">
        <v>1</v>
      </c>
      <c r="F87" s="92">
        <f>SUM(E87)</f>
        <v>1</v>
      </c>
      <c r="G87" s="13">
        <v>446.12</v>
      </c>
      <c r="H87" s="100">
        <f t="shared" ref="H87" si="16">SUM(F87*G87/1000)</f>
        <v>0.44612000000000002</v>
      </c>
      <c r="I87" s="13">
        <v>0</v>
      </c>
    </row>
    <row r="88" spans="1:21" ht="23.25" hidden="1" customHeight="1">
      <c r="A88" s="33"/>
      <c r="B88" s="54" t="s">
        <v>72</v>
      </c>
      <c r="C88" s="42"/>
      <c r="D88" s="33"/>
      <c r="E88" s="19"/>
      <c r="F88" s="19"/>
      <c r="G88" s="40"/>
      <c r="H88" s="40"/>
      <c r="I88" s="19"/>
    </row>
    <row r="89" spans="1:21" ht="20.25" hidden="1" customHeight="1">
      <c r="A89" s="33">
        <v>39</v>
      </c>
      <c r="B89" s="56" t="s">
        <v>117</v>
      </c>
      <c r="C89" s="17" t="s">
        <v>73</v>
      </c>
      <c r="D89" s="15"/>
      <c r="E89" s="19"/>
      <c r="F89" s="13">
        <v>1.35</v>
      </c>
      <c r="G89" s="13">
        <v>3433.68</v>
      </c>
      <c r="H89" s="100">
        <f t="shared" ref="H89" si="17">SUM(F89*G89/1000)</f>
        <v>4.6354679999999995</v>
      </c>
      <c r="I89" s="13">
        <v>0</v>
      </c>
    </row>
    <row r="90" spans="1:21" ht="15.75" customHeight="1">
      <c r="A90" s="181" t="s">
        <v>148</v>
      </c>
      <c r="B90" s="182"/>
      <c r="C90" s="182"/>
      <c r="D90" s="182"/>
      <c r="E90" s="182"/>
      <c r="F90" s="182"/>
      <c r="G90" s="182"/>
      <c r="H90" s="182"/>
      <c r="I90" s="183"/>
    </row>
    <row r="91" spans="1:21" ht="15.75" customHeight="1">
      <c r="A91" s="33">
        <v>19</v>
      </c>
      <c r="B91" s="120" t="s">
        <v>118</v>
      </c>
      <c r="C91" s="42" t="s">
        <v>52</v>
      </c>
      <c r="D91" s="142"/>
      <c r="E91" s="40">
        <v>1832</v>
      </c>
      <c r="F91" s="40">
        <f>SUM(E91*12)</f>
        <v>21984</v>
      </c>
      <c r="G91" s="40">
        <v>3.93</v>
      </c>
      <c r="H91" s="100">
        <f>SUM(F91*G91/1000)</f>
        <v>86.397120000000015</v>
      </c>
      <c r="I91" s="13">
        <f>F91/12*G91</f>
        <v>7199.76</v>
      </c>
    </row>
    <row r="92" spans="1:21" ht="54.75" customHeight="1">
      <c r="A92" s="33">
        <v>20</v>
      </c>
      <c r="B92" s="41" t="s">
        <v>227</v>
      </c>
      <c r="C92" s="42" t="s">
        <v>156</v>
      </c>
      <c r="D92" s="143"/>
      <c r="E92" s="132">
        <f>E91</f>
        <v>1832</v>
      </c>
      <c r="F92" s="40">
        <f>E92*12</f>
        <v>21984</v>
      </c>
      <c r="G92" s="40">
        <v>3.6</v>
      </c>
      <c r="H92" s="100">
        <f>F92*G92/1000</f>
        <v>79.142400000000009</v>
      </c>
      <c r="I92" s="13">
        <f>F92/12*G92</f>
        <v>6595.2</v>
      </c>
    </row>
    <row r="93" spans="1:21" ht="15.75" customHeight="1">
      <c r="A93" s="88"/>
      <c r="B93" s="43" t="s">
        <v>76</v>
      </c>
      <c r="C93" s="45"/>
      <c r="D93" s="16"/>
      <c r="E93" s="16"/>
      <c r="F93" s="16"/>
      <c r="G93" s="19"/>
      <c r="H93" s="19"/>
      <c r="I93" s="36">
        <f>I92+I91+I79+I66+I62+I61+I58+I57+I46+I45+I42+I41+I40+I39+I22+I21+I20+I18+I17+I16</f>
        <v>51424.86694800001</v>
      </c>
    </row>
    <row r="94" spans="1:21" ht="15.75" customHeight="1">
      <c r="A94" s="184" t="s">
        <v>57</v>
      </c>
      <c r="B94" s="185"/>
      <c r="C94" s="185"/>
      <c r="D94" s="185"/>
      <c r="E94" s="185"/>
      <c r="F94" s="185"/>
      <c r="G94" s="185"/>
      <c r="H94" s="185"/>
      <c r="I94" s="186"/>
    </row>
    <row r="95" spans="1:21" ht="15.75" customHeight="1">
      <c r="A95" s="46">
        <v>21</v>
      </c>
      <c r="B95" s="116" t="s">
        <v>255</v>
      </c>
      <c r="C95" s="117" t="s">
        <v>27</v>
      </c>
      <c r="D95" s="143"/>
      <c r="E95" s="40"/>
      <c r="F95" s="40">
        <f>0.502*5</f>
        <v>2.5099999999999998</v>
      </c>
      <c r="G95" s="40">
        <v>241.69</v>
      </c>
      <c r="H95" s="113"/>
      <c r="I95" s="114">
        <f>G95*0.502</f>
        <v>121.32838</v>
      </c>
    </row>
    <row r="96" spans="1:21" ht="47.25" customHeight="1">
      <c r="A96" s="33">
        <v>22</v>
      </c>
      <c r="B96" s="116" t="s">
        <v>275</v>
      </c>
      <c r="C96" s="117" t="s">
        <v>231</v>
      </c>
      <c r="D96" s="143" t="s">
        <v>279</v>
      </c>
      <c r="E96" s="40"/>
      <c r="F96" s="40">
        <v>0.15</v>
      </c>
      <c r="G96" s="40">
        <v>8968.52</v>
      </c>
      <c r="H96" s="151"/>
      <c r="I96" s="119">
        <f>G96*0.15</f>
        <v>1345.278</v>
      </c>
    </row>
    <row r="97" spans="1:9" ht="22.5" customHeight="1">
      <c r="A97" s="33">
        <v>23</v>
      </c>
      <c r="B97" s="107" t="s">
        <v>276</v>
      </c>
      <c r="C97" s="45" t="s">
        <v>85</v>
      </c>
      <c r="D97" s="143"/>
      <c r="E97" s="40"/>
      <c r="F97" s="40">
        <v>0.06</v>
      </c>
      <c r="G97" s="40">
        <v>3880.23</v>
      </c>
      <c r="H97" s="151"/>
      <c r="I97" s="119">
        <f>G97*0.06</f>
        <v>232.81379999999999</v>
      </c>
    </row>
    <row r="98" spans="1:9" ht="22.5" customHeight="1">
      <c r="A98" s="33">
        <v>24</v>
      </c>
      <c r="B98" s="116" t="s">
        <v>277</v>
      </c>
      <c r="C98" s="117" t="s">
        <v>278</v>
      </c>
      <c r="D98" s="143" t="s">
        <v>184</v>
      </c>
      <c r="E98" s="40"/>
      <c r="F98" s="40">
        <v>0.01</v>
      </c>
      <c r="G98" s="40">
        <v>28224.75</v>
      </c>
      <c r="H98" s="151"/>
      <c r="I98" s="119">
        <v>0</v>
      </c>
    </row>
    <row r="99" spans="1:9" ht="15.75" customHeight="1">
      <c r="A99" s="33"/>
      <c r="B99" s="50" t="s">
        <v>49</v>
      </c>
      <c r="C99" s="46"/>
      <c r="D99" s="58"/>
      <c r="E99" s="46">
        <v>1</v>
      </c>
      <c r="F99" s="46"/>
      <c r="G99" s="46"/>
      <c r="H99" s="46"/>
      <c r="I99" s="36">
        <f>SUM(I95:I98)</f>
        <v>1699.4201799999998</v>
      </c>
    </row>
    <row r="100" spans="1:9" ht="15.75" customHeight="1">
      <c r="A100" s="33"/>
      <c r="B100" s="56" t="s">
        <v>75</v>
      </c>
      <c r="C100" s="16"/>
      <c r="D100" s="16"/>
      <c r="E100" s="47"/>
      <c r="F100" s="47"/>
      <c r="G100" s="48"/>
      <c r="H100" s="48"/>
      <c r="I100" s="18">
        <v>0</v>
      </c>
    </row>
    <row r="101" spans="1:9" ht="15.75" customHeight="1">
      <c r="A101" s="59"/>
      <c r="B101" s="51" t="s">
        <v>157</v>
      </c>
      <c r="C101" s="38"/>
      <c r="D101" s="38"/>
      <c r="E101" s="38"/>
      <c r="F101" s="38"/>
      <c r="G101" s="38"/>
      <c r="H101" s="38"/>
      <c r="I101" s="49">
        <f>I93+I99</f>
        <v>53124.287128000011</v>
      </c>
    </row>
    <row r="102" spans="1:9" ht="15.75" customHeight="1">
      <c r="A102" s="173" t="s">
        <v>280</v>
      </c>
      <c r="B102" s="173"/>
      <c r="C102" s="173"/>
      <c r="D102" s="173"/>
      <c r="E102" s="173"/>
      <c r="F102" s="173"/>
      <c r="G102" s="173"/>
      <c r="H102" s="173"/>
      <c r="I102" s="173"/>
    </row>
    <row r="103" spans="1:9" ht="15.75" customHeight="1">
      <c r="A103" s="77"/>
      <c r="B103" s="187" t="s">
        <v>281</v>
      </c>
      <c r="C103" s="187"/>
      <c r="D103" s="187"/>
      <c r="E103" s="187"/>
      <c r="F103" s="187"/>
      <c r="G103" s="187"/>
      <c r="H103" s="87"/>
      <c r="I103" s="3"/>
    </row>
    <row r="104" spans="1:9" ht="15.75" customHeight="1">
      <c r="A104" s="80"/>
      <c r="B104" s="161" t="s">
        <v>6</v>
      </c>
      <c r="C104" s="161"/>
      <c r="D104" s="161"/>
      <c r="E104" s="161"/>
      <c r="F104" s="161"/>
      <c r="G104" s="161"/>
      <c r="H104" s="28"/>
      <c r="I104" s="5"/>
    </row>
    <row r="105" spans="1:9" ht="8.25" customHeight="1">
      <c r="A105" s="9"/>
      <c r="B105" s="9"/>
      <c r="C105" s="9"/>
      <c r="D105" s="9"/>
      <c r="E105" s="9"/>
      <c r="F105" s="9"/>
      <c r="G105" s="9"/>
      <c r="H105" s="9"/>
      <c r="I105" s="9"/>
    </row>
    <row r="106" spans="1:9" ht="15.75" customHeight="1">
      <c r="A106" s="162" t="s">
        <v>7</v>
      </c>
      <c r="B106" s="162"/>
      <c r="C106" s="162"/>
      <c r="D106" s="162"/>
      <c r="E106" s="162"/>
      <c r="F106" s="162"/>
      <c r="G106" s="162"/>
      <c r="H106" s="162"/>
      <c r="I106" s="162"/>
    </row>
    <row r="107" spans="1:9" ht="15.75" customHeight="1">
      <c r="A107" s="162" t="s">
        <v>8</v>
      </c>
      <c r="B107" s="162"/>
      <c r="C107" s="162"/>
      <c r="D107" s="162"/>
      <c r="E107" s="162"/>
      <c r="F107" s="162"/>
      <c r="G107" s="162"/>
      <c r="H107" s="162"/>
      <c r="I107" s="162"/>
    </row>
    <row r="108" spans="1:9" ht="15.75" customHeight="1">
      <c r="A108" s="163" t="s">
        <v>58</v>
      </c>
      <c r="B108" s="163"/>
      <c r="C108" s="163"/>
      <c r="D108" s="163"/>
      <c r="E108" s="163"/>
      <c r="F108" s="163"/>
      <c r="G108" s="163"/>
      <c r="H108" s="163"/>
      <c r="I108" s="163"/>
    </row>
    <row r="109" spans="1:9" ht="15.75" customHeight="1">
      <c r="A109" s="10"/>
    </row>
    <row r="110" spans="1:9" ht="15.75" customHeight="1">
      <c r="A110" s="164" t="s">
        <v>9</v>
      </c>
      <c r="B110" s="164"/>
      <c r="C110" s="164"/>
      <c r="D110" s="164"/>
      <c r="E110" s="164"/>
      <c r="F110" s="164"/>
      <c r="G110" s="164"/>
      <c r="H110" s="164"/>
      <c r="I110" s="164"/>
    </row>
    <row r="111" spans="1:9" ht="15.75" customHeight="1">
      <c r="A111" s="4"/>
    </row>
    <row r="112" spans="1:9" ht="15.75" customHeight="1">
      <c r="B112" s="83" t="s">
        <v>10</v>
      </c>
      <c r="C112" s="165" t="s">
        <v>195</v>
      </c>
      <c r="D112" s="165"/>
      <c r="E112" s="165"/>
      <c r="F112" s="85"/>
      <c r="I112" s="79"/>
    </row>
    <row r="113" spans="1:9" ht="15.75" customHeight="1">
      <c r="A113" s="80"/>
      <c r="C113" s="161" t="s">
        <v>11</v>
      </c>
      <c r="D113" s="161"/>
      <c r="E113" s="161"/>
      <c r="F113" s="28"/>
      <c r="I113" s="78" t="s">
        <v>12</v>
      </c>
    </row>
    <row r="114" spans="1:9" ht="15.75" customHeight="1">
      <c r="A114" s="29"/>
      <c r="C114" s="11"/>
      <c r="D114" s="11"/>
      <c r="G114" s="11"/>
      <c r="H114" s="11"/>
    </row>
    <row r="115" spans="1:9" ht="15.75" customHeight="1">
      <c r="B115" s="83" t="s">
        <v>13</v>
      </c>
      <c r="C115" s="166"/>
      <c r="D115" s="166"/>
      <c r="E115" s="166"/>
      <c r="F115" s="86"/>
      <c r="I115" s="79"/>
    </row>
    <row r="116" spans="1:9" ht="15.75" customHeight="1">
      <c r="A116" s="80"/>
      <c r="C116" s="168" t="s">
        <v>11</v>
      </c>
      <c r="D116" s="168"/>
      <c r="E116" s="168"/>
      <c r="F116" s="80"/>
      <c r="I116" s="78" t="s">
        <v>12</v>
      </c>
    </row>
    <row r="117" spans="1:9" ht="15.75" customHeight="1">
      <c r="A117" s="4" t="s">
        <v>14</v>
      </c>
    </row>
    <row r="118" spans="1:9" ht="15.75" customHeight="1">
      <c r="A118" s="169" t="s">
        <v>15</v>
      </c>
      <c r="B118" s="169"/>
      <c r="C118" s="169"/>
      <c r="D118" s="169"/>
      <c r="E118" s="169"/>
      <c r="F118" s="169"/>
      <c r="G118" s="169"/>
      <c r="H118" s="169"/>
      <c r="I118" s="169"/>
    </row>
    <row r="119" spans="1:9" ht="45" customHeight="1">
      <c r="A119" s="167" t="s">
        <v>16</v>
      </c>
      <c r="B119" s="167"/>
      <c r="C119" s="167"/>
      <c r="D119" s="167"/>
      <c r="E119" s="167"/>
      <c r="F119" s="167"/>
      <c r="G119" s="167"/>
      <c r="H119" s="167"/>
      <c r="I119" s="167"/>
    </row>
    <row r="120" spans="1:9" ht="30" customHeight="1">
      <c r="A120" s="167" t="s">
        <v>17</v>
      </c>
      <c r="B120" s="167"/>
      <c r="C120" s="167"/>
      <c r="D120" s="167"/>
      <c r="E120" s="167"/>
      <c r="F120" s="167"/>
      <c r="G120" s="167"/>
      <c r="H120" s="167"/>
      <c r="I120" s="167"/>
    </row>
    <row r="121" spans="1:9" ht="30" customHeight="1">
      <c r="A121" s="167" t="s">
        <v>21</v>
      </c>
      <c r="B121" s="167"/>
      <c r="C121" s="167"/>
      <c r="D121" s="167"/>
      <c r="E121" s="167"/>
      <c r="F121" s="167"/>
      <c r="G121" s="167"/>
      <c r="H121" s="167"/>
      <c r="I121" s="167"/>
    </row>
    <row r="122" spans="1:9" ht="15" customHeight="1">
      <c r="A122" s="167" t="s">
        <v>20</v>
      </c>
      <c r="B122" s="167"/>
      <c r="C122" s="167"/>
      <c r="D122" s="167"/>
      <c r="E122" s="167"/>
      <c r="F122" s="167"/>
      <c r="G122" s="167"/>
      <c r="H122" s="167"/>
      <c r="I122" s="167"/>
    </row>
  </sheetData>
  <autoFilter ref="I12:I76"/>
  <mergeCells count="29">
    <mergeCell ref="A118:I118"/>
    <mergeCell ref="A119:I119"/>
    <mergeCell ref="A120:I120"/>
    <mergeCell ref="A121:I121"/>
    <mergeCell ref="A122:I122"/>
    <mergeCell ref="R82:U82"/>
    <mergeCell ref="C116:E116"/>
    <mergeCell ref="A94:I94"/>
    <mergeCell ref="A102:I102"/>
    <mergeCell ref="B103:G103"/>
    <mergeCell ref="B104:G104"/>
    <mergeCell ref="A106:I106"/>
    <mergeCell ref="A107:I107"/>
    <mergeCell ref="A108:I108"/>
    <mergeCell ref="A110:I110"/>
    <mergeCell ref="C112:E112"/>
    <mergeCell ref="C113:E113"/>
    <mergeCell ref="C115:E115"/>
    <mergeCell ref="A90:I90"/>
    <mergeCell ref="A3:I3"/>
    <mergeCell ref="A4:I4"/>
    <mergeCell ref="A5:I5"/>
    <mergeCell ref="A8:I8"/>
    <mergeCell ref="A10:I10"/>
    <mergeCell ref="A14:I14"/>
    <mergeCell ref="A15:I15"/>
    <mergeCell ref="A29:I29"/>
    <mergeCell ref="A47:I47"/>
    <mergeCell ref="A59:I59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U119"/>
  <sheetViews>
    <sheetView tabSelected="1" topLeftCell="A53" workbookViewId="0">
      <selection activeCell="J105" sqref="J10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174</v>
      </c>
      <c r="I1" s="30"/>
      <c r="J1" s="1"/>
      <c r="K1" s="1"/>
      <c r="L1" s="1"/>
      <c r="M1" s="1"/>
    </row>
    <row r="2" spans="1:13" ht="15.75" customHeight="1">
      <c r="A2" s="32" t="s">
        <v>59</v>
      </c>
      <c r="J2" s="2"/>
      <c r="K2" s="2"/>
      <c r="L2" s="2"/>
      <c r="M2" s="2"/>
    </row>
    <row r="3" spans="1:13" ht="15.75" customHeight="1">
      <c r="A3" s="174" t="s">
        <v>171</v>
      </c>
      <c r="B3" s="174"/>
      <c r="C3" s="174"/>
      <c r="D3" s="174"/>
      <c r="E3" s="174"/>
      <c r="F3" s="174"/>
      <c r="G3" s="174"/>
      <c r="H3" s="174"/>
      <c r="I3" s="174"/>
      <c r="J3" s="3"/>
      <c r="K3" s="3"/>
      <c r="L3" s="3"/>
    </row>
    <row r="4" spans="1:13" ht="31.5" customHeight="1">
      <c r="A4" s="175" t="s">
        <v>119</v>
      </c>
      <c r="B4" s="175"/>
      <c r="C4" s="175"/>
      <c r="D4" s="175"/>
      <c r="E4" s="175"/>
      <c r="F4" s="175"/>
      <c r="G4" s="175"/>
      <c r="H4" s="175"/>
      <c r="I4" s="175"/>
    </row>
    <row r="5" spans="1:13" ht="15.75" customHeight="1">
      <c r="A5" s="174" t="s">
        <v>282</v>
      </c>
      <c r="B5" s="178"/>
      <c r="C5" s="178"/>
      <c r="D5" s="178"/>
      <c r="E5" s="178"/>
      <c r="F5" s="178"/>
      <c r="G5" s="178"/>
      <c r="H5" s="178"/>
      <c r="I5" s="178"/>
      <c r="J5" s="2"/>
      <c r="K5" s="2"/>
      <c r="L5" s="2"/>
      <c r="M5" s="2"/>
    </row>
    <row r="6" spans="1:13" ht="15.75" customHeight="1">
      <c r="A6" s="2"/>
      <c r="B6" s="82"/>
      <c r="C6" s="82"/>
      <c r="D6" s="82"/>
      <c r="E6" s="82"/>
      <c r="F6" s="82"/>
      <c r="G6" s="82"/>
      <c r="H6" s="82"/>
      <c r="I6" s="34">
        <v>44561</v>
      </c>
      <c r="J6" s="2"/>
      <c r="K6" s="2"/>
      <c r="L6" s="2"/>
      <c r="M6" s="2"/>
    </row>
    <row r="7" spans="1:13" ht="15.75" customHeight="1">
      <c r="B7" s="83"/>
      <c r="C7" s="83"/>
      <c r="D7" s="83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76" t="s">
        <v>220</v>
      </c>
      <c r="B8" s="176"/>
      <c r="C8" s="176"/>
      <c r="D8" s="176"/>
      <c r="E8" s="176"/>
      <c r="F8" s="176"/>
      <c r="G8" s="176"/>
      <c r="H8" s="176"/>
      <c r="I8" s="17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77" t="s">
        <v>144</v>
      </c>
      <c r="B10" s="177"/>
      <c r="C10" s="177"/>
      <c r="D10" s="177"/>
      <c r="E10" s="177"/>
      <c r="F10" s="177"/>
      <c r="G10" s="177"/>
      <c r="H10" s="177"/>
      <c r="I10" s="177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79" t="s">
        <v>56</v>
      </c>
      <c r="B14" s="179"/>
      <c r="C14" s="179"/>
      <c r="D14" s="179"/>
      <c r="E14" s="179"/>
      <c r="F14" s="179"/>
      <c r="G14" s="179"/>
      <c r="H14" s="179"/>
      <c r="I14" s="179"/>
      <c r="J14" s="8"/>
      <c r="K14" s="8"/>
      <c r="L14" s="8"/>
      <c r="M14" s="8"/>
    </row>
    <row r="15" spans="1:13" ht="15.75" customHeight="1">
      <c r="A15" s="180" t="s">
        <v>4</v>
      </c>
      <c r="B15" s="180"/>
      <c r="C15" s="180"/>
      <c r="D15" s="180"/>
      <c r="E15" s="180"/>
      <c r="F15" s="180"/>
      <c r="G15" s="180"/>
      <c r="H15" s="180"/>
      <c r="I15" s="180"/>
      <c r="J15" s="8"/>
      <c r="K15" s="8"/>
      <c r="L15" s="8"/>
      <c r="M15" s="8"/>
    </row>
    <row r="16" spans="1:13" ht="15.75" customHeight="1">
      <c r="A16" s="33">
        <v>1</v>
      </c>
      <c r="B16" s="120" t="s">
        <v>81</v>
      </c>
      <c r="C16" s="44" t="s">
        <v>82</v>
      </c>
      <c r="D16" s="120" t="s">
        <v>178</v>
      </c>
      <c r="E16" s="132">
        <v>53.8</v>
      </c>
      <c r="F16" s="122">
        <f>SUM(E16*156/100)</f>
        <v>83.927999999999997</v>
      </c>
      <c r="G16" s="122">
        <v>481.7</v>
      </c>
      <c r="H16" s="93">
        <f t="shared" ref="H16:H22" si="0">SUM(F16*G16/1000)</f>
        <v>40.4281176</v>
      </c>
      <c r="I16" s="13">
        <f>F16/12*G16</f>
        <v>3369.0097999999998</v>
      </c>
      <c r="J16" s="8"/>
      <c r="K16" s="8"/>
      <c r="L16" s="8"/>
      <c r="M16" s="8"/>
    </row>
    <row r="17" spans="1:13" ht="15.75" customHeight="1">
      <c r="A17" s="33">
        <v>2</v>
      </c>
      <c r="B17" s="120" t="s">
        <v>120</v>
      </c>
      <c r="C17" s="44" t="s">
        <v>82</v>
      </c>
      <c r="D17" s="120" t="s">
        <v>179</v>
      </c>
      <c r="E17" s="132">
        <v>107.6</v>
      </c>
      <c r="F17" s="122">
        <f>SUM(E17*104/100)</f>
        <v>111.904</v>
      </c>
      <c r="G17" s="122">
        <v>380.58</v>
      </c>
      <c r="H17" s="93">
        <f t="shared" si="0"/>
        <v>42.588424320000001</v>
      </c>
      <c r="I17" s="13">
        <f>F17/12*G17</f>
        <v>3549.0353599999999</v>
      </c>
      <c r="J17" s="26"/>
      <c r="K17" s="8"/>
      <c r="L17" s="8"/>
      <c r="M17" s="8"/>
    </row>
    <row r="18" spans="1:13" ht="15.75" customHeight="1">
      <c r="A18" s="33">
        <v>3</v>
      </c>
      <c r="B18" s="120" t="s">
        <v>83</v>
      </c>
      <c r="C18" s="44" t="s">
        <v>82</v>
      </c>
      <c r="D18" s="120" t="s">
        <v>184</v>
      </c>
      <c r="E18" s="132">
        <f>SUM(E16+E17)</f>
        <v>161.39999999999998</v>
      </c>
      <c r="F18" s="122">
        <f>SUM(E18*18/100)</f>
        <v>29.052</v>
      </c>
      <c r="G18" s="122">
        <v>889.97</v>
      </c>
      <c r="H18" s="93">
        <f t="shared" si="0"/>
        <v>25.855408439999998</v>
      </c>
      <c r="I18" s="13">
        <f>F18/18*G18</f>
        <v>1436.41158</v>
      </c>
      <c r="J18" s="26"/>
      <c r="K18" s="8"/>
      <c r="L18" s="8"/>
      <c r="M18" s="8"/>
    </row>
    <row r="19" spans="1:13" ht="15.75" hidden="1" customHeight="1">
      <c r="A19" s="33">
        <v>4</v>
      </c>
      <c r="B19" s="120" t="s">
        <v>84</v>
      </c>
      <c r="C19" s="44" t="s">
        <v>82</v>
      </c>
      <c r="D19" s="120" t="s">
        <v>186</v>
      </c>
      <c r="E19" s="132">
        <v>15.3</v>
      </c>
      <c r="F19" s="122">
        <f>SUM(E19/100)</f>
        <v>0.153</v>
      </c>
      <c r="G19" s="122">
        <v>1965.89</v>
      </c>
      <c r="H19" s="93">
        <f t="shared" si="0"/>
        <v>0.30078117000000004</v>
      </c>
      <c r="I19" s="13">
        <f>F19*G19</f>
        <v>300.78117000000003</v>
      </c>
      <c r="J19" s="26"/>
      <c r="K19" s="8"/>
      <c r="L19" s="8"/>
      <c r="M19" s="8"/>
    </row>
    <row r="20" spans="1:13" ht="15.75" customHeight="1">
      <c r="A20" s="33">
        <v>4</v>
      </c>
      <c r="B20" s="120" t="s">
        <v>91</v>
      </c>
      <c r="C20" s="44" t="s">
        <v>50</v>
      </c>
      <c r="D20" s="120" t="s">
        <v>184</v>
      </c>
      <c r="E20" s="132">
        <v>4.5</v>
      </c>
      <c r="F20" s="122">
        <f>E20/100*12</f>
        <v>0.54</v>
      </c>
      <c r="G20" s="122">
        <v>1037.97</v>
      </c>
      <c r="H20" s="93">
        <f>SUM(F20*G20/1000)</f>
        <v>0.56050380000000011</v>
      </c>
      <c r="I20" s="13">
        <f>F20*G20/12</f>
        <v>46.708650000000006</v>
      </c>
      <c r="J20" s="26"/>
      <c r="K20" s="8"/>
      <c r="L20" s="8"/>
      <c r="M20" s="8"/>
    </row>
    <row r="21" spans="1:13" ht="15.75" customHeight="1">
      <c r="A21" s="33">
        <v>5</v>
      </c>
      <c r="B21" s="120" t="s">
        <v>87</v>
      </c>
      <c r="C21" s="44" t="s">
        <v>82</v>
      </c>
      <c r="D21" s="120" t="s">
        <v>183</v>
      </c>
      <c r="E21" s="132">
        <v>19.62</v>
      </c>
      <c r="F21" s="122">
        <f>SUM(E21*12/100)</f>
        <v>2.3544</v>
      </c>
      <c r="G21" s="122">
        <v>848.17</v>
      </c>
      <c r="H21" s="93">
        <f t="shared" si="0"/>
        <v>1.996931448</v>
      </c>
      <c r="I21" s="13">
        <f>F21*G21/12</f>
        <v>166.410954</v>
      </c>
      <c r="J21" s="26"/>
      <c r="K21" s="8"/>
      <c r="L21" s="8"/>
      <c r="M21" s="8"/>
    </row>
    <row r="22" spans="1:13" ht="15.75" customHeight="1">
      <c r="A22" s="33">
        <v>6</v>
      </c>
      <c r="B22" s="120" t="s">
        <v>88</v>
      </c>
      <c r="C22" s="44" t="s">
        <v>82</v>
      </c>
      <c r="D22" s="120" t="s">
        <v>183</v>
      </c>
      <c r="E22" s="132">
        <v>8.68</v>
      </c>
      <c r="F22" s="122">
        <f>SUM(E22*12/100)</f>
        <v>1.0415999999999999</v>
      </c>
      <c r="G22" s="122">
        <v>523.94000000000005</v>
      </c>
      <c r="H22" s="93">
        <f t="shared" si="0"/>
        <v>0.54573590400000005</v>
      </c>
      <c r="I22" s="13">
        <f>F22*G22/12</f>
        <v>45.477992</v>
      </c>
      <c r="J22" s="26"/>
      <c r="K22" s="8"/>
      <c r="L22" s="8"/>
      <c r="M22" s="8"/>
    </row>
    <row r="23" spans="1:13" ht="15.75" hidden="1" customHeight="1">
      <c r="A23" s="33">
        <v>8</v>
      </c>
      <c r="B23" s="89" t="s">
        <v>89</v>
      </c>
      <c r="C23" s="90" t="s">
        <v>50</v>
      </c>
      <c r="D23" s="89" t="s">
        <v>86</v>
      </c>
      <c r="E23" s="91">
        <v>215</v>
      </c>
      <c r="F23" s="92">
        <f>SUM(E23/100)</f>
        <v>2.15</v>
      </c>
      <c r="G23" s="92">
        <v>335.05</v>
      </c>
      <c r="H23" s="93">
        <f t="shared" ref="H23:H26" si="1">SUM(F23*G23/1000)</f>
        <v>0.72035749999999998</v>
      </c>
      <c r="I23" s="13">
        <f>F23*G23</f>
        <v>720.35749999999996</v>
      </c>
      <c r="J23" s="26"/>
      <c r="K23" s="8"/>
      <c r="L23" s="8"/>
      <c r="M23" s="8"/>
    </row>
    <row r="24" spans="1:13" ht="15.75" hidden="1" customHeight="1">
      <c r="A24" s="33">
        <v>9</v>
      </c>
      <c r="B24" s="89" t="s">
        <v>90</v>
      </c>
      <c r="C24" s="90" t="s">
        <v>50</v>
      </c>
      <c r="D24" s="89" t="s">
        <v>86</v>
      </c>
      <c r="E24" s="94">
        <v>17.64</v>
      </c>
      <c r="F24" s="92">
        <f>SUM(E24/100)</f>
        <v>0.1764</v>
      </c>
      <c r="G24" s="92">
        <v>55.1</v>
      </c>
      <c r="H24" s="93">
        <f t="shared" si="1"/>
        <v>9.7196399999999999E-3</v>
      </c>
      <c r="I24" s="13">
        <f t="shared" ref="I24:I26" si="2">F24*G24</f>
        <v>9.7196400000000001</v>
      </c>
      <c r="J24" s="26"/>
      <c r="K24" s="8"/>
      <c r="L24" s="8"/>
      <c r="M24" s="8"/>
    </row>
    <row r="25" spans="1:13" ht="15.75" hidden="1" customHeight="1">
      <c r="A25" s="33">
        <v>10</v>
      </c>
      <c r="B25" s="89" t="s">
        <v>92</v>
      </c>
      <c r="C25" s="90" t="s">
        <v>50</v>
      </c>
      <c r="D25" s="89" t="s">
        <v>86</v>
      </c>
      <c r="E25" s="91">
        <v>14.4</v>
      </c>
      <c r="F25" s="92">
        <f>SUM(E25/100)</f>
        <v>0.14400000000000002</v>
      </c>
      <c r="G25" s="92">
        <v>648.04999999999995</v>
      </c>
      <c r="H25" s="93">
        <f>SUM(F25*G25/1000)</f>
        <v>9.3319200000000005E-2</v>
      </c>
      <c r="I25" s="13">
        <f t="shared" si="2"/>
        <v>93.319200000000009</v>
      </c>
      <c r="J25" s="26"/>
      <c r="K25" s="8"/>
      <c r="L25" s="8"/>
      <c r="M25" s="8"/>
    </row>
    <row r="26" spans="1:13" ht="15.75" hidden="1" customHeight="1">
      <c r="A26" s="33">
        <v>11</v>
      </c>
      <c r="B26" s="89" t="s">
        <v>122</v>
      </c>
      <c r="C26" s="90" t="s">
        <v>50</v>
      </c>
      <c r="D26" s="89" t="s">
        <v>51</v>
      </c>
      <c r="E26" s="91">
        <v>9.4499999999999993</v>
      </c>
      <c r="F26" s="92">
        <v>0.09</v>
      </c>
      <c r="G26" s="92">
        <v>268.92</v>
      </c>
      <c r="H26" s="93">
        <f t="shared" si="1"/>
        <v>2.42028E-2</v>
      </c>
      <c r="I26" s="13">
        <f t="shared" si="2"/>
        <v>24.2028</v>
      </c>
      <c r="J26" s="26"/>
      <c r="K26" s="8"/>
      <c r="L26" s="8"/>
      <c r="M26" s="8"/>
    </row>
    <row r="27" spans="1:13" ht="15.75" hidden="1" customHeight="1">
      <c r="A27" s="33">
        <v>4</v>
      </c>
      <c r="B27" s="89" t="s">
        <v>177</v>
      </c>
      <c r="C27" s="44" t="s">
        <v>173</v>
      </c>
      <c r="D27" s="120" t="s">
        <v>181</v>
      </c>
      <c r="E27" s="121">
        <v>2.5099999999999998</v>
      </c>
      <c r="F27" s="122">
        <f>E27*258</f>
        <v>647.57999999999993</v>
      </c>
      <c r="G27" s="122">
        <v>10.39</v>
      </c>
      <c r="H27" s="93">
        <f t="shared" ref="H27" si="3">SUM(F27*G27/1000)</f>
        <v>6.7283561999999995</v>
      </c>
      <c r="I27" s="13">
        <f>F27/12*G27</f>
        <v>560.69634999999994</v>
      </c>
      <c r="J27" s="26"/>
      <c r="K27" s="8"/>
      <c r="L27" s="8"/>
      <c r="M27" s="8"/>
    </row>
    <row r="28" spans="1:13" ht="15.75" hidden="1" customHeight="1">
      <c r="A28" s="33">
        <v>5</v>
      </c>
      <c r="B28" s="95" t="s">
        <v>23</v>
      </c>
      <c r="C28" s="90" t="s">
        <v>24</v>
      </c>
      <c r="D28" s="89" t="s">
        <v>80</v>
      </c>
      <c r="E28" s="91">
        <v>1832</v>
      </c>
      <c r="F28" s="92">
        <f>SUM(E28*12)</f>
        <v>21984</v>
      </c>
      <c r="G28" s="92">
        <v>5.25</v>
      </c>
      <c r="H28" s="93">
        <f t="shared" ref="H28" si="4">SUM(F28*G28/1000)</f>
        <v>115.416</v>
      </c>
      <c r="I28" s="13">
        <f>F28/12*G28</f>
        <v>9618</v>
      </c>
      <c r="J28" s="26"/>
      <c r="K28" s="8"/>
      <c r="L28" s="8"/>
      <c r="M28" s="8"/>
    </row>
    <row r="29" spans="1:13" ht="15.75" customHeight="1">
      <c r="A29" s="180" t="s">
        <v>79</v>
      </c>
      <c r="B29" s="180"/>
      <c r="C29" s="180"/>
      <c r="D29" s="180"/>
      <c r="E29" s="180"/>
      <c r="F29" s="180"/>
      <c r="G29" s="180"/>
      <c r="H29" s="180"/>
      <c r="I29" s="180"/>
      <c r="J29" s="26"/>
      <c r="K29" s="8"/>
      <c r="L29" s="8"/>
      <c r="M29" s="8"/>
    </row>
    <row r="30" spans="1:13" ht="15.75" hidden="1" customHeight="1">
      <c r="A30" s="45"/>
      <c r="B30" s="55" t="s">
        <v>26</v>
      </c>
      <c r="C30" s="55"/>
      <c r="D30" s="55"/>
      <c r="E30" s="55"/>
      <c r="F30" s="55"/>
      <c r="G30" s="55"/>
      <c r="H30" s="55"/>
      <c r="I30" s="19"/>
      <c r="J30" s="26"/>
      <c r="K30" s="8"/>
      <c r="L30" s="8"/>
      <c r="M30" s="8"/>
    </row>
    <row r="31" spans="1:13" ht="15.75" hidden="1" customHeight="1">
      <c r="A31" s="45">
        <v>6</v>
      </c>
      <c r="B31" s="89" t="s">
        <v>150</v>
      </c>
      <c r="C31" s="90" t="s">
        <v>93</v>
      </c>
      <c r="D31" s="89" t="s">
        <v>94</v>
      </c>
      <c r="E31" s="92">
        <v>306.55</v>
      </c>
      <c r="F31" s="92">
        <f>SUM(E31*52/1000)</f>
        <v>15.9406</v>
      </c>
      <c r="G31" s="92">
        <v>193.97</v>
      </c>
      <c r="H31" s="93">
        <f t="shared" ref="H31:H37" si="5">SUM(F31*G31/1000)</f>
        <v>3.0919981819999998</v>
      </c>
      <c r="I31" s="13">
        <f>F31/6*G31</f>
        <v>515.33303033333334</v>
      </c>
      <c r="J31" s="26"/>
      <c r="K31" s="8"/>
      <c r="L31" s="8"/>
      <c r="M31" s="8"/>
    </row>
    <row r="32" spans="1:13" ht="31.5" hidden="1" customHeight="1">
      <c r="A32" s="45">
        <v>7</v>
      </c>
      <c r="B32" s="89" t="s">
        <v>95</v>
      </c>
      <c r="C32" s="90" t="s">
        <v>93</v>
      </c>
      <c r="D32" s="89" t="s">
        <v>96</v>
      </c>
      <c r="E32" s="92">
        <v>42.5</v>
      </c>
      <c r="F32" s="92">
        <f>SUM(E32*78/1000)</f>
        <v>3.3149999999999999</v>
      </c>
      <c r="G32" s="92">
        <v>321.82</v>
      </c>
      <c r="H32" s="93">
        <f t="shared" si="5"/>
        <v>1.0668333000000001</v>
      </c>
      <c r="I32" s="13">
        <f t="shared" ref="I32:I35" si="6">F32/6*G32</f>
        <v>177.80554999999998</v>
      </c>
      <c r="J32" s="26"/>
      <c r="K32" s="8"/>
      <c r="L32" s="8"/>
      <c r="M32" s="8"/>
    </row>
    <row r="33" spans="1:14" ht="15.75" hidden="1" customHeight="1">
      <c r="A33" s="45">
        <v>16</v>
      </c>
      <c r="B33" s="89" t="s">
        <v>149</v>
      </c>
      <c r="C33" s="90" t="s">
        <v>93</v>
      </c>
      <c r="D33" s="89" t="s">
        <v>51</v>
      </c>
      <c r="E33" s="92">
        <v>306.55</v>
      </c>
      <c r="F33" s="92">
        <f>SUM(E33/1000)</f>
        <v>0.30654999999999999</v>
      </c>
      <c r="G33" s="92">
        <v>3758.28</v>
      </c>
      <c r="H33" s="93">
        <f t="shared" si="5"/>
        <v>1.152100734</v>
      </c>
      <c r="I33" s="13">
        <f>F33*G33</f>
        <v>1152.1007340000001</v>
      </c>
      <c r="J33" s="26"/>
      <c r="K33" s="8"/>
      <c r="L33" s="8"/>
      <c r="M33" s="8"/>
    </row>
    <row r="34" spans="1:14" ht="15.75" hidden="1" customHeight="1">
      <c r="A34" s="45">
        <v>8</v>
      </c>
      <c r="B34" s="89" t="s">
        <v>123</v>
      </c>
      <c r="C34" s="90" t="s">
        <v>38</v>
      </c>
      <c r="D34" s="89" t="s">
        <v>60</v>
      </c>
      <c r="E34" s="92">
        <v>3</v>
      </c>
      <c r="F34" s="92">
        <f>E34*155/100</f>
        <v>4.6500000000000004</v>
      </c>
      <c r="G34" s="92">
        <v>1620.15</v>
      </c>
      <c r="H34" s="93">
        <f t="shared" si="5"/>
        <v>7.5336975000000015</v>
      </c>
      <c r="I34" s="13">
        <f t="shared" si="6"/>
        <v>1255.61625</v>
      </c>
      <c r="J34" s="26"/>
      <c r="K34" s="8"/>
      <c r="L34" s="8"/>
      <c r="M34" s="8"/>
    </row>
    <row r="35" spans="1:14" ht="15.75" hidden="1" customHeight="1">
      <c r="A35" s="45">
        <v>9</v>
      </c>
      <c r="B35" s="89" t="s">
        <v>97</v>
      </c>
      <c r="C35" s="90" t="s">
        <v>28</v>
      </c>
      <c r="D35" s="89" t="s">
        <v>60</v>
      </c>
      <c r="E35" s="96">
        <f>1/3</f>
        <v>0.33333333333333331</v>
      </c>
      <c r="F35" s="92">
        <f>155/3</f>
        <v>51.666666666666664</v>
      </c>
      <c r="G35" s="92">
        <v>70.540000000000006</v>
      </c>
      <c r="H35" s="93">
        <f t="shared" si="5"/>
        <v>3.6445666666666665</v>
      </c>
      <c r="I35" s="13">
        <f t="shared" si="6"/>
        <v>607.42777777777781</v>
      </c>
      <c r="J35" s="26"/>
      <c r="K35" s="8"/>
      <c r="L35" s="8"/>
      <c r="M35" s="8"/>
    </row>
    <row r="36" spans="1:14" ht="15.75" hidden="1" customHeight="1">
      <c r="A36" s="45">
        <v>4</v>
      </c>
      <c r="B36" s="89" t="s">
        <v>61</v>
      </c>
      <c r="C36" s="90" t="s">
        <v>30</v>
      </c>
      <c r="D36" s="89" t="s">
        <v>63</v>
      </c>
      <c r="E36" s="91"/>
      <c r="F36" s="92">
        <v>2</v>
      </c>
      <c r="G36" s="92">
        <v>238.07</v>
      </c>
      <c r="H36" s="93">
        <f t="shared" si="5"/>
        <v>0.47614000000000001</v>
      </c>
      <c r="I36" s="13">
        <v>0</v>
      </c>
      <c r="J36" s="26"/>
      <c r="K36" s="8"/>
    </row>
    <row r="37" spans="1:14" ht="15.75" hidden="1" customHeight="1">
      <c r="A37" s="33">
        <v>8</v>
      </c>
      <c r="B37" s="89" t="s">
        <v>62</v>
      </c>
      <c r="C37" s="90" t="s">
        <v>29</v>
      </c>
      <c r="D37" s="89" t="s">
        <v>63</v>
      </c>
      <c r="E37" s="91"/>
      <c r="F37" s="92">
        <v>3</v>
      </c>
      <c r="G37" s="92">
        <v>1413.96</v>
      </c>
      <c r="H37" s="93">
        <f t="shared" si="5"/>
        <v>4.2418800000000001</v>
      </c>
      <c r="I37" s="13">
        <v>0</v>
      </c>
      <c r="J37" s="27"/>
    </row>
    <row r="38" spans="1:14" ht="15.75" customHeight="1">
      <c r="A38" s="45"/>
      <c r="B38" s="53" t="s">
        <v>5</v>
      </c>
      <c r="C38" s="53"/>
      <c r="D38" s="53"/>
      <c r="E38" s="13"/>
      <c r="F38" s="13"/>
      <c r="G38" s="14"/>
      <c r="H38" s="14"/>
      <c r="I38" s="19"/>
      <c r="J38" s="27"/>
    </row>
    <row r="39" spans="1:14" ht="15.75" customHeight="1">
      <c r="A39" s="37">
        <v>7</v>
      </c>
      <c r="B39" s="154" t="s">
        <v>25</v>
      </c>
      <c r="C39" s="44" t="s">
        <v>29</v>
      </c>
      <c r="D39" s="120" t="s">
        <v>283</v>
      </c>
      <c r="E39" s="132"/>
      <c r="F39" s="122">
        <v>2</v>
      </c>
      <c r="G39" s="122">
        <v>2007</v>
      </c>
      <c r="H39" s="93">
        <f t="shared" ref="H39:H44" si="7">SUM(F39*G39/1000)</f>
        <v>4.0140000000000002</v>
      </c>
      <c r="I39" s="13">
        <f>G39*1</f>
        <v>2007</v>
      </c>
      <c r="J39" s="27"/>
    </row>
    <row r="40" spans="1:14" ht="15.75" customHeight="1">
      <c r="A40" s="37">
        <v>8</v>
      </c>
      <c r="B40" s="154" t="s">
        <v>64</v>
      </c>
      <c r="C40" s="155" t="s">
        <v>52</v>
      </c>
      <c r="D40" s="154" t="s">
        <v>179</v>
      </c>
      <c r="E40" s="156">
        <v>42.5</v>
      </c>
      <c r="F40" s="156">
        <f>SUM(E40*48)</f>
        <v>2040</v>
      </c>
      <c r="G40" s="156">
        <v>4.12</v>
      </c>
      <c r="H40" s="93">
        <f t="shared" si="7"/>
        <v>8.4048000000000016</v>
      </c>
      <c r="I40" s="13">
        <f t="shared" ref="I40:I42" si="8">F40/6*G40</f>
        <v>1400.8</v>
      </c>
      <c r="J40" s="27"/>
    </row>
    <row r="41" spans="1:14" ht="15.75" customHeight="1">
      <c r="A41" s="37">
        <v>9</v>
      </c>
      <c r="B41" s="120" t="s">
        <v>267</v>
      </c>
      <c r="C41" s="44" t="s">
        <v>231</v>
      </c>
      <c r="D41" s="120" t="s">
        <v>224</v>
      </c>
      <c r="E41" s="122">
        <v>42.5</v>
      </c>
      <c r="F41" s="156">
        <f>SUM(E41*156/10)</f>
        <v>663</v>
      </c>
      <c r="G41" s="122">
        <v>9.4499999999999993</v>
      </c>
      <c r="H41" s="93">
        <f t="shared" si="7"/>
        <v>6.2653499999999998</v>
      </c>
      <c r="I41" s="13">
        <f t="shared" si="8"/>
        <v>1044.2249999999999</v>
      </c>
      <c r="J41" s="27"/>
    </row>
    <row r="42" spans="1:14" ht="47.25" customHeight="1">
      <c r="A42" s="37">
        <v>10</v>
      </c>
      <c r="B42" s="120" t="s">
        <v>268</v>
      </c>
      <c r="C42" s="44" t="s">
        <v>52</v>
      </c>
      <c r="D42" s="120" t="s">
        <v>222</v>
      </c>
      <c r="E42" s="122">
        <v>42.5</v>
      </c>
      <c r="F42" s="156">
        <f>SUM(E42*24)</f>
        <v>1020</v>
      </c>
      <c r="G42" s="122">
        <v>28.3</v>
      </c>
      <c r="H42" s="93">
        <f t="shared" si="7"/>
        <v>28.866</v>
      </c>
      <c r="I42" s="13">
        <f t="shared" si="8"/>
        <v>4811</v>
      </c>
      <c r="J42" s="27"/>
    </row>
    <row r="43" spans="1:14" ht="15.75" hidden="1" customHeight="1">
      <c r="A43" s="37">
        <v>9</v>
      </c>
      <c r="B43" s="120" t="s">
        <v>101</v>
      </c>
      <c r="C43" s="44" t="s">
        <v>82</v>
      </c>
      <c r="D43" s="120" t="s">
        <v>269</v>
      </c>
      <c r="E43" s="122">
        <v>42.5</v>
      </c>
      <c r="F43" s="156">
        <f>SUM(E43*24/100)</f>
        <v>10.199999999999999</v>
      </c>
      <c r="G43" s="122">
        <v>371.4</v>
      </c>
      <c r="H43" s="93">
        <f t="shared" si="7"/>
        <v>3.7882799999999994</v>
      </c>
      <c r="I43" s="13">
        <f>G43*F43/20*2</f>
        <v>378.82799999999992</v>
      </c>
      <c r="J43" s="27"/>
      <c r="L43" s="21"/>
      <c r="M43" s="22"/>
      <c r="N43" s="23"/>
    </row>
    <row r="44" spans="1:14" ht="15.75" hidden="1" customHeight="1">
      <c r="A44" s="37">
        <v>10</v>
      </c>
      <c r="B44" s="154" t="s">
        <v>66</v>
      </c>
      <c r="C44" s="155" t="s">
        <v>30</v>
      </c>
      <c r="D44" s="154"/>
      <c r="E44" s="157"/>
      <c r="F44" s="156">
        <v>0.4</v>
      </c>
      <c r="G44" s="156">
        <v>900</v>
      </c>
      <c r="H44" s="93">
        <f t="shared" si="7"/>
        <v>0.36</v>
      </c>
      <c r="I44" s="13">
        <f>G44*F44/20*2</f>
        <v>36</v>
      </c>
      <c r="J44" s="27"/>
      <c r="L44" s="21"/>
      <c r="M44" s="22"/>
      <c r="N44" s="23"/>
    </row>
    <row r="45" spans="1:14" ht="15.75" customHeight="1">
      <c r="A45" s="152">
        <v>11</v>
      </c>
      <c r="B45" s="154" t="s">
        <v>270</v>
      </c>
      <c r="C45" s="155" t="s">
        <v>27</v>
      </c>
      <c r="D45" s="154" t="s">
        <v>180</v>
      </c>
      <c r="E45" s="157">
        <v>2.4</v>
      </c>
      <c r="F45" s="156">
        <f>E45*12/1000</f>
        <v>2.8799999999999996E-2</v>
      </c>
      <c r="G45" s="156">
        <v>21369.24</v>
      </c>
      <c r="H45" s="112"/>
      <c r="I45" s="153">
        <f>G45*F45/6</f>
        <v>102.57235199999998</v>
      </c>
      <c r="J45" s="27"/>
      <c r="L45" s="21"/>
      <c r="M45" s="22"/>
      <c r="N45" s="23"/>
    </row>
    <row r="46" spans="1:14" ht="15.75" customHeight="1">
      <c r="A46" s="152">
        <v>12</v>
      </c>
      <c r="B46" s="120" t="s">
        <v>123</v>
      </c>
      <c r="C46" s="44" t="s">
        <v>38</v>
      </c>
      <c r="D46" s="120" t="s">
        <v>224</v>
      </c>
      <c r="E46" s="122">
        <v>3</v>
      </c>
      <c r="F46" s="122">
        <f>E46*156/100</f>
        <v>4.68</v>
      </c>
      <c r="G46" s="122">
        <v>2018.82</v>
      </c>
      <c r="H46" s="112"/>
      <c r="I46" s="153">
        <f>G46*F46/6</f>
        <v>1574.6795999999997</v>
      </c>
      <c r="J46" s="27"/>
      <c r="L46" s="21"/>
      <c r="M46" s="22"/>
      <c r="N46" s="23"/>
    </row>
    <row r="47" spans="1:14" ht="15.75" customHeight="1">
      <c r="A47" s="170" t="s">
        <v>146</v>
      </c>
      <c r="B47" s="171"/>
      <c r="C47" s="171"/>
      <c r="D47" s="171"/>
      <c r="E47" s="171"/>
      <c r="F47" s="171"/>
      <c r="G47" s="171"/>
      <c r="H47" s="171"/>
      <c r="I47" s="172"/>
      <c r="J47" s="27"/>
      <c r="L47" s="21"/>
      <c r="M47" s="22"/>
      <c r="N47" s="23"/>
    </row>
    <row r="48" spans="1:14" ht="15.75" hidden="1" customHeight="1">
      <c r="A48" s="45">
        <v>12</v>
      </c>
      <c r="B48" s="89" t="s">
        <v>103</v>
      </c>
      <c r="C48" s="90" t="s">
        <v>93</v>
      </c>
      <c r="D48" s="89" t="s">
        <v>40</v>
      </c>
      <c r="E48" s="91">
        <v>1060.4000000000001</v>
      </c>
      <c r="F48" s="92">
        <f>SUM(E48*2/1000)</f>
        <v>2.1208</v>
      </c>
      <c r="G48" s="13">
        <v>1283.46</v>
      </c>
      <c r="H48" s="93">
        <f t="shared" ref="H48:H58" si="9">SUM(F48*G48/1000)</f>
        <v>2.721961968</v>
      </c>
      <c r="I48" s="13">
        <f t="shared" ref="I48:I51" si="10">F48/2*G48</f>
        <v>1360.980984</v>
      </c>
      <c r="J48" s="27"/>
      <c r="L48" s="21"/>
      <c r="M48" s="22"/>
      <c r="N48" s="23"/>
    </row>
    <row r="49" spans="1:14" ht="15.75" hidden="1" customHeight="1">
      <c r="A49" s="45">
        <v>13</v>
      </c>
      <c r="B49" s="89" t="s">
        <v>33</v>
      </c>
      <c r="C49" s="90" t="s">
        <v>93</v>
      </c>
      <c r="D49" s="89" t="s">
        <v>40</v>
      </c>
      <c r="E49" s="91">
        <v>19.8</v>
      </c>
      <c r="F49" s="92">
        <f>SUM(E49*2/1000)</f>
        <v>3.9600000000000003E-2</v>
      </c>
      <c r="G49" s="13">
        <v>721.04</v>
      </c>
      <c r="H49" s="93">
        <f t="shared" si="9"/>
        <v>2.8553184000000002E-2</v>
      </c>
      <c r="I49" s="13">
        <f t="shared" si="10"/>
        <v>14.276592000000001</v>
      </c>
      <c r="J49" s="27"/>
      <c r="L49" s="21"/>
      <c r="M49" s="22"/>
      <c r="N49" s="23"/>
    </row>
    <row r="50" spans="1:14" ht="15.75" hidden="1" customHeight="1">
      <c r="A50" s="45">
        <v>14</v>
      </c>
      <c r="B50" s="89" t="s">
        <v>34</v>
      </c>
      <c r="C50" s="90" t="s">
        <v>93</v>
      </c>
      <c r="D50" s="89" t="s">
        <v>40</v>
      </c>
      <c r="E50" s="91">
        <v>660.84</v>
      </c>
      <c r="F50" s="92">
        <f>SUM(E50*2/1000)</f>
        <v>1.32168</v>
      </c>
      <c r="G50" s="13">
        <v>1711.28</v>
      </c>
      <c r="H50" s="93">
        <f t="shared" si="9"/>
        <v>2.2617645503999997</v>
      </c>
      <c r="I50" s="13">
        <f t="shared" si="10"/>
        <v>1130.8822751999999</v>
      </c>
      <c r="J50" s="27"/>
      <c r="L50" s="21"/>
      <c r="M50" s="22"/>
      <c r="N50" s="23"/>
    </row>
    <row r="51" spans="1:14" ht="15.75" hidden="1" customHeight="1">
      <c r="A51" s="45">
        <v>15</v>
      </c>
      <c r="B51" s="89" t="s">
        <v>35</v>
      </c>
      <c r="C51" s="90" t="s">
        <v>93</v>
      </c>
      <c r="D51" s="89" t="s">
        <v>40</v>
      </c>
      <c r="E51" s="91">
        <v>1156.21</v>
      </c>
      <c r="F51" s="92">
        <f>SUM(E51*2/1000)</f>
        <v>2.3124199999999999</v>
      </c>
      <c r="G51" s="13">
        <v>1179.73</v>
      </c>
      <c r="H51" s="93">
        <f t="shared" si="9"/>
        <v>2.7280312466000001</v>
      </c>
      <c r="I51" s="13">
        <f t="shared" si="10"/>
        <v>1364.0156233</v>
      </c>
      <c r="J51" s="27"/>
      <c r="L51" s="21"/>
      <c r="M51" s="22"/>
      <c r="N51" s="23"/>
    </row>
    <row r="52" spans="1:14" ht="15.75" hidden="1" customHeight="1">
      <c r="A52" s="45">
        <v>16</v>
      </c>
      <c r="B52" s="89" t="s">
        <v>31</v>
      </c>
      <c r="C52" s="90" t="s">
        <v>32</v>
      </c>
      <c r="D52" s="89" t="s">
        <v>40</v>
      </c>
      <c r="E52" s="91">
        <v>15.38</v>
      </c>
      <c r="F52" s="92">
        <f>SUM(E52*2/100)</f>
        <v>0.30760000000000004</v>
      </c>
      <c r="G52" s="13">
        <v>90.61</v>
      </c>
      <c r="H52" s="93">
        <f t="shared" si="9"/>
        <v>2.7871636000000002E-2</v>
      </c>
      <c r="I52" s="13">
        <f>F52/2*G52</f>
        <v>13.935818000000001</v>
      </c>
      <c r="J52" s="27"/>
      <c r="L52" s="21"/>
      <c r="M52" s="22"/>
      <c r="N52" s="23"/>
    </row>
    <row r="53" spans="1:14" ht="15.75" customHeight="1">
      <c r="A53" s="45">
        <v>13</v>
      </c>
      <c r="B53" s="120" t="s">
        <v>53</v>
      </c>
      <c r="C53" s="44" t="s">
        <v>93</v>
      </c>
      <c r="D53" s="120" t="s">
        <v>183</v>
      </c>
      <c r="E53" s="132">
        <v>823</v>
      </c>
      <c r="F53" s="122">
        <f>SUM(E53*5/1000)</f>
        <v>4.1150000000000002</v>
      </c>
      <c r="G53" s="40">
        <v>1881.64</v>
      </c>
      <c r="H53" s="93">
        <f t="shared" si="9"/>
        <v>7.742948600000001</v>
      </c>
      <c r="I53" s="13">
        <f>F53/5*G53</f>
        <v>1548.5897200000002</v>
      </c>
      <c r="J53" s="27"/>
      <c r="L53" s="21"/>
      <c r="M53" s="22"/>
      <c r="N53" s="23"/>
    </row>
    <row r="54" spans="1:14" ht="31.5" hidden="1" customHeight="1">
      <c r="A54" s="45">
        <v>10</v>
      </c>
      <c r="B54" s="89" t="s">
        <v>104</v>
      </c>
      <c r="C54" s="90" t="s">
        <v>93</v>
      </c>
      <c r="D54" s="89" t="s">
        <v>40</v>
      </c>
      <c r="E54" s="91">
        <v>823</v>
      </c>
      <c r="F54" s="92">
        <f>SUM(E54*2/1000)</f>
        <v>1.6459999999999999</v>
      </c>
      <c r="G54" s="13">
        <v>1510.06</v>
      </c>
      <c r="H54" s="93">
        <f t="shared" si="9"/>
        <v>2.48555876</v>
      </c>
      <c r="I54" s="13">
        <f>F54/2*G54</f>
        <v>1242.7793799999999</v>
      </c>
      <c r="J54" s="27"/>
      <c r="L54" s="21"/>
      <c r="M54" s="22"/>
      <c r="N54" s="23"/>
    </row>
    <row r="55" spans="1:14" ht="31.5" hidden="1" customHeight="1">
      <c r="A55" s="45">
        <v>11</v>
      </c>
      <c r="B55" s="89" t="s">
        <v>105</v>
      </c>
      <c r="C55" s="90" t="s">
        <v>36</v>
      </c>
      <c r="D55" s="89" t="s">
        <v>40</v>
      </c>
      <c r="E55" s="91">
        <v>9</v>
      </c>
      <c r="F55" s="92">
        <f>SUM(E55*2/100)</f>
        <v>0.18</v>
      </c>
      <c r="G55" s="13">
        <v>3850.4</v>
      </c>
      <c r="H55" s="93">
        <f t="shared" si="9"/>
        <v>0.69307200000000002</v>
      </c>
      <c r="I55" s="13">
        <f t="shared" ref="I55:I56" si="11">F55/2*G55</f>
        <v>346.536</v>
      </c>
      <c r="J55" s="27"/>
      <c r="L55" s="21"/>
      <c r="M55" s="22"/>
      <c r="N55" s="23"/>
    </row>
    <row r="56" spans="1:14" ht="15.75" hidden="1" customHeight="1">
      <c r="A56" s="45">
        <v>12</v>
      </c>
      <c r="B56" s="89" t="s">
        <v>37</v>
      </c>
      <c r="C56" s="90" t="s">
        <v>38</v>
      </c>
      <c r="D56" s="89" t="s">
        <v>40</v>
      </c>
      <c r="E56" s="91">
        <v>1</v>
      </c>
      <c r="F56" s="92">
        <v>0.02</v>
      </c>
      <c r="G56" s="13">
        <v>7033.13</v>
      </c>
      <c r="H56" s="93">
        <f t="shared" si="9"/>
        <v>0.1406626</v>
      </c>
      <c r="I56" s="13">
        <f t="shared" si="11"/>
        <v>70.331299999999999</v>
      </c>
      <c r="J56" s="27"/>
      <c r="L56" s="21"/>
      <c r="M56" s="22"/>
      <c r="N56" s="23"/>
    </row>
    <row r="57" spans="1:14" ht="15.75" hidden="1" customHeight="1">
      <c r="A57" s="45">
        <v>10</v>
      </c>
      <c r="B57" s="89" t="s">
        <v>124</v>
      </c>
      <c r="C57" s="90" t="s">
        <v>106</v>
      </c>
      <c r="D57" s="123">
        <v>44190</v>
      </c>
      <c r="E57" s="91">
        <v>36</v>
      </c>
      <c r="F57" s="92">
        <f>SUM(E57*3)</f>
        <v>108</v>
      </c>
      <c r="G57" s="13">
        <v>175.6</v>
      </c>
      <c r="H57" s="93">
        <f t="shared" si="9"/>
        <v>18.9648</v>
      </c>
      <c r="I57" s="13">
        <f>E57*G57</f>
        <v>6321.5999999999995</v>
      </c>
      <c r="J57" s="27"/>
      <c r="L57" s="21"/>
      <c r="M57" s="22"/>
      <c r="N57" s="23"/>
    </row>
    <row r="58" spans="1:14" ht="15.75" hidden="1" customHeight="1">
      <c r="A58" s="45">
        <v>11</v>
      </c>
      <c r="B58" s="89" t="s">
        <v>39</v>
      </c>
      <c r="C58" s="90" t="s">
        <v>106</v>
      </c>
      <c r="D58" s="123">
        <v>44190</v>
      </c>
      <c r="E58" s="91">
        <v>36</v>
      </c>
      <c r="F58" s="92">
        <f>SUM(E58)*3</f>
        <v>108</v>
      </c>
      <c r="G58" s="13">
        <v>81.73</v>
      </c>
      <c r="H58" s="93">
        <f t="shared" si="9"/>
        <v>8.8268400000000007</v>
      </c>
      <c r="I58" s="13">
        <f>E58*G58</f>
        <v>2942.28</v>
      </c>
      <c r="J58" s="27"/>
      <c r="L58" s="21"/>
      <c r="M58" s="22"/>
      <c r="N58" s="23"/>
    </row>
    <row r="59" spans="1:14" ht="15.75" customHeight="1">
      <c r="A59" s="170" t="s">
        <v>147</v>
      </c>
      <c r="B59" s="171"/>
      <c r="C59" s="171"/>
      <c r="D59" s="171"/>
      <c r="E59" s="171"/>
      <c r="F59" s="171"/>
      <c r="G59" s="171"/>
      <c r="H59" s="171"/>
      <c r="I59" s="172"/>
      <c r="J59" s="27"/>
      <c r="L59" s="21"/>
      <c r="M59" s="22"/>
      <c r="N59" s="23"/>
    </row>
    <row r="60" spans="1:14" ht="15.75" customHeight="1">
      <c r="A60" s="88"/>
      <c r="B60" s="52" t="s">
        <v>41</v>
      </c>
      <c r="C60" s="17"/>
      <c r="D60" s="16"/>
      <c r="E60" s="16"/>
      <c r="F60" s="16"/>
      <c r="G60" s="33"/>
      <c r="H60" s="33"/>
      <c r="I60" s="19"/>
      <c r="J60" s="27"/>
      <c r="L60" s="21"/>
      <c r="M60" s="22"/>
      <c r="N60" s="23"/>
    </row>
    <row r="61" spans="1:14" ht="31.5" hidden="1" customHeight="1">
      <c r="A61" s="45">
        <v>12</v>
      </c>
      <c r="B61" s="89" t="s">
        <v>152</v>
      </c>
      <c r="C61" s="90" t="s">
        <v>82</v>
      </c>
      <c r="D61" s="89" t="s">
        <v>107</v>
      </c>
      <c r="E61" s="91">
        <v>71.02</v>
      </c>
      <c r="F61" s="92">
        <f>SUM(E61*6/100)</f>
        <v>4.2611999999999997</v>
      </c>
      <c r="G61" s="13">
        <v>2306.62</v>
      </c>
      <c r="H61" s="93">
        <f>SUM(F61*G61/1000)</f>
        <v>9.8289691439999984</v>
      </c>
      <c r="I61" s="13">
        <f>F61/6*G61</f>
        <v>1638.1615239999999</v>
      </c>
      <c r="J61" s="27"/>
      <c r="L61" s="21"/>
      <c r="M61" s="22"/>
      <c r="N61" s="23"/>
    </row>
    <row r="62" spans="1:14" ht="31.5" customHeight="1">
      <c r="A62" s="45">
        <v>14</v>
      </c>
      <c r="B62" s="120" t="s">
        <v>272</v>
      </c>
      <c r="C62" s="44" t="s">
        <v>50</v>
      </c>
      <c r="D62" s="120" t="s">
        <v>274</v>
      </c>
      <c r="E62" s="144">
        <v>4.63</v>
      </c>
      <c r="F62" s="122">
        <f>E62*12/100</f>
        <v>0.55559999999999998</v>
      </c>
      <c r="G62" s="158">
        <v>2399.1</v>
      </c>
      <c r="H62" s="93"/>
      <c r="I62" s="13">
        <f>G62*F62/6</f>
        <v>222.15665999999999</v>
      </c>
      <c r="J62" s="27"/>
      <c r="L62" s="21"/>
      <c r="M62" s="22"/>
      <c r="N62" s="23"/>
    </row>
    <row r="63" spans="1:14" ht="15.75" hidden="1" customHeight="1">
      <c r="A63" s="45"/>
      <c r="B63" s="89" t="s">
        <v>108</v>
      </c>
      <c r="C63" s="90" t="s">
        <v>153</v>
      </c>
      <c r="D63" s="89" t="s">
        <v>63</v>
      </c>
      <c r="E63" s="97"/>
      <c r="F63" s="92">
        <v>2</v>
      </c>
      <c r="G63" s="92">
        <v>1501</v>
      </c>
      <c r="H63" s="93">
        <f>SUM(F63*G63/1000)</f>
        <v>3.0019999999999998</v>
      </c>
      <c r="I63" s="13">
        <v>0</v>
      </c>
      <c r="J63" s="27"/>
      <c r="L63" s="21"/>
      <c r="M63" s="22"/>
      <c r="N63" s="23"/>
    </row>
    <row r="64" spans="1:14" ht="15.75" customHeight="1">
      <c r="A64" s="45"/>
      <c r="B64" s="81" t="s">
        <v>42</v>
      </c>
      <c r="C64" s="81"/>
      <c r="D64" s="81"/>
      <c r="E64" s="81"/>
      <c r="F64" s="81"/>
      <c r="G64" s="81"/>
      <c r="H64" s="81"/>
      <c r="I64" s="39"/>
      <c r="J64" s="27"/>
      <c r="L64" s="21"/>
      <c r="M64" s="22"/>
      <c r="N64" s="23"/>
    </row>
    <row r="65" spans="1:21" ht="15.75" hidden="1" customHeight="1">
      <c r="A65" s="45">
        <v>27</v>
      </c>
      <c r="B65" s="89" t="s">
        <v>154</v>
      </c>
      <c r="C65" s="90" t="s">
        <v>50</v>
      </c>
      <c r="D65" s="89" t="s">
        <v>51</v>
      </c>
      <c r="E65" s="91">
        <v>434.4</v>
      </c>
      <c r="F65" s="93">
        <f>SUM(E65/100)</f>
        <v>4.3439999999999994</v>
      </c>
      <c r="G65" s="13">
        <v>987.51</v>
      </c>
      <c r="H65" s="98">
        <f>F65*G65/1000</f>
        <v>4.2897434399999996</v>
      </c>
      <c r="I65" s="13">
        <v>0</v>
      </c>
      <c r="J65" s="27"/>
      <c r="L65" s="21"/>
      <c r="M65" s="22"/>
      <c r="N65" s="23"/>
    </row>
    <row r="66" spans="1:21" ht="15.75" customHeight="1">
      <c r="A66" s="45">
        <v>15</v>
      </c>
      <c r="B66" s="120" t="s">
        <v>172</v>
      </c>
      <c r="C66" s="44" t="s">
        <v>173</v>
      </c>
      <c r="D66" s="120" t="s">
        <v>184</v>
      </c>
      <c r="E66" s="132">
        <v>12</v>
      </c>
      <c r="F66" s="138">
        <f>E66*12</f>
        <v>144</v>
      </c>
      <c r="G66" s="40">
        <v>1.4</v>
      </c>
      <c r="H66" s="112"/>
      <c r="I66" s="13">
        <f>G66*F66/12</f>
        <v>16.8</v>
      </c>
      <c r="J66" s="27"/>
      <c r="L66" s="21"/>
      <c r="M66" s="22"/>
      <c r="N66" s="23"/>
    </row>
    <row r="67" spans="1:21" ht="15.75" hidden="1" customHeight="1">
      <c r="A67" s="45"/>
      <c r="B67" s="69" t="s">
        <v>125</v>
      </c>
      <c r="C67" s="44"/>
      <c r="D67" s="68"/>
      <c r="E67" s="67"/>
      <c r="F67" s="67"/>
      <c r="G67" s="40"/>
      <c r="H67" s="40"/>
      <c r="I67" s="20"/>
      <c r="J67" s="27"/>
      <c r="L67" s="21"/>
      <c r="M67" s="22"/>
      <c r="N67" s="23"/>
    </row>
    <row r="68" spans="1:21" ht="15.75" hidden="1" customHeight="1">
      <c r="A68" s="45"/>
      <c r="B68" s="89" t="s">
        <v>126</v>
      </c>
      <c r="C68" s="90" t="s">
        <v>106</v>
      </c>
      <c r="D68" s="41" t="s">
        <v>63</v>
      </c>
      <c r="E68" s="91">
        <v>1</v>
      </c>
      <c r="F68" s="92">
        <f>E68</f>
        <v>1</v>
      </c>
      <c r="G68" s="99">
        <v>323.38</v>
      </c>
      <c r="H68" s="93">
        <f t="shared" ref="H68" si="12">SUM(F68*G68/1000)</f>
        <v>0.32338</v>
      </c>
      <c r="I68" s="13">
        <v>0</v>
      </c>
      <c r="J68" s="27"/>
      <c r="L68" s="21"/>
      <c r="M68" s="22"/>
      <c r="N68" s="23"/>
    </row>
    <row r="69" spans="1:21" ht="15.75" hidden="1" customHeight="1">
      <c r="A69" s="45"/>
      <c r="B69" s="81" t="s">
        <v>43</v>
      </c>
      <c r="C69" s="17"/>
      <c r="D69" s="41"/>
      <c r="E69" s="16"/>
      <c r="F69" s="16"/>
      <c r="G69" s="33"/>
      <c r="H69" s="33"/>
      <c r="I69" s="19"/>
      <c r="J69" s="27"/>
      <c r="L69" s="21"/>
      <c r="M69" s="22"/>
      <c r="N69" s="23"/>
    </row>
    <row r="70" spans="1:21" ht="15.75" hidden="1" customHeight="1">
      <c r="A70" s="45">
        <v>17</v>
      </c>
      <c r="B70" s="15" t="s">
        <v>44</v>
      </c>
      <c r="C70" s="17" t="s">
        <v>106</v>
      </c>
      <c r="D70" s="41" t="s">
        <v>63</v>
      </c>
      <c r="E70" s="19">
        <v>10</v>
      </c>
      <c r="F70" s="92">
        <v>10</v>
      </c>
      <c r="G70" s="13">
        <v>276.74</v>
      </c>
      <c r="H70" s="100">
        <f t="shared" ref="H70:H77" si="13">SUM(F70*G70/1000)</f>
        <v>2.7674000000000003</v>
      </c>
      <c r="I70" s="13">
        <v>0</v>
      </c>
      <c r="J70" s="27"/>
      <c r="L70" s="21"/>
      <c r="M70" s="22"/>
      <c r="N70" s="23"/>
    </row>
    <row r="71" spans="1:21" ht="15.75" hidden="1" customHeight="1">
      <c r="A71" s="33">
        <v>29</v>
      </c>
      <c r="B71" s="15" t="s">
        <v>45</v>
      </c>
      <c r="C71" s="17" t="s">
        <v>106</v>
      </c>
      <c r="D71" s="41" t="s">
        <v>63</v>
      </c>
      <c r="E71" s="19">
        <v>3</v>
      </c>
      <c r="F71" s="92">
        <v>3</v>
      </c>
      <c r="G71" s="13">
        <v>94.89</v>
      </c>
      <c r="H71" s="100">
        <f t="shared" si="13"/>
        <v>0.28467000000000003</v>
      </c>
      <c r="I71" s="13">
        <v>0</v>
      </c>
      <c r="J71" s="27"/>
      <c r="L71" s="21"/>
      <c r="M71" s="22"/>
      <c r="N71" s="23"/>
    </row>
    <row r="72" spans="1:21" ht="15.75" hidden="1" customHeight="1">
      <c r="A72" s="33">
        <v>28</v>
      </c>
      <c r="B72" s="15" t="s">
        <v>46</v>
      </c>
      <c r="C72" s="17" t="s">
        <v>109</v>
      </c>
      <c r="D72" s="15" t="s">
        <v>51</v>
      </c>
      <c r="E72" s="91">
        <v>7265</v>
      </c>
      <c r="F72" s="13">
        <f>SUM(E72/100)</f>
        <v>72.650000000000006</v>
      </c>
      <c r="G72" s="13">
        <v>263.99</v>
      </c>
      <c r="H72" s="100">
        <f t="shared" si="13"/>
        <v>19.178873500000002</v>
      </c>
      <c r="I72" s="13">
        <f>F72*G72</f>
        <v>19178.873500000002</v>
      </c>
      <c r="J72" s="27"/>
      <c r="L72" s="21"/>
      <c r="M72" s="22"/>
      <c r="N72" s="23"/>
    </row>
    <row r="73" spans="1:21" ht="15.75" hidden="1" customHeight="1">
      <c r="A73" s="33">
        <v>29</v>
      </c>
      <c r="B73" s="15" t="s">
        <v>47</v>
      </c>
      <c r="C73" s="17" t="s">
        <v>110</v>
      </c>
      <c r="D73" s="15" t="s">
        <v>51</v>
      </c>
      <c r="E73" s="91">
        <v>7265</v>
      </c>
      <c r="F73" s="13">
        <f>SUM(E73/1000)</f>
        <v>7.2649999999999997</v>
      </c>
      <c r="G73" s="13">
        <v>205.57</v>
      </c>
      <c r="H73" s="100">
        <f t="shared" si="13"/>
        <v>1.4934660500000001</v>
      </c>
      <c r="I73" s="13">
        <f t="shared" ref="I73:I76" si="14">F73*G73</f>
        <v>1493.46605</v>
      </c>
      <c r="J73" s="27"/>
      <c r="L73" s="21"/>
      <c r="M73" s="22"/>
      <c r="N73" s="23"/>
    </row>
    <row r="74" spans="1:21" ht="15.75" hidden="1" customHeight="1">
      <c r="A74" s="33">
        <v>30</v>
      </c>
      <c r="B74" s="15" t="s">
        <v>48</v>
      </c>
      <c r="C74" s="17" t="s">
        <v>73</v>
      </c>
      <c r="D74" s="15" t="s">
        <v>51</v>
      </c>
      <c r="E74" s="91">
        <v>1090</v>
      </c>
      <c r="F74" s="13">
        <f>SUM(E74/100)</f>
        <v>10.9</v>
      </c>
      <c r="G74" s="13">
        <v>2581.5300000000002</v>
      </c>
      <c r="H74" s="100">
        <f t="shared" si="13"/>
        <v>28.138677000000005</v>
      </c>
      <c r="I74" s="13">
        <f t="shared" si="14"/>
        <v>28138.677000000003</v>
      </c>
      <c r="J74" s="27"/>
      <c r="L74" s="21"/>
    </row>
    <row r="75" spans="1:21" ht="15.75" hidden="1" customHeight="1">
      <c r="A75" s="33">
        <v>31</v>
      </c>
      <c r="B75" s="101" t="s">
        <v>111</v>
      </c>
      <c r="C75" s="17" t="s">
        <v>30</v>
      </c>
      <c r="D75" s="15"/>
      <c r="E75" s="91">
        <v>7.4</v>
      </c>
      <c r="F75" s="13">
        <f>SUM(E75)</f>
        <v>7.4</v>
      </c>
      <c r="G75" s="13">
        <v>47.45</v>
      </c>
      <c r="H75" s="100">
        <f t="shared" si="13"/>
        <v>0.35113000000000005</v>
      </c>
      <c r="I75" s="13">
        <f t="shared" si="14"/>
        <v>351.13000000000005</v>
      </c>
    </row>
    <row r="76" spans="1:21" ht="15.75" hidden="1" customHeight="1">
      <c r="A76" s="33">
        <v>32</v>
      </c>
      <c r="B76" s="101" t="s">
        <v>155</v>
      </c>
      <c r="C76" s="17" t="s">
        <v>30</v>
      </c>
      <c r="D76" s="15"/>
      <c r="E76" s="91">
        <v>7.4</v>
      </c>
      <c r="F76" s="13">
        <f>SUM(E76)</f>
        <v>7.4</v>
      </c>
      <c r="G76" s="13">
        <v>44.27</v>
      </c>
      <c r="H76" s="100">
        <f t="shared" si="13"/>
        <v>0.327598</v>
      </c>
      <c r="I76" s="13">
        <f t="shared" si="14"/>
        <v>327.59800000000001</v>
      </c>
    </row>
    <row r="77" spans="1:21" ht="15.75" hidden="1" customHeight="1">
      <c r="A77" s="33">
        <v>18</v>
      </c>
      <c r="B77" s="15" t="s">
        <v>54</v>
      </c>
      <c r="C77" s="17" t="s">
        <v>55</v>
      </c>
      <c r="D77" s="15" t="s">
        <v>51</v>
      </c>
      <c r="E77" s="19">
        <v>3</v>
      </c>
      <c r="F77" s="92">
        <f>SUM(E77)</f>
        <v>3</v>
      </c>
      <c r="G77" s="13">
        <v>62.07</v>
      </c>
      <c r="H77" s="100">
        <f t="shared" si="13"/>
        <v>0.18621000000000001</v>
      </c>
      <c r="I77" s="13">
        <f>G77*3</f>
        <v>186.21</v>
      </c>
    </row>
    <row r="78" spans="1:21" ht="15.75" hidden="1" customHeight="1">
      <c r="A78" s="88"/>
      <c r="B78" s="81" t="s">
        <v>112</v>
      </c>
      <c r="C78" s="81"/>
      <c r="D78" s="81"/>
      <c r="E78" s="81"/>
      <c r="F78" s="81"/>
      <c r="G78" s="81"/>
      <c r="H78" s="81"/>
      <c r="I78" s="19"/>
      <c r="J78" s="29"/>
      <c r="K78" s="29"/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21" ht="15.75" hidden="1" customHeight="1">
      <c r="A79" s="33">
        <v>14</v>
      </c>
      <c r="B79" s="102" t="s">
        <v>113</v>
      </c>
      <c r="C79" s="25"/>
      <c r="D79" s="24"/>
      <c r="E79" s="84"/>
      <c r="F79" s="103">
        <v>1</v>
      </c>
      <c r="G79" s="103">
        <v>12171.2</v>
      </c>
      <c r="H79" s="13">
        <f>G79*F79/1000</f>
        <v>12.171200000000001</v>
      </c>
      <c r="I79" s="13">
        <f>G79</f>
        <v>12171.2</v>
      </c>
      <c r="J79" s="3"/>
      <c r="K79" s="3"/>
      <c r="L79" s="3"/>
      <c r="M79" s="3"/>
      <c r="N79" s="3"/>
      <c r="O79" s="3"/>
      <c r="P79" s="3"/>
      <c r="Q79" s="3"/>
      <c r="S79" s="3"/>
      <c r="T79" s="3"/>
      <c r="U79" s="3"/>
    </row>
    <row r="80" spans="1:21" ht="15.75" hidden="1" customHeight="1">
      <c r="A80" s="33"/>
      <c r="B80" s="53" t="s">
        <v>68</v>
      </c>
      <c r="C80" s="53"/>
      <c r="D80" s="53"/>
      <c r="E80" s="19"/>
      <c r="F80" s="19"/>
      <c r="G80" s="33"/>
      <c r="H80" s="33"/>
      <c r="I80" s="19"/>
      <c r="J80" s="5"/>
      <c r="K80" s="5"/>
      <c r="L80" s="5"/>
      <c r="M80" s="5"/>
      <c r="N80" s="5"/>
      <c r="O80" s="5"/>
      <c r="P80" s="5"/>
      <c r="Q80" s="5"/>
      <c r="R80" s="168"/>
      <c r="S80" s="168"/>
      <c r="T80" s="168"/>
      <c r="U80" s="168"/>
    </row>
    <row r="81" spans="1:21" ht="15.75" hidden="1" customHeight="1">
      <c r="A81" s="33"/>
      <c r="B81" s="15" t="s">
        <v>127</v>
      </c>
      <c r="C81" s="17" t="s">
        <v>114</v>
      </c>
      <c r="D81" s="41" t="s">
        <v>63</v>
      </c>
      <c r="E81" s="19">
        <v>1</v>
      </c>
      <c r="F81" s="13">
        <f>E81</f>
        <v>1</v>
      </c>
      <c r="G81" s="13">
        <v>976.4</v>
      </c>
      <c r="H81" s="100">
        <f>F81*G81/1000</f>
        <v>0.97639999999999993</v>
      </c>
      <c r="I81" s="13">
        <v>0</v>
      </c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</row>
    <row r="82" spans="1:21" ht="15.75" hidden="1" customHeight="1">
      <c r="A82" s="33"/>
      <c r="B82" s="15" t="s">
        <v>115</v>
      </c>
      <c r="C82" s="17" t="s">
        <v>116</v>
      </c>
      <c r="D82" s="15"/>
      <c r="E82" s="19">
        <v>1</v>
      </c>
      <c r="F82" s="13">
        <v>1</v>
      </c>
      <c r="G82" s="13">
        <v>750</v>
      </c>
      <c r="H82" s="100">
        <f>F82*G82/1000</f>
        <v>0.75</v>
      </c>
      <c r="I82" s="13">
        <v>0</v>
      </c>
    </row>
    <row r="83" spans="1:21" ht="15.75" hidden="1" customHeight="1">
      <c r="A83" s="33"/>
      <c r="B83" s="15" t="s">
        <v>69</v>
      </c>
      <c r="C83" s="17" t="s">
        <v>71</v>
      </c>
      <c r="D83" s="41" t="s">
        <v>63</v>
      </c>
      <c r="E83" s="19">
        <v>3</v>
      </c>
      <c r="F83" s="13">
        <f>SUM(E83/100)</f>
        <v>0.03</v>
      </c>
      <c r="G83" s="13">
        <v>624.16999999999996</v>
      </c>
      <c r="H83" s="100">
        <f>F83*G83/1000</f>
        <v>1.8725099999999998E-2</v>
      </c>
      <c r="I83" s="13">
        <v>0</v>
      </c>
    </row>
    <row r="84" spans="1:21" ht="15.75" hidden="1" customHeight="1">
      <c r="A84" s="33"/>
      <c r="B84" s="15" t="s">
        <v>70</v>
      </c>
      <c r="C84" s="17" t="s">
        <v>28</v>
      </c>
      <c r="D84" s="41" t="s">
        <v>63</v>
      </c>
      <c r="E84" s="19">
        <v>1</v>
      </c>
      <c r="F84" s="13">
        <v>1</v>
      </c>
      <c r="G84" s="13">
        <v>1061.4100000000001</v>
      </c>
      <c r="H84" s="100">
        <f>F84*G84/1000</f>
        <v>1.0614100000000002</v>
      </c>
      <c r="I84" s="13">
        <v>0</v>
      </c>
    </row>
    <row r="85" spans="1:21" ht="15.75" hidden="1" customHeight="1">
      <c r="A85" s="33">
        <v>17</v>
      </c>
      <c r="B85" s="15" t="s">
        <v>128</v>
      </c>
      <c r="C85" s="17" t="s">
        <v>28</v>
      </c>
      <c r="D85" s="41" t="s">
        <v>63</v>
      </c>
      <c r="E85" s="19">
        <v>1</v>
      </c>
      <c r="F85" s="92">
        <f>SUM(E85)</f>
        <v>1</v>
      </c>
      <c r="G85" s="13">
        <v>446.12</v>
      </c>
      <c r="H85" s="100">
        <f t="shared" ref="H85" si="15">SUM(F85*G85/1000)</f>
        <v>0.44612000000000002</v>
      </c>
      <c r="I85" s="13">
        <v>0</v>
      </c>
    </row>
    <row r="86" spans="1:21" ht="15.75" hidden="1" customHeight="1">
      <c r="A86" s="33"/>
      <c r="B86" s="54" t="s">
        <v>72</v>
      </c>
      <c r="C86" s="42"/>
      <c r="D86" s="33"/>
      <c r="E86" s="19"/>
      <c r="F86" s="19"/>
      <c r="G86" s="40"/>
      <c r="H86" s="40"/>
      <c r="I86" s="19"/>
    </row>
    <row r="87" spans="1:21" ht="15.75" hidden="1" customHeight="1">
      <c r="A87" s="33">
        <v>39</v>
      </c>
      <c r="B87" s="56" t="s">
        <v>117</v>
      </c>
      <c r="C87" s="17" t="s">
        <v>73</v>
      </c>
      <c r="D87" s="15"/>
      <c r="E87" s="19"/>
      <c r="F87" s="13">
        <v>1.35</v>
      </c>
      <c r="G87" s="13">
        <v>3433.68</v>
      </c>
      <c r="H87" s="100">
        <f t="shared" ref="H87" si="16">SUM(F87*G87/1000)</f>
        <v>4.6354679999999995</v>
      </c>
      <c r="I87" s="13">
        <v>0</v>
      </c>
    </row>
    <row r="88" spans="1:21" ht="15.75" customHeight="1">
      <c r="A88" s="33"/>
      <c r="B88" s="81" t="s">
        <v>129</v>
      </c>
      <c r="C88" s="70"/>
      <c r="D88" s="35"/>
      <c r="E88" s="12"/>
      <c r="F88" s="12"/>
      <c r="G88" s="40"/>
      <c r="H88" s="40"/>
      <c r="I88" s="19"/>
    </row>
    <row r="89" spans="1:21" ht="31.5" customHeight="1">
      <c r="A89" s="33">
        <v>16</v>
      </c>
      <c r="B89" s="15" t="s">
        <v>225</v>
      </c>
      <c r="C89" s="33" t="s">
        <v>226</v>
      </c>
      <c r="D89" s="15"/>
      <c r="E89" s="19">
        <v>1832</v>
      </c>
      <c r="F89" s="13">
        <f>E89*12</f>
        <v>21984</v>
      </c>
      <c r="G89" s="13">
        <v>2.7</v>
      </c>
      <c r="H89" s="100">
        <f t="shared" ref="H89" si="17">SUM(F89*G89/1000)</f>
        <v>59.3568</v>
      </c>
      <c r="I89" s="13">
        <f>G89*F89/12</f>
        <v>4946.4000000000005</v>
      </c>
    </row>
    <row r="90" spans="1:21" ht="15.75" customHeight="1">
      <c r="A90" s="181" t="s">
        <v>148</v>
      </c>
      <c r="B90" s="182"/>
      <c r="C90" s="182"/>
      <c r="D90" s="182"/>
      <c r="E90" s="182"/>
      <c r="F90" s="182"/>
      <c r="G90" s="182"/>
      <c r="H90" s="182"/>
      <c r="I90" s="183"/>
    </row>
    <row r="91" spans="1:21" ht="15.75" customHeight="1">
      <c r="A91" s="33">
        <v>17</v>
      </c>
      <c r="B91" s="120" t="s">
        <v>118</v>
      </c>
      <c r="C91" s="42" t="s">
        <v>52</v>
      </c>
      <c r="D91" s="142"/>
      <c r="E91" s="40">
        <v>1832</v>
      </c>
      <c r="F91" s="40">
        <f>SUM(E91*12)</f>
        <v>21984</v>
      </c>
      <c r="G91" s="40">
        <v>3.93</v>
      </c>
      <c r="H91" s="100">
        <f>SUM(F91*G91/1000)</f>
        <v>86.397120000000015</v>
      </c>
      <c r="I91" s="13">
        <f>F91/12*G91</f>
        <v>7199.76</v>
      </c>
    </row>
    <row r="92" spans="1:21" ht="46.5" customHeight="1">
      <c r="A92" s="33">
        <v>18</v>
      </c>
      <c r="B92" s="41" t="s">
        <v>227</v>
      </c>
      <c r="C92" s="42" t="s">
        <v>156</v>
      </c>
      <c r="D92" s="143"/>
      <c r="E92" s="132">
        <f>E91</f>
        <v>1832</v>
      </c>
      <c r="F92" s="40">
        <f>E92*12</f>
        <v>21984</v>
      </c>
      <c r="G92" s="40">
        <v>3.6</v>
      </c>
      <c r="H92" s="100">
        <f>F92*G92/1000</f>
        <v>79.142400000000009</v>
      </c>
      <c r="I92" s="13">
        <f>F92/12*G92</f>
        <v>6595.2</v>
      </c>
    </row>
    <row r="93" spans="1:21" ht="15.75" customHeight="1">
      <c r="A93" s="88"/>
      <c r="B93" s="43" t="s">
        <v>76</v>
      </c>
      <c r="C93" s="45"/>
      <c r="D93" s="16"/>
      <c r="E93" s="16"/>
      <c r="F93" s="16"/>
      <c r="G93" s="19"/>
      <c r="H93" s="19"/>
      <c r="I93" s="36">
        <f>I92+I91+I89+I66+I62+I53+I46+I45+I42+I41+I40+I39+I22+I21+I20+I18+I17+I16</f>
        <v>40082.237667999994</v>
      </c>
    </row>
    <row r="94" spans="1:21" ht="15.75" customHeight="1">
      <c r="A94" s="184" t="s">
        <v>57</v>
      </c>
      <c r="B94" s="185"/>
      <c r="C94" s="185"/>
      <c r="D94" s="185"/>
      <c r="E94" s="185"/>
      <c r="F94" s="185"/>
      <c r="G94" s="185"/>
      <c r="H94" s="185"/>
      <c r="I94" s="186"/>
    </row>
    <row r="95" spans="1:21" ht="15.75" customHeight="1">
      <c r="A95" s="118">
        <v>19</v>
      </c>
      <c r="B95" s="116" t="s">
        <v>132</v>
      </c>
      <c r="C95" s="117" t="s">
        <v>176</v>
      </c>
      <c r="D95" s="143" t="s">
        <v>286</v>
      </c>
      <c r="E95" s="40"/>
      <c r="F95" s="40">
        <v>10</v>
      </c>
      <c r="G95" s="40">
        <v>295.36</v>
      </c>
      <c r="H95" s="160"/>
      <c r="I95" s="189">
        <v>0</v>
      </c>
    </row>
    <row r="96" spans="1:21" ht="15.75" customHeight="1">
      <c r="A96" s="33"/>
      <c r="B96" s="50" t="s">
        <v>49</v>
      </c>
      <c r="C96" s="46"/>
      <c r="D96" s="58"/>
      <c r="E96" s="46">
        <v>1</v>
      </c>
      <c r="F96" s="46"/>
      <c r="G96" s="46"/>
      <c r="H96" s="46"/>
      <c r="I96" s="36">
        <v>0</v>
      </c>
    </row>
    <row r="97" spans="1:9" ht="15.75" customHeight="1">
      <c r="A97" s="33"/>
      <c r="B97" s="56" t="s">
        <v>75</v>
      </c>
      <c r="C97" s="16"/>
      <c r="D97" s="16"/>
      <c r="E97" s="47"/>
      <c r="F97" s="47"/>
      <c r="G97" s="48"/>
      <c r="H97" s="48"/>
      <c r="I97" s="18">
        <v>0</v>
      </c>
    </row>
    <row r="98" spans="1:9" ht="15.75" customHeight="1">
      <c r="A98" s="59"/>
      <c r="B98" s="51" t="s">
        <v>157</v>
      </c>
      <c r="C98" s="38"/>
      <c r="D98" s="38"/>
      <c r="E98" s="38"/>
      <c r="F98" s="38"/>
      <c r="G98" s="38"/>
      <c r="H98" s="38"/>
      <c r="I98" s="49">
        <f>I93+I96</f>
        <v>40082.237667999994</v>
      </c>
    </row>
    <row r="99" spans="1:9" ht="15.75" customHeight="1">
      <c r="A99" s="173" t="s">
        <v>284</v>
      </c>
      <c r="B99" s="173"/>
      <c r="C99" s="173"/>
      <c r="D99" s="173"/>
      <c r="E99" s="173"/>
      <c r="F99" s="173"/>
      <c r="G99" s="173"/>
      <c r="H99" s="173"/>
      <c r="I99" s="173"/>
    </row>
    <row r="100" spans="1:9" ht="15.75" customHeight="1">
      <c r="A100" s="77"/>
      <c r="B100" s="187" t="s">
        <v>285</v>
      </c>
      <c r="C100" s="187"/>
      <c r="D100" s="187"/>
      <c r="E100" s="187"/>
      <c r="F100" s="187"/>
      <c r="G100" s="187"/>
      <c r="H100" s="87"/>
      <c r="I100" s="3"/>
    </row>
    <row r="101" spans="1:9" ht="15.75" customHeight="1">
      <c r="A101" s="80"/>
      <c r="B101" s="161" t="s">
        <v>6</v>
      </c>
      <c r="C101" s="161"/>
      <c r="D101" s="161"/>
      <c r="E101" s="161"/>
      <c r="F101" s="161"/>
      <c r="G101" s="161"/>
      <c r="H101" s="28"/>
      <c r="I101" s="5"/>
    </row>
    <row r="102" spans="1:9" ht="8.25" customHeight="1">
      <c r="A102" s="9"/>
      <c r="B102" s="9"/>
      <c r="C102" s="9"/>
      <c r="D102" s="9"/>
      <c r="E102" s="9"/>
      <c r="F102" s="9"/>
      <c r="G102" s="9"/>
      <c r="H102" s="9"/>
      <c r="I102" s="9"/>
    </row>
    <row r="103" spans="1:9" ht="15.75" customHeight="1">
      <c r="A103" s="162" t="s">
        <v>7</v>
      </c>
      <c r="B103" s="162"/>
      <c r="C103" s="162"/>
      <c r="D103" s="162"/>
      <c r="E103" s="162"/>
      <c r="F103" s="162"/>
      <c r="G103" s="162"/>
      <c r="H103" s="162"/>
      <c r="I103" s="162"/>
    </row>
    <row r="104" spans="1:9" ht="15.75" customHeight="1">
      <c r="A104" s="162" t="s">
        <v>8</v>
      </c>
      <c r="B104" s="162"/>
      <c r="C104" s="162"/>
      <c r="D104" s="162"/>
      <c r="E104" s="162"/>
      <c r="F104" s="162"/>
      <c r="G104" s="162"/>
      <c r="H104" s="162"/>
      <c r="I104" s="162"/>
    </row>
    <row r="105" spans="1:9" ht="15.75" customHeight="1">
      <c r="A105" s="163" t="s">
        <v>58</v>
      </c>
      <c r="B105" s="163"/>
      <c r="C105" s="163"/>
      <c r="D105" s="163"/>
      <c r="E105" s="163"/>
      <c r="F105" s="163"/>
      <c r="G105" s="163"/>
      <c r="H105" s="163"/>
      <c r="I105" s="163"/>
    </row>
    <row r="106" spans="1:9" ht="15.75" customHeight="1">
      <c r="A106" s="10"/>
    </row>
    <row r="107" spans="1:9" ht="15.75" customHeight="1">
      <c r="A107" s="164" t="s">
        <v>9</v>
      </c>
      <c r="B107" s="164"/>
      <c r="C107" s="164"/>
      <c r="D107" s="164"/>
      <c r="E107" s="164"/>
      <c r="F107" s="164"/>
      <c r="G107" s="164"/>
      <c r="H107" s="164"/>
      <c r="I107" s="164"/>
    </row>
    <row r="108" spans="1:9" ht="15.75" customHeight="1">
      <c r="A108" s="4"/>
    </row>
    <row r="109" spans="1:9" ht="15.75" customHeight="1">
      <c r="B109" s="83" t="s">
        <v>10</v>
      </c>
      <c r="C109" s="165" t="s">
        <v>195</v>
      </c>
      <c r="D109" s="165"/>
      <c r="E109" s="165"/>
      <c r="F109" s="85"/>
      <c r="I109" s="79"/>
    </row>
    <row r="110" spans="1:9" ht="15.75" customHeight="1">
      <c r="A110" s="80"/>
      <c r="C110" s="161" t="s">
        <v>11</v>
      </c>
      <c r="D110" s="161"/>
      <c r="E110" s="161"/>
      <c r="F110" s="28"/>
      <c r="I110" s="78" t="s">
        <v>12</v>
      </c>
    </row>
    <row r="111" spans="1:9" ht="15.75" customHeight="1">
      <c r="A111" s="29"/>
      <c r="C111" s="11"/>
      <c r="D111" s="11"/>
      <c r="G111" s="11"/>
      <c r="H111" s="11"/>
    </row>
    <row r="112" spans="1:9" ht="15.75" customHeight="1">
      <c r="B112" s="83" t="s">
        <v>13</v>
      </c>
      <c r="C112" s="166"/>
      <c r="D112" s="166"/>
      <c r="E112" s="166"/>
      <c r="F112" s="86"/>
      <c r="I112" s="79"/>
    </row>
    <row r="113" spans="1:9" ht="15.75" customHeight="1">
      <c r="A113" s="80"/>
      <c r="C113" s="168" t="s">
        <v>11</v>
      </c>
      <c r="D113" s="168"/>
      <c r="E113" s="168"/>
      <c r="F113" s="80"/>
      <c r="I113" s="78" t="s">
        <v>12</v>
      </c>
    </row>
    <row r="114" spans="1:9" ht="15.75" customHeight="1">
      <c r="A114" s="4" t="s">
        <v>14</v>
      </c>
    </row>
    <row r="115" spans="1:9" ht="15.75" customHeight="1">
      <c r="A115" s="169" t="s">
        <v>15</v>
      </c>
      <c r="B115" s="169"/>
      <c r="C115" s="169"/>
      <c r="D115" s="169"/>
      <c r="E115" s="169"/>
      <c r="F115" s="169"/>
      <c r="G115" s="169"/>
      <c r="H115" s="169"/>
      <c r="I115" s="169"/>
    </row>
    <row r="116" spans="1:9" ht="45" customHeight="1">
      <c r="A116" s="167" t="s">
        <v>16</v>
      </c>
      <c r="B116" s="167"/>
      <c r="C116" s="167"/>
      <c r="D116" s="167"/>
      <c r="E116" s="167"/>
      <c r="F116" s="167"/>
      <c r="G116" s="167"/>
      <c r="H116" s="167"/>
      <c r="I116" s="167"/>
    </row>
    <row r="117" spans="1:9" ht="30" customHeight="1">
      <c r="A117" s="167" t="s">
        <v>17</v>
      </c>
      <c r="B117" s="167"/>
      <c r="C117" s="167"/>
      <c r="D117" s="167"/>
      <c r="E117" s="167"/>
      <c r="F117" s="167"/>
      <c r="G117" s="167"/>
      <c r="H117" s="167"/>
      <c r="I117" s="167"/>
    </row>
    <row r="118" spans="1:9" ht="30" customHeight="1">
      <c r="A118" s="167" t="s">
        <v>21</v>
      </c>
      <c r="B118" s="167"/>
      <c r="C118" s="167"/>
      <c r="D118" s="167"/>
      <c r="E118" s="167"/>
      <c r="F118" s="167"/>
      <c r="G118" s="167"/>
      <c r="H118" s="167"/>
      <c r="I118" s="167"/>
    </row>
    <row r="119" spans="1:9" ht="15" customHeight="1">
      <c r="A119" s="167" t="s">
        <v>20</v>
      </c>
      <c r="B119" s="167"/>
      <c r="C119" s="167"/>
      <c r="D119" s="167"/>
      <c r="E119" s="167"/>
      <c r="F119" s="167"/>
      <c r="G119" s="167"/>
      <c r="H119" s="167"/>
      <c r="I119" s="167"/>
    </row>
  </sheetData>
  <autoFilter ref="I12:I76"/>
  <mergeCells count="29">
    <mergeCell ref="A115:I115"/>
    <mergeCell ref="A116:I116"/>
    <mergeCell ref="A117:I117"/>
    <mergeCell ref="A118:I118"/>
    <mergeCell ref="A119:I119"/>
    <mergeCell ref="R80:U80"/>
    <mergeCell ref="C113:E113"/>
    <mergeCell ref="A94:I94"/>
    <mergeCell ref="A99:I99"/>
    <mergeCell ref="B100:G100"/>
    <mergeCell ref="B101:G101"/>
    <mergeCell ref="A103:I103"/>
    <mergeCell ref="A104:I104"/>
    <mergeCell ref="A105:I105"/>
    <mergeCell ref="A107:I107"/>
    <mergeCell ref="C109:E109"/>
    <mergeCell ref="C110:E110"/>
    <mergeCell ref="C112:E112"/>
    <mergeCell ref="A90:I90"/>
    <mergeCell ref="A3:I3"/>
    <mergeCell ref="A4:I4"/>
    <mergeCell ref="A5:I5"/>
    <mergeCell ref="A8:I8"/>
    <mergeCell ref="A10:I10"/>
    <mergeCell ref="A14:I14"/>
    <mergeCell ref="A15:I15"/>
    <mergeCell ref="A29:I29"/>
    <mergeCell ref="A47:I47"/>
    <mergeCell ref="A59:I59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U127"/>
  <sheetViews>
    <sheetView topLeftCell="A98" workbookViewId="0">
      <selection activeCell="G101" sqref="G10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1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174</v>
      </c>
      <c r="I1" s="30"/>
      <c r="J1" s="1"/>
      <c r="K1" s="1"/>
      <c r="L1" s="1"/>
      <c r="M1" s="1"/>
    </row>
    <row r="2" spans="1:13" ht="15.75" customHeight="1">
      <c r="A2" s="32" t="s">
        <v>59</v>
      </c>
      <c r="J2" s="2"/>
      <c r="K2" s="2"/>
      <c r="L2" s="2"/>
      <c r="M2" s="2"/>
    </row>
    <row r="3" spans="1:13" ht="15.75" customHeight="1">
      <c r="A3" s="174" t="s">
        <v>158</v>
      </c>
      <c r="B3" s="174"/>
      <c r="C3" s="174"/>
      <c r="D3" s="174"/>
      <c r="E3" s="174"/>
      <c r="F3" s="174"/>
      <c r="G3" s="174"/>
      <c r="H3" s="174"/>
      <c r="I3" s="174"/>
      <c r="J3" s="3"/>
      <c r="K3" s="3"/>
      <c r="L3" s="3"/>
    </row>
    <row r="4" spans="1:13" ht="31.5" customHeight="1">
      <c r="A4" s="175" t="s">
        <v>119</v>
      </c>
      <c r="B4" s="175"/>
      <c r="C4" s="175"/>
      <c r="D4" s="175"/>
      <c r="E4" s="175"/>
      <c r="F4" s="175"/>
      <c r="G4" s="175"/>
      <c r="H4" s="175"/>
      <c r="I4" s="175"/>
    </row>
    <row r="5" spans="1:13" ht="15.75" customHeight="1">
      <c r="A5" s="174" t="s">
        <v>200</v>
      </c>
      <c r="B5" s="178"/>
      <c r="C5" s="178"/>
      <c r="D5" s="178"/>
      <c r="E5" s="178"/>
      <c r="F5" s="178"/>
      <c r="G5" s="178"/>
      <c r="H5" s="178"/>
      <c r="I5" s="178"/>
      <c r="J5" s="2"/>
      <c r="K5" s="2"/>
      <c r="L5" s="2"/>
      <c r="M5" s="2"/>
    </row>
    <row r="6" spans="1:13" ht="15.75" customHeight="1">
      <c r="A6" s="2"/>
      <c r="B6" s="75"/>
      <c r="C6" s="75"/>
      <c r="D6" s="75"/>
      <c r="E6" s="75"/>
      <c r="F6" s="75"/>
      <c r="G6" s="75"/>
      <c r="H6" s="75"/>
      <c r="I6" s="34">
        <v>44255</v>
      </c>
      <c r="J6" s="2"/>
      <c r="K6" s="2"/>
      <c r="L6" s="2"/>
      <c r="M6" s="2"/>
    </row>
    <row r="7" spans="1:13" ht="15.75" customHeight="1">
      <c r="B7" s="74"/>
      <c r="C7" s="74"/>
      <c r="D7" s="74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76" t="s">
        <v>194</v>
      </c>
      <c r="B8" s="176"/>
      <c r="C8" s="176"/>
      <c r="D8" s="176"/>
      <c r="E8" s="176"/>
      <c r="F8" s="176"/>
      <c r="G8" s="176"/>
      <c r="H8" s="176"/>
      <c r="I8" s="17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77" t="s">
        <v>144</v>
      </c>
      <c r="B10" s="177"/>
      <c r="C10" s="177"/>
      <c r="D10" s="177"/>
      <c r="E10" s="177"/>
      <c r="F10" s="177"/>
      <c r="G10" s="177"/>
      <c r="H10" s="177"/>
      <c r="I10" s="177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79" t="s">
        <v>56</v>
      </c>
      <c r="B14" s="179"/>
      <c r="C14" s="179"/>
      <c r="D14" s="179"/>
      <c r="E14" s="179"/>
      <c r="F14" s="179"/>
      <c r="G14" s="179"/>
      <c r="H14" s="179"/>
      <c r="I14" s="179"/>
      <c r="J14" s="8"/>
      <c r="K14" s="8"/>
      <c r="L14" s="8"/>
      <c r="M14" s="8"/>
    </row>
    <row r="15" spans="1:13" ht="15.75" customHeight="1">
      <c r="A15" s="180" t="s">
        <v>4</v>
      </c>
      <c r="B15" s="180"/>
      <c r="C15" s="180"/>
      <c r="D15" s="180"/>
      <c r="E15" s="180"/>
      <c r="F15" s="180"/>
      <c r="G15" s="180"/>
      <c r="H15" s="180"/>
      <c r="I15" s="180"/>
      <c r="J15" s="8"/>
      <c r="K15" s="8"/>
      <c r="L15" s="8"/>
      <c r="M15" s="8"/>
    </row>
    <row r="16" spans="1:13" ht="15.75" customHeight="1">
      <c r="A16" s="33">
        <v>1</v>
      </c>
      <c r="B16" s="89" t="s">
        <v>81</v>
      </c>
      <c r="C16" s="90" t="s">
        <v>82</v>
      </c>
      <c r="D16" s="89" t="s">
        <v>178</v>
      </c>
      <c r="E16" s="91">
        <v>53.8</v>
      </c>
      <c r="F16" s="92">
        <f>SUM(E16*156/100)</f>
        <v>83.927999999999997</v>
      </c>
      <c r="G16" s="92">
        <v>218.21</v>
      </c>
      <c r="H16" s="93">
        <f t="shared" ref="H16:H26" si="0">SUM(F16*G16/1000)</f>
        <v>18.313928879999999</v>
      </c>
      <c r="I16" s="13">
        <f>F16/12*G16</f>
        <v>1526.16074</v>
      </c>
      <c r="J16" s="8"/>
      <c r="K16" s="8"/>
      <c r="L16" s="8"/>
      <c r="M16" s="8"/>
    </row>
    <row r="17" spans="1:13" ht="15.75" customHeight="1">
      <c r="A17" s="33">
        <v>2</v>
      </c>
      <c r="B17" s="89" t="s">
        <v>120</v>
      </c>
      <c r="C17" s="90" t="s">
        <v>82</v>
      </c>
      <c r="D17" s="89" t="s">
        <v>179</v>
      </c>
      <c r="E17" s="91">
        <v>107.6</v>
      </c>
      <c r="F17" s="92">
        <f>SUM(E17*104/100)</f>
        <v>111.904</v>
      </c>
      <c r="G17" s="92">
        <v>218.21</v>
      </c>
      <c r="H17" s="93">
        <f t="shared" si="0"/>
        <v>24.418571840000002</v>
      </c>
      <c r="I17" s="13">
        <f>F17/12*G17</f>
        <v>2034.8809866666668</v>
      </c>
      <c r="J17" s="26"/>
      <c r="K17" s="8"/>
      <c r="L17" s="8"/>
      <c r="M17" s="8"/>
    </row>
    <row r="18" spans="1:13" ht="15.75" customHeight="1">
      <c r="A18" s="33">
        <v>3</v>
      </c>
      <c r="B18" s="89" t="s">
        <v>83</v>
      </c>
      <c r="C18" s="90" t="s">
        <v>82</v>
      </c>
      <c r="D18" s="89" t="s">
        <v>180</v>
      </c>
      <c r="E18" s="91">
        <f>SUM(E16+E17)</f>
        <v>161.39999999999998</v>
      </c>
      <c r="F18" s="92">
        <f>SUM(E18*24/100)</f>
        <v>38.735999999999997</v>
      </c>
      <c r="G18" s="92">
        <v>627.77</v>
      </c>
      <c r="H18" s="93">
        <f t="shared" si="0"/>
        <v>24.31729872</v>
      </c>
      <c r="I18" s="13">
        <f>F18/12*G18</f>
        <v>2026.4415599999998</v>
      </c>
      <c r="J18" s="26"/>
      <c r="K18" s="8"/>
      <c r="L18" s="8"/>
      <c r="M18" s="8"/>
    </row>
    <row r="19" spans="1:13" ht="15.75" hidden="1" customHeight="1">
      <c r="A19" s="33"/>
      <c r="B19" s="89" t="s">
        <v>84</v>
      </c>
      <c r="C19" s="90" t="s">
        <v>85</v>
      </c>
      <c r="D19" s="89" t="s">
        <v>86</v>
      </c>
      <c r="E19" s="91">
        <v>15.3</v>
      </c>
      <c r="F19" s="92">
        <f>SUM(E19/10)</f>
        <v>1.53</v>
      </c>
      <c r="G19" s="92">
        <v>211.74</v>
      </c>
      <c r="H19" s="93">
        <f t="shared" si="0"/>
        <v>0.32396219999999998</v>
      </c>
      <c r="I19" s="13">
        <v>0</v>
      </c>
      <c r="J19" s="26"/>
      <c r="K19" s="8"/>
      <c r="L19" s="8"/>
      <c r="M19" s="8"/>
    </row>
    <row r="20" spans="1:13" ht="15.75" hidden="1" customHeight="1">
      <c r="A20" s="33">
        <v>4</v>
      </c>
      <c r="B20" s="89" t="s">
        <v>91</v>
      </c>
      <c r="C20" s="90" t="s">
        <v>50</v>
      </c>
      <c r="D20" s="89" t="s">
        <v>121</v>
      </c>
      <c r="E20" s="91">
        <v>4.5</v>
      </c>
      <c r="F20" s="92">
        <f>E20/100</f>
        <v>4.4999999999999998E-2</v>
      </c>
      <c r="G20" s="92">
        <v>484.94</v>
      </c>
      <c r="H20" s="93">
        <f>SUM(F20*G20/1000)</f>
        <v>2.1822299999999999E-2</v>
      </c>
      <c r="I20" s="13">
        <v>0</v>
      </c>
      <c r="J20" s="26"/>
      <c r="K20" s="8"/>
      <c r="L20" s="8"/>
      <c r="M20" s="8"/>
    </row>
    <row r="21" spans="1:13" ht="15.75" hidden="1" customHeight="1">
      <c r="A21" s="33">
        <v>5</v>
      </c>
      <c r="B21" s="89" t="s">
        <v>87</v>
      </c>
      <c r="C21" s="90" t="s">
        <v>82</v>
      </c>
      <c r="D21" s="89" t="s">
        <v>40</v>
      </c>
      <c r="E21" s="91">
        <v>19.62</v>
      </c>
      <c r="F21" s="92">
        <f>SUM(E21*2/100)</f>
        <v>0.39240000000000003</v>
      </c>
      <c r="G21" s="92">
        <v>271.12</v>
      </c>
      <c r="H21" s="93">
        <f t="shared" si="0"/>
        <v>0.106387488</v>
      </c>
      <c r="I21" s="13">
        <v>0</v>
      </c>
      <c r="J21" s="26"/>
      <c r="K21" s="8"/>
      <c r="L21" s="8"/>
      <c r="M21" s="8"/>
    </row>
    <row r="22" spans="1:13" ht="15.75" hidden="1" customHeight="1">
      <c r="A22" s="33"/>
      <c r="B22" s="89" t="s">
        <v>88</v>
      </c>
      <c r="C22" s="90" t="s">
        <v>82</v>
      </c>
      <c r="D22" s="89" t="s">
        <v>40</v>
      </c>
      <c r="E22" s="91">
        <v>8.68</v>
      </c>
      <c r="F22" s="92">
        <f>SUM(E22*2/100)</f>
        <v>0.1736</v>
      </c>
      <c r="G22" s="92">
        <v>268.92</v>
      </c>
      <c r="H22" s="93">
        <f t="shared" si="0"/>
        <v>4.6684512000000004E-2</v>
      </c>
      <c r="I22" s="13">
        <v>0</v>
      </c>
      <c r="J22" s="26"/>
      <c r="K22" s="8"/>
      <c r="L22" s="8"/>
      <c r="M22" s="8"/>
    </row>
    <row r="23" spans="1:13" ht="15.75" hidden="1" customHeight="1">
      <c r="A23" s="33"/>
      <c r="B23" s="89" t="s">
        <v>89</v>
      </c>
      <c r="C23" s="90" t="s">
        <v>50</v>
      </c>
      <c r="D23" s="89" t="s">
        <v>86</v>
      </c>
      <c r="E23" s="91">
        <v>215</v>
      </c>
      <c r="F23" s="92">
        <f>SUM(E23/100)</f>
        <v>2.15</v>
      </c>
      <c r="G23" s="92">
        <v>335.05</v>
      </c>
      <c r="H23" s="93">
        <f t="shared" si="0"/>
        <v>0.72035749999999998</v>
      </c>
      <c r="I23" s="13">
        <v>0</v>
      </c>
      <c r="J23" s="26"/>
      <c r="K23" s="8"/>
      <c r="L23" s="8"/>
      <c r="M23" s="8"/>
    </row>
    <row r="24" spans="1:13" ht="15.75" hidden="1" customHeight="1">
      <c r="A24" s="33"/>
      <c r="B24" s="89" t="s">
        <v>90</v>
      </c>
      <c r="C24" s="90" t="s">
        <v>50</v>
      </c>
      <c r="D24" s="89" t="s">
        <v>86</v>
      </c>
      <c r="E24" s="94">
        <v>17.64</v>
      </c>
      <c r="F24" s="92">
        <f>SUM(E24/100)</f>
        <v>0.1764</v>
      </c>
      <c r="G24" s="92">
        <v>55.1</v>
      </c>
      <c r="H24" s="93">
        <f t="shared" si="0"/>
        <v>9.7196399999999999E-3</v>
      </c>
      <c r="I24" s="13">
        <v>0</v>
      </c>
      <c r="J24" s="26"/>
      <c r="K24" s="8"/>
      <c r="L24" s="8"/>
      <c r="M24" s="8"/>
    </row>
    <row r="25" spans="1:13" ht="15.75" hidden="1" customHeight="1">
      <c r="A25" s="45">
        <v>6</v>
      </c>
      <c r="B25" s="89" t="s">
        <v>92</v>
      </c>
      <c r="C25" s="90" t="s">
        <v>50</v>
      </c>
      <c r="D25" s="89" t="s">
        <v>86</v>
      </c>
      <c r="E25" s="91">
        <v>14.4</v>
      </c>
      <c r="F25" s="92">
        <f>SUM(E25/100)</f>
        <v>0.14400000000000002</v>
      </c>
      <c r="G25" s="92">
        <v>648.04999999999995</v>
      </c>
      <c r="H25" s="93">
        <f>SUM(F25*G25/1000)</f>
        <v>9.3319200000000005E-2</v>
      </c>
      <c r="I25" s="13">
        <v>0</v>
      </c>
      <c r="J25" s="26"/>
      <c r="K25" s="8"/>
      <c r="L25" s="8"/>
      <c r="M25" s="8"/>
    </row>
    <row r="26" spans="1:13" ht="15.75" hidden="1" customHeight="1">
      <c r="A26" s="45"/>
      <c r="B26" s="89" t="s">
        <v>122</v>
      </c>
      <c r="C26" s="90" t="s">
        <v>50</v>
      </c>
      <c r="D26" s="89" t="s">
        <v>51</v>
      </c>
      <c r="E26" s="91">
        <v>9.4499999999999993</v>
      </c>
      <c r="F26" s="92">
        <v>0.09</v>
      </c>
      <c r="G26" s="92">
        <v>268.92</v>
      </c>
      <c r="H26" s="93">
        <f t="shared" si="0"/>
        <v>2.42028E-2</v>
      </c>
      <c r="I26" s="13">
        <v>0</v>
      </c>
      <c r="J26" s="26"/>
      <c r="K26" s="8"/>
      <c r="L26" s="8"/>
      <c r="M26" s="8"/>
    </row>
    <row r="27" spans="1:13" ht="15.75" customHeight="1">
      <c r="A27" s="45">
        <v>4</v>
      </c>
      <c r="B27" s="89" t="s">
        <v>177</v>
      </c>
      <c r="C27" s="44" t="s">
        <v>173</v>
      </c>
      <c r="D27" s="120" t="s">
        <v>181</v>
      </c>
      <c r="E27" s="121">
        <v>2.5099999999999998</v>
      </c>
      <c r="F27" s="122">
        <f>E27*258</f>
        <v>647.57999999999993</v>
      </c>
      <c r="G27" s="122">
        <v>10.39</v>
      </c>
      <c r="H27" s="93">
        <f t="shared" ref="H27" si="1">SUM(F27*G27/1000)</f>
        <v>6.7283561999999995</v>
      </c>
      <c r="I27" s="13">
        <f>F27/12*G27</f>
        <v>560.69634999999994</v>
      </c>
      <c r="J27" s="26"/>
      <c r="K27" s="8"/>
      <c r="L27" s="8"/>
      <c r="M27" s="8"/>
    </row>
    <row r="28" spans="1:13" ht="15.75" hidden="1" customHeight="1">
      <c r="A28" s="45">
        <v>5</v>
      </c>
      <c r="B28" s="95" t="s">
        <v>23</v>
      </c>
      <c r="C28" s="90" t="s">
        <v>24</v>
      </c>
      <c r="D28" s="89" t="s">
        <v>80</v>
      </c>
      <c r="E28" s="91">
        <v>1832</v>
      </c>
      <c r="F28" s="92">
        <f>SUM(E28*12)</f>
        <v>21984</v>
      </c>
      <c r="G28" s="92">
        <v>5.25</v>
      </c>
      <c r="H28" s="93">
        <f t="shared" ref="H28" si="2">SUM(F28*G28/1000)</f>
        <v>115.416</v>
      </c>
      <c r="I28" s="13">
        <f>F28/12*G28</f>
        <v>9618</v>
      </c>
      <c r="J28" s="26"/>
      <c r="K28" s="8"/>
      <c r="L28" s="8"/>
      <c r="M28" s="8"/>
    </row>
    <row r="29" spans="1:13" ht="15.75" customHeight="1">
      <c r="A29" s="180" t="s">
        <v>79</v>
      </c>
      <c r="B29" s="180"/>
      <c r="C29" s="180"/>
      <c r="D29" s="180"/>
      <c r="E29" s="180"/>
      <c r="F29" s="180"/>
      <c r="G29" s="180"/>
      <c r="H29" s="180"/>
      <c r="I29" s="180"/>
      <c r="J29" s="26"/>
      <c r="K29" s="8"/>
      <c r="L29" s="8"/>
      <c r="M29" s="8"/>
    </row>
    <row r="30" spans="1:13" ht="15.75" hidden="1" customHeight="1">
      <c r="A30" s="45"/>
      <c r="B30" s="55" t="s">
        <v>26</v>
      </c>
      <c r="C30" s="55"/>
      <c r="D30" s="55"/>
      <c r="E30" s="55"/>
      <c r="F30" s="55"/>
      <c r="G30" s="55"/>
      <c r="H30" s="55"/>
      <c r="I30" s="19"/>
      <c r="J30" s="26"/>
      <c r="K30" s="8"/>
      <c r="L30" s="8"/>
      <c r="M30" s="8"/>
    </row>
    <row r="31" spans="1:13" ht="15.75" hidden="1" customHeight="1">
      <c r="A31" s="45">
        <v>2</v>
      </c>
      <c r="B31" s="89" t="s">
        <v>150</v>
      </c>
      <c r="C31" s="90" t="s">
        <v>93</v>
      </c>
      <c r="D31" s="89" t="s">
        <v>94</v>
      </c>
      <c r="E31" s="92">
        <v>306.55</v>
      </c>
      <c r="F31" s="92">
        <f>SUM(E31*52/1000)</f>
        <v>15.9406</v>
      </c>
      <c r="G31" s="92">
        <v>193.97</v>
      </c>
      <c r="H31" s="93">
        <f t="shared" ref="H31:H37" si="3">SUM(F31*G31/1000)</f>
        <v>3.0919981819999998</v>
      </c>
      <c r="I31" s="13">
        <f>F31/6*G31</f>
        <v>515.33303033333334</v>
      </c>
      <c r="J31" s="26"/>
      <c r="K31" s="8"/>
      <c r="L31" s="8"/>
      <c r="M31" s="8"/>
    </row>
    <row r="32" spans="1:13" ht="31.5" hidden="1" customHeight="1">
      <c r="A32" s="45">
        <v>3</v>
      </c>
      <c r="B32" s="89" t="s">
        <v>95</v>
      </c>
      <c r="C32" s="90" t="s">
        <v>93</v>
      </c>
      <c r="D32" s="89" t="s">
        <v>96</v>
      </c>
      <c r="E32" s="92">
        <v>42.5</v>
      </c>
      <c r="F32" s="92">
        <f>SUM(E32*78/1000)</f>
        <v>3.3149999999999999</v>
      </c>
      <c r="G32" s="92">
        <v>321.82</v>
      </c>
      <c r="H32" s="93">
        <f t="shared" si="3"/>
        <v>1.0668333000000001</v>
      </c>
      <c r="I32" s="13">
        <f t="shared" ref="I32:I35" si="4">F32/6*G32</f>
        <v>177.80554999999998</v>
      </c>
      <c r="J32" s="26"/>
      <c r="K32" s="8"/>
      <c r="L32" s="8"/>
      <c r="M32" s="8"/>
    </row>
    <row r="33" spans="1:14" ht="15.75" hidden="1" customHeight="1">
      <c r="A33" s="45">
        <v>4</v>
      </c>
      <c r="B33" s="89" t="s">
        <v>149</v>
      </c>
      <c r="C33" s="90" t="s">
        <v>93</v>
      </c>
      <c r="D33" s="89" t="s">
        <v>51</v>
      </c>
      <c r="E33" s="92">
        <v>306.55</v>
      </c>
      <c r="F33" s="92">
        <f>SUM(E33/1000)</f>
        <v>0.30654999999999999</v>
      </c>
      <c r="G33" s="92">
        <v>3758.28</v>
      </c>
      <c r="H33" s="93">
        <f t="shared" si="3"/>
        <v>1.152100734</v>
      </c>
      <c r="I33" s="13">
        <f>F33*G33</f>
        <v>1152.1007340000001</v>
      </c>
      <c r="J33" s="26"/>
      <c r="K33" s="8"/>
      <c r="L33" s="8"/>
      <c r="M33" s="8"/>
    </row>
    <row r="34" spans="1:14" ht="15.75" hidden="1" customHeight="1">
      <c r="A34" s="45"/>
      <c r="B34" s="89" t="s">
        <v>123</v>
      </c>
      <c r="C34" s="90" t="s">
        <v>38</v>
      </c>
      <c r="D34" s="89" t="s">
        <v>60</v>
      </c>
      <c r="E34" s="92">
        <v>3</v>
      </c>
      <c r="F34" s="92">
        <f>E34*155/100</f>
        <v>4.6500000000000004</v>
      </c>
      <c r="G34" s="92">
        <v>1620.15</v>
      </c>
      <c r="H34" s="93">
        <f t="shared" si="3"/>
        <v>7.5336975000000015</v>
      </c>
      <c r="I34" s="13">
        <f t="shared" si="4"/>
        <v>1255.61625</v>
      </c>
      <c r="J34" s="26"/>
      <c r="K34" s="8"/>
      <c r="L34" s="8"/>
      <c r="M34" s="8"/>
    </row>
    <row r="35" spans="1:14" ht="15.75" hidden="1" customHeight="1">
      <c r="A35" s="45">
        <v>5</v>
      </c>
      <c r="B35" s="89" t="s">
        <v>97</v>
      </c>
      <c r="C35" s="90" t="s">
        <v>28</v>
      </c>
      <c r="D35" s="89" t="s">
        <v>60</v>
      </c>
      <c r="E35" s="96">
        <f>1/3</f>
        <v>0.33333333333333331</v>
      </c>
      <c r="F35" s="92">
        <f>155/3</f>
        <v>51.666666666666664</v>
      </c>
      <c r="G35" s="92">
        <v>70.540000000000006</v>
      </c>
      <c r="H35" s="93">
        <f t="shared" si="3"/>
        <v>3.6445666666666665</v>
      </c>
      <c r="I35" s="13">
        <f t="shared" si="4"/>
        <v>607.42777777777781</v>
      </c>
      <c r="J35" s="26"/>
      <c r="K35" s="8"/>
      <c r="L35" s="8"/>
      <c r="M35" s="8"/>
    </row>
    <row r="36" spans="1:14" ht="15.75" hidden="1" customHeight="1">
      <c r="A36" s="45">
        <v>4</v>
      </c>
      <c r="B36" s="89" t="s">
        <v>61</v>
      </c>
      <c r="C36" s="90" t="s">
        <v>30</v>
      </c>
      <c r="D36" s="89" t="s">
        <v>63</v>
      </c>
      <c r="E36" s="91"/>
      <c r="F36" s="92">
        <v>2</v>
      </c>
      <c r="G36" s="92">
        <v>238.07</v>
      </c>
      <c r="H36" s="93">
        <f t="shared" si="3"/>
        <v>0.47614000000000001</v>
      </c>
      <c r="I36" s="13">
        <v>0</v>
      </c>
      <c r="J36" s="26"/>
      <c r="K36" s="8"/>
    </row>
    <row r="37" spans="1:14" ht="15.75" hidden="1" customHeight="1">
      <c r="A37" s="33">
        <v>8</v>
      </c>
      <c r="B37" s="89" t="s">
        <v>62</v>
      </c>
      <c r="C37" s="90" t="s">
        <v>29</v>
      </c>
      <c r="D37" s="89" t="s">
        <v>63</v>
      </c>
      <c r="E37" s="91"/>
      <c r="F37" s="92">
        <v>3</v>
      </c>
      <c r="G37" s="92">
        <v>1413.96</v>
      </c>
      <c r="H37" s="93">
        <f t="shared" si="3"/>
        <v>4.2418800000000001</v>
      </c>
      <c r="I37" s="13">
        <v>0</v>
      </c>
      <c r="J37" s="27"/>
    </row>
    <row r="38" spans="1:14" ht="15.75" customHeight="1">
      <c r="A38" s="45"/>
      <c r="B38" s="53" t="s">
        <v>5</v>
      </c>
      <c r="C38" s="53"/>
      <c r="D38" s="53"/>
      <c r="E38" s="13"/>
      <c r="F38" s="13"/>
      <c r="G38" s="14"/>
      <c r="H38" s="14"/>
      <c r="I38" s="19"/>
      <c r="J38" s="27"/>
    </row>
    <row r="39" spans="1:14" ht="32.25" customHeight="1">
      <c r="A39" s="37">
        <v>5</v>
      </c>
      <c r="B39" s="89" t="s">
        <v>25</v>
      </c>
      <c r="C39" s="90" t="s">
        <v>29</v>
      </c>
      <c r="D39" s="123" t="s">
        <v>201</v>
      </c>
      <c r="E39" s="91"/>
      <c r="F39" s="92">
        <v>2</v>
      </c>
      <c r="G39" s="92">
        <v>1900.37</v>
      </c>
      <c r="H39" s="93">
        <f t="shared" ref="H39:H44" si="5">SUM(F39*G39/1000)</f>
        <v>3.8007399999999998</v>
      </c>
      <c r="I39" s="13">
        <f>G39*1.3</f>
        <v>2470.4809999999998</v>
      </c>
      <c r="J39" s="27"/>
    </row>
    <row r="40" spans="1:14" ht="15.75" customHeight="1">
      <c r="A40" s="37">
        <v>6</v>
      </c>
      <c r="B40" s="89" t="s">
        <v>64</v>
      </c>
      <c r="C40" s="90" t="s">
        <v>27</v>
      </c>
      <c r="D40" s="89" t="s">
        <v>188</v>
      </c>
      <c r="E40" s="92">
        <v>42.5</v>
      </c>
      <c r="F40" s="92">
        <f>SUM(E40*30/1000)</f>
        <v>1.2749999999999999</v>
      </c>
      <c r="G40" s="92">
        <v>2616.4899999999998</v>
      </c>
      <c r="H40" s="93">
        <f t="shared" si="5"/>
        <v>3.3360247499999995</v>
      </c>
      <c r="I40" s="13">
        <f t="shared" ref="I40:I42" si="6">F40/6*G40</f>
        <v>556.00412499999993</v>
      </c>
      <c r="J40" s="27"/>
    </row>
    <row r="41" spans="1:14" ht="15.75" customHeight="1">
      <c r="A41" s="37">
        <v>7</v>
      </c>
      <c r="B41" s="89" t="s">
        <v>65</v>
      </c>
      <c r="C41" s="90" t="s">
        <v>27</v>
      </c>
      <c r="D41" s="89" t="s">
        <v>187</v>
      </c>
      <c r="E41" s="92">
        <v>42.5</v>
      </c>
      <c r="F41" s="92">
        <f>SUM(E41*155/1000)</f>
        <v>6.5875000000000004</v>
      </c>
      <c r="G41" s="92">
        <v>436.45</v>
      </c>
      <c r="H41" s="93">
        <f t="shared" si="5"/>
        <v>2.8751143749999999</v>
      </c>
      <c r="I41" s="13">
        <f t="shared" si="6"/>
        <v>479.18572916666665</v>
      </c>
      <c r="J41" s="27"/>
    </row>
    <row r="42" spans="1:14" ht="47.25" customHeight="1">
      <c r="A42" s="37">
        <v>8</v>
      </c>
      <c r="B42" s="89" t="s">
        <v>78</v>
      </c>
      <c r="C42" s="90" t="s">
        <v>93</v>
      </c>
      <c r="D42" s="89" t="s">
        <v>188</v>
      </c>
      <c r="E42" s="92">
        <v>42.5</v>
      </c>
      <c r="F42" s="92">
        <f>SUM(E42*35/1000)</f>
        <v>1.4875</v>
      </c>
      <c r="G42" s="92">
        <v>7221.21</v>
      </c>
      <c r="H42" s="93">
        <f t="shared" si="5"/>
        <v>10.741549875</v>
      </c>
      <c r="I42" s="13">
        <f t="shared" si="6"/>
        <v>1790.2583125000001</v>
      </c>
      <c r="J42" s="27"/>
    </row>
    <row r="43" spans="1:14" ht="15.75" customHeight="1">
      <c r="A43" s="37">
        <v>9</v>
      </c>
      <c r="B43" s="89" t="s">
        <v>101</v>
      </c>
      <c r="C43" s="90" t="s">
        <v>93</v>
      </c>
      <c r="D43" s="89" t="s">
        <v>180</v>
      </c>
      <c r="E43" s="92">
        <v>42.5</v>
      </c>
      <c r="F43" s="92">
        <f>SUM(E43*20/1000)</f>
        <v>0.85</v>
      </c>
      <c r="G43" s="92">
        <v>533.45000000000005</v>
      </c>
      <c r="H43" s="93">
        <f t="shared" si="5"/>
        <v>0.45343250000000002</v>
      </c>
      <c r="I43" s="13">
        <f>G43*F43/20*2</f>
        <v>45.343249999999998</v>
      </c>
      <c r="J43" s="27"/>
      <c r="L43" s="21"/>
      <c r="M43" s="22"/>
      <c r="N43" s="23"/>
    </row>
    <row r="44" spans="1:14" ht="15.75" customHeight="1">
      <c r="A44" s="37">
        <v>10</v>
      </c>
      <c r="B44" s="89" t="s">
        <v>66</v>
      </c>
      <c r="C44" s="90" t="s">
        <v>30</v>
      </c>
      <c r="D44" s="89"/>
      <c r="E44" s="91"/>
      <c r="F44" s="92">
        <v>0.5</v>
      </c>
      <c r="G44" s="92">
        <v>992.97</v>
      </c>
      <c r="H44" s="93">
        <f t="shared" si="5"/>
        <v>0.49648500000000001</v>
      </c>
      <c r="I44" s="13">
        <f>G44*F44/20*2</f>
        <v>49.648499999999999</v>
      </c>
      <c r="J44" s="27"/>
      <c r="L44" s="21"/>
      <c r="M44" s="22"/>
      <c r="N44" s="23"/>
    </row>
    <row r="45" spans="1:14" ht="15.75" customHeight="1">
      <c r="A45" s="170" t="s">
        <v>146</v>
      </c>
      <c r="B45" s="171"/>
      <c r="C45" s="171"/>
      <c r="D45" s="171"/>
      <c r="E45" s="171"/>
      <c r="F45" s="171"/>
      <c r="G45" s="171"/>
      <c r="H45" s="171"/>
      <c r="I45" s="172"/>
      <c r="J45" s="27"/>
      <c r="L45" s="21"/>
      <c r="M45" s="22"/>
      <c r="N45" s="23"/>
    </row>
    <row r="46" spans="1:14" ht="15.75" hidden="1" customHeight="1">
      <c r="A46" s="45">
        <v>15</v>
      </c>
      <c r="B46" s="89" t="s">
        <v>103</v>
      </c>
      <c r="C46" s="90" t="s">
        <v>93</v>
      </c>
      <c r="D46" s="89" t="s">
        <v>40</v>
      </c>
      <c r="E46" s="91">
        <v>1060.4000000000001</v>
      </c>
      <c r="F46" s="92">
        <f>SUM(E46*2/1000)</f>
        <v>2.1208</v>
      </c>
      <c r="G46" s="13">
        <v>1283.46</v>
      </c>
      <c r="H46" s="93">
        <f t="shared" ref="H46:H56" si="7">SUM(F46*G46/1000)</f>
        <v>2.721961968</v>
      </c>
      <c r="I46" s="13">
        <v>0</v>
      </c>
      <c r="J46" s="27"/>
      <c r="L46" s="21"/>
      <c r="M46" s="22"/>
      <c r="N46" s="23"/>
    </row>
    <row r="47" spans="1:14" ht="15.75" hidden="1" customHeight="1">
      <c r="A47" s="45"/>
      <c r="B47" s="89" t="s">
        <v>33</v>
      </c>
      <c r="C47" s="90" t="s">
        <v>93</v>
      </c>
      <c r="D47" s="89" t="s">
        <v>40</v>
      </c>
      <c r="E47" s="91">
        <v>19.8</v>
      </c>
      <c r="F47" s="92">
        <f>SUM(E47*2/1000)</f>
        <v>3.9600000000000003E-2</v>
      </c>
      <c r="G47" s="13">
        <v>721.04</v>
      </c>
      <c r="H47" s="93">
        <f t="shared" si="7"/>
        <v>2.8553184000000002E-2</v>
      </c>
      <c r="I47" s="13">
        <v>0</v>
      </c>
      <c r="J47" s="27"/>
      <c r="L47" s="21"/>
      <c r="M47" s="22"/>
      <c r="N47" s="23"/>
    </row>
    <row r="48" spans="1:14" ht="15.75" hidden="1" customHeight="1">
      <c r="A48" s="45">
        <v>16</v>
      </c>
      <c r="B48" s="89" t="s">
        <v>34</v>
      </c>
      <c r="C48" s="90" t="s">
        <v>93</v>
      </c>
      <c r="D48" s="89" t="s">
        <v>40</v>
      </c>
      <c r="E48" s="91">
        <v>660.84</v>
      </c>
      <c r="F48" s="92">
        <f>SUM(E48*2/1000)</f>
        <v>1.32168</v>
      </c>
      <c r="G48" s="13">
        <v>1711.28</v>
      </c>
      <c r="H48" s="93">
        <f t="shared" si="7"/>
        <v>2.2617645503999997</v>
      </c>
      <c r="I48" s="13">
        <v>0</v>
      </c>
      <c r="J48" s="27"/>
      <c r="L48" s="21"/>
      <c r="M48" s="22"/>
      <c r="N48" s="23"/>
    </row>
    <row r="49" spans="1:14" ht="15.75" hidden="1" customHeight="1">
      <c r="A49" s="45">
        <v>17</v>
      </c>
      <c r="B49" s="89" t="s">
        <v>35</v>
      </c>
      <c r="C49" s="90" t="s">
        <v>93</v>
      </c>
      <c r="D49" s="89" t="s">
        <v>40</v>
      </c>
      <c r="E49" s="91">
        <v>1156.21</v>
      </c>
      <c r="F49" s="92">
        <f>SUM(E49*2/1000)</f>
        <v>2.3124199999999999</v>
      </c>
      <c r="G49" s="13">
        <v>1179.73</v>
      </c>
      <c r="H49" s="93">
        <f t="shared" si="7"/>
        <v>2.7280312466000001</v>
      </c>
      <c r="I49" s="13">
        <v>0</v>
      </c>
      <c r="J49" s="27"/>
      <c r="L49" s="21"/>
      <c r="M49" s="22"/>
      <c r="N49" s="23"/>
    </row>
    <row r="50" spans="1:14" ht="15.75" hidden="1" customHeight="1">
      <c r="A50" s="45">
        <v>18</v>
      </c>
      <c r="B50" s="89" t="s">
        <v>31</v>
      </c>
      <c r="C50" s="90" t="s">
        <v>32</v>
      </c>
      <c r="D50" s="89" t="s">
        <v>40</v>
      </c>
      <c r="E50" s="91">
        <v>15.38</v>
      </c>
      <c r="F50" s="92">
        <f>SUM(E50*2/100)</f>
        <v>0.30760000000000004</v>
      </c>
      <c r="G50" s="13">
        <v>90.61</v>
      </c>
      <c r="H50" s="93">
        <f t="shared" si="7"/>
        <v>2.7871636000000002E-2</v>
      </c>
      <c r="I50" s="13">
        <v>0</v>
      </c>
      <c r="J50" s="27"/>
      <c r="L50" s="21"/>
      <c r="M50" s="22"/>
      <c r="N50" s="23"/>
    </row>
    <row r="51" spans="1:14" ht="15.75" customHeight="1">
      <c r="A51" s="45">
        <v>11</v>
      </c>
      <c r="B51" s="89" t="s">
        <v>53</v>
      </c>
      <c r="C51" s="90" t="s">
        <v>93</v>
      </c>
      <c r="D51" s="89" t="s">
        <v>151</v>
      </c>
      <c r="E51" s="91">
        <v>823</v>
      </c>
      <c r="F51" s="92">
        <f>SUM(E51*5/1000)</f>
        <v>4.1150000000000002</v>
      </c>
      <c r="G51" s="13">
        <v>1711.28</v>
      </c>
      <c r="H51" s="93">
        <f t="shared" si="7"/>
        <v>7.0419171999999994</v>
      </c>
      <c r="I51" s="13">
        <f>F51/5*G51</f>
        <v>1408.3834400000001</v>
      </c>
      <c r="J51" s="27"/>
      <c r="L51" s="21"/>
      <c r="M51" s="22"/>
      <c r="N51" s="23"/>
    </row>
    <row r="52" spans="1:14" ht="31.5" hidden="1" customHeight="1">
      <c r="A52" s="45">
        <v>13</v>
      </c>
      <c r="B52" s="89" t="s">
        <v>104</v>
      </c>
      <c r="C52" s="90" t="s">
        <v>93</v>
      </c>
      <c r="D52" s="89" t="s">
        <v>40</v>
      </c>
      <c r="E52" s="91">
        <v>823</v>
      </c>
      <c r="F52" s="92">
        <f>SUM(E52*2/1000)</f>
        <v>1.6459999999999999</v>
      </c>
      <c r="G52" s="13">
        <v>1510.06</v>
      </c>
      <c r="H52" s="93">
        <f t="shared" si="7"/>
        <v>2.48555876</v>
      </c>
      <c r="I52" s="13">
        <v>0</v>
      </c>
      <c r="J52" s="27"/>
      <c r="L52" s="21"/>
      <c r="M52" s="22"/>
      <c r="N52" s="23"/>
    </row>
    <row r="53" spans="1:14" ht="31.5" hidden="1" customHeight="1">
      <c r="A53" s="45">
        <v>14</v>
      </c>
      <c r="B53" s="89" t="s">
        <v>105</v>
      </c>
      <c r="C53" s="90" t="s">
        <v>36</v>
      </c>
      <c r="D53" s="89" t="s">
        <v>40</v>
      </c>
      <c r="E53" s="91">
        <v>9</v>
      </c>
      <c r="F53" s="92">
        <f>SUM(E53*2/100)</f>
        <v>0.18</v>
      </c>
      <c r="G53" s="13">
        <v>3850.4</v>
      </c>
      <c r="H53" s="93">
        <f t="shared" si="7"/>
        <v>0.69307200000000002</v>
      </c>
      <c r="I53" s="13">
        <v>0</v>
      </c>
      <c r="J53" s="27"/>
      <c r="L53" s="21"/>
      <c r="M53" s="22"/>
      <c r="N53" s="23"/>
    </row>
    <row r="54" spans="1:14" ht="15.75" hidden="1" customHeight="1">
      <c r="A54" s="45">
        <v>15</v>
      </c>
      <c r="B54" s="89" t="s">
        <v>37</v>
      </c>
      <c r="C54" s="90" t="s">
        <v>38</v>
      </c>
      <c r="D54" s="89" t="s">
        <v>40</v>
      </c>
      <c r="E54" s="91">
        <v>1</v>
      </c>
      <c r="F54" s="92">
        <v>0.02</v>
      </c>
      <c r="G54" s="13">
        <v>7033.13</v>
      </c>
      <c r="H54" s="93">
        <f t="shared" si="7"/>
        <v>0.1406626</v>
      </c>
      <c r="I54" s="13">
        <v>0</v>
      </c>
      <c r="J54" s="27"/>
      <c r="L54" s="21"/>
      <c r="M54" s="22"/>
      <c r="N54" s="23"/>
    </row>
    <row r="55" spans="1:14" ht="15.75" hidden="1" customHeight="1">
      <c r="A55" s="45">
        <v>13</v>
      </c>
      <c r="B55" s="89" t="s">
        <v>124</v>
      </c>
      <c r="C55" s="90" t="s">
        <v>106</v>
      </c>
      <c r="D55" s="89" t="s">
        <v>67</v>
      </c>
      <c r="E55" s="91">
        <v>36</v>
      </c>
      <c r="F55" s="92">
        <f>SUM(E55*3)</f>
        <v>108</v>
      </c>
      <c r="G55" s="13">
        <v>175.6</v>
      </c>
      <c r="H55" s="93">
        <f t="shared" si="7"/>
        <v>18.9648</v>
      </c>
      <c r="I55" s="13">
        <f>E55*G55</f>
        <v>6321.5999999999995</v>
      </c>
      <c r="J55" s="27"/>
      <c r="L55" s="21"/>
      <c r="M55" s="22"/>
      <c r="N55" s="23"/>
    </row>
    <row r="56" spans="1:14" ht="18.75" hidden="1" customHeight="1">
      <c r="A56" s="45">
        <v>14</v>
      </c>
      <c r="B56" s="89" t="s">
        <v>39</v>
      </c>
      <c r="C56" s="90" t="s">
        <v>106</v>
      </c>
      <c r="D56" s="89" t="s">
        <v>67</v>
      </c>
      <c r="E56" s="91">
        <v>36</v>
      </c>
      <c r="F56" s="92">
        <f>SUM(E56)*3</f>
        <v>108</v>
      </c>
      <c r="G56" s="13">
        <v>81.73</v>
      </c>
      <c r="H56" s="93">
        <f t="shared" si="7"/>
        <v>8.8268400000000007</v>
      </c>
      <c r="I56" s="13">
        <f>E56*G56</f>
        <v>2942.28</v>
      </c>
      <c r="J56" s="27"/>
      <c r="L56" s="21"/>
      <c r="M56" s="22"/>
      <c r="N56" s="23"/>
    </row>
    <row r="57" spans="1:14" ht="17.25" hidden="1" customHeight="1">
      <c r="A57" s="57"/>
      <c r="B57" s="52" t="s">
        <v>41</v>
      </c>
      <c r="C57" s="17"/>
      <c r="D57" s="16"/>
      <c r="E57" s="16"/>
      <c r="F57" s="16"/>
      <c r="G57" s="33"/>
      <c r="H57" s="33"/>
      <c r="I57" s="19"/>
      <c r="J57" s="27"/>
      <c r="L57" s="21"/>
      <c r="M57" s="22"/>
      <c r="N57" s="23"/>
    </row>
    <row r="58" spans="1:14" ht="48" hidden="1" customHeight="1">
      <c r="A58" s="45">
        <v>10</v>
      </c>
      <c r="B58" s="89" t="s">
        <v>152</v>
      </c>
      <c r="C58" s="90" t="s">
        <v>82</v>
      </c>
      <c r="D58" s="123">
        <v>43880</v>
      </c>
      <c r="E58" s="91">
        <v>71.02</v>
      </c>
      <c r="F58" s="92">
        <f>SUM(E58*6/100)</f>
        <v>4.2611999999999997</v>
      </c>
      <c r="G58" s="13">
        <v>2306.62</v>
      </c>
      <c r="H58" s="93">
        <f>SUM(F58*G58/1000)</f>
        <v>9.8289691439999984</v>
      </c>
      <c r="I58" s="13">
        <f>G58*0.09</f>
        <v>207.59579999999997</v>
      </c>
      <c r="J58" s="27"/>
      <c r="L58" s="21"/>
      <c r="M58" s="22"/>
      <c r="N58" s="23"/>
    </row>
    <row r="59" spans="1:14" ht="24.75" hidden="1" customHeight="1">
      <c r="A59" s="45"/>
      <c r="B59" s="89" t="s">
        <v>108</v>
      </c>
      <c r="C59" s="90" t="s">
        <v>153</v>
      </c>
      <c r="D59" s="89" t="s">
        <v>63</v>
      </c>
      <c r="E59" s="97"/>
      <c r="F59" s="92">
        <v>2</v>
      </c>
      <c r="G59" s="92">
        <v>1501</v>
      </c>
      <c r="H59" s="93">
        <f>SUM(F59*G59/1000)</f>
        <v>3.0019999999999998</v>
      </c>
      <c r="I59" s="13">
        <v>0</v>
      </c>
      <c r="J59" s="27"/>
      <c r="L59" s="21"/>
      <c r="M59" s="22"/>
      <c r="N59" s="23"/>
    </row>
    <row r="60" spans="1:14" ht="28.5" hidden="1" customHeight="1">
      <c r="A60" s="45"/>
      <c r="B60" s="76" t="s">
        <v>42</v>
      </c>
      <c r="C60" s="76"/>
      <c r="D60" s="76"/>
      <c r="E60" s="76"/>
      <c r="F60" s="76"/>
      <c r="G60" s="76"/>
      <c r="H60" s="76"/>
      <c r="I60" s="39"/>
      <c r="J60" s="27"/>
      <c r="L60" s="21"/>
      <c r="M60" s="22"/>
      <c r="N60" s="23"/>
    </row>
    <row r="61" spans="1:14" ht="32.25" hidden="1" customHeight="1">
      <c r="A61" s="45">
        <v>27</v>
      </c>
      <c r="B61" s="89" t="s">
        <v>154</v>
      </c>
      <c r="C61" s="90" t="s">
        <v>50</v>
      </c>
      <c r="D61" s="89" t="s">
        <v>51</v>
      </c>
      <c r="E61" s="91">
        <v>434.4</v>
      </c>
      <c r="F61" s="93">
        <f>SUM(E61/100)</f>
        <v>4.3439999999999994</v>
      </c>
      <c r="G61" s="13">
        <v>987.51</v>
      </c>
      <c r="H61" s="98">
        <f>F61*G61/1000</f>
        <v>4.2897434399999996</v>
      </c>
      <c r="I61" s="13">
        <v>0</v>
      </c>
      <c r="J61" s="27"/>
      <c r="L61" s="21"/>
      <c r="M61" s="22"/>
      <c r="N61" s="23"/>
    </row>
    <row r="62" spans="1:14" ht="27" hidden="1" customHeight="1">
      <c r="A62" s="45"/>
      <c r="B62" s="69" t="s">
        <v>125</v>
      </c>
      <c r="C62" s="44"/>
      <c r="D62" s="68"/>
      <c r="E62" s="67"/>
      <c r="F62" s="67"/>
      <c r="G62" s="40"/>
      <c r="H62" s="40"/>
      <c r="I62" s="20"/>
      <c r="J62" s="27"/>
      <c r="L62" s="21"/>
      <c r="M62" s="22"/>
      <c r="N62" s="23"/>
    </row>
    <row r="63" spans="1:14" ht="21" hidden="1" customHeight="1">
      <c r="A63" s="45"/>
      <c r="B63" s="89" t="s">
        <v>126</v>
      </c>
      <c r="C63" s="90" t="s">
        <v>106</v>
      </c>
      <c r="D63" s="41" t="s">
        <v>63</v>
      </c>
      <c r="E63" s="91">
        <v>1</v>
      </c>
      <c r="F63" s="92">
        <f>E63</f>
        <v>1</v>
      </c>
      <c r="G63" s="99">
        <v>323.38</v>
      </c>
      <c r="H63" s="93">
        <f t="shared" ref="H63" si="8">SUM(F63*G63/1000)</f>
        <v>0.32338</v>
      </c>
      <c r="I63" s="13">
        <v>0</v>
      </c>
      <c r="J63" s="27"/>
      <c r="L63" s="21"/>
      <c r="M63" s="22"/>
      <c r="N63" s="23"/>
    </row>
    <row r="64" spans="1:14" ht="15.75" hidden="1" customHeight="1">
      <c r="A64" s="45"/>
      <c r="B64" s="76" t="s">
        <v>43</v>
      </c>
      <c r="C64" s="17"/>
      <c r="D64" s="41"/>
      <c r="E64" s="16"/>
      <c r="F64" s="16"/>
      <c r="G64" s="33"/>
      <c r="H64" s="33"/>
      <c r="I64" s="19"/>
      <c r="J64" s="27"/>
      <c r="L64" s="21"/>
      <c r="M64" s="22"/>
      <c r="N64" s="23"/>
    </row>
    <row r="65" spans="1:21" ht="15.75" hidden="1" customHeight="1">
      <c r="A65" s="45">
        <v>13</v>
      </c>
      <c r="B65" s="15" t="s">
        <v>44</v>
      </c>
      <c r="C65" s="17" t="s">
        <v>106</v>
      </c>
      <c r="D65" s="41" t="s">
        <v>63</v>
      </c>
      <c r="E65" s="19">
        <v>10</v>
      </c>
      <c r="F65" s="92">
        <v>10</v>
      </c>
      <c r="G65" s="13">
        <v>276.74</v>
      </c>
      <c r="H65" s="100">
        <f t="shared" ref="H65:H72" si="9">SUM(F65*G65/1000)</f>
        <v>2.7674000000000003</v>
      </c>
      <c r="I65" s="13">
        <f>G65</f>
        <v>276.74</v>
      </c>
      <c r="J65" s="27"/>
      <c r="L65" s="21"/>
      <c r="M65" s="22"/>
      <c r="N65" s="23"/>
    </row>
    <row r="66" spans="1:21" ht="15.75" hidden="1" customHeight="1">
      <c r="A66" s="33">
        <v>29</v>
      </c>
      <c r="B66" s="15" t="s">
        <v>45</v>
      </c>
      <c r="C66" s="17" t="s">
        <v>106</v>
      </c>
      <c r="D66" s="41" t="s">
        <v>63</v>
      </c>
      <c r="E66" s="19">
        <v>3</v>
      </c>
      <c r="F66" s="92">
        <v>3</v>
      </c>
      <c r="G66" s="13">
        <v>94.89</v>
      </c>
      <c r="H66" s="100">
        <f t="shared" si="9"/>
        <v>0.28467000000000003</v>
      </c>
      <c r="I66" s="13">
        <v>0</v>
      </c>
      <c r="J66" s="27"/>
      <c r="L66" s="21"/>
      <c r="M66" s="22"/>
      <c r="N66" s="23"/>
    </row>
    <row r="67" spans="1:21" ht="15.75" hidden="1" customHeight="1">
      <c r="A67" s="33">
        <v>8</v>
      </c>
      <c r="B67" s="15" t="s">
        <v>46</v>
      </c>
      <c r="C67" s="17" t="s">
        <v>109</v>
      </c>
      <c r="D67" s="15" t="s">
        <v>51</v>
      </c>
      <c r="E67" s="91">
        <v>7265</v>
      </c>
      <c r="F67" s="13">
        <f>SUM(E67/100)</f>
        <v>72.650000000000006</v>
      </c>
      <c r="G67" s="13">
        <v>263.99</v>
      </c>
      <c r="H67" s="100">
        <f t="shared" si="9"/>
        <v>19.178873500000002</v>
      </c>
      <c r="I67" s="13">
        <v>0</v>
      </c>
      <c r="J67" s="27"/>
      <c r="L67" s="21"/>
      <c r="M67" s="22"/>
      <c r="N67" s="23"/>
    </row>
    <row r="68" spans="1:21" ht="15.75" hidden="1" customHeight="1">
      <c r="A68" s="33">
        <v>9</v>
      </c>
      <c r="B68" s="15" t="s">
        <v>47</v>
      </c>
      <c r="C68" s="17" t="s">
        <v>110</v>
      </c>
      <c r="D68" s="15" t="s">
        <v>51</v>
      </c>
      <c r="E68" s="91">
        <v>7265</v>
      </c>
      <c r="F68" s="13">
        <f>SUM(E68/1000)</f>
        <v>7.2649999999999997</v>
      </c>
      <c r="G68" s="13">
        <v>205.57</v>
      </c>
      <c r="H68" s="100">
        <f t="shared" si="9"/>
        <v>1.4934660500000001</v>
      </c>
      <c r="I68" s="13">
        <v>0</v>
      </c>
      <c r="J68" s="27"/>
      <c r="L68" s="21"/>
      <c r="M68" s="22"/>
      <c r="N68" s="23"/>
    </row>
    <row r="69" spans="1:21" ht="15.75" hidden="1" customHeight="1">
      <c r="A69" s="33">
        <v>10</v>
      </c>
      <c r="B69" s="15" t="s">
        <v>48</v>
      </c>
      <c r="C69" s="17" t="s">
        <v>73</v>
      </c>
      <c r="D69" s="15" t="s">
        <v>51</v>
      </c>
      <c r="E69" s="91">
        <v>1090</v>
      </c>
      <c r="F69" s="13">
        <f>SUM(E69/100)</f>
        <v>10.9</v>
      </c>
      <c r="G69" s="13">
        <v>2581.5300000000002</v>
      </c>
      <c r="H69" s="100">
        <f t="shared" si="9"/>
        <v>28.138677000000005</v>
      </c>
      <c r="I69" s="13">
        <v>0</v>
      </c>
      <c r="J69" s="27"/>
      <c r="L69" s="21"/>
    </row>
    <row r="70" spans="1:21" ht="15.75" hidden="1" customHeight="1">
      <c r="A70" s="33">
        <v>11</v>
      </c>
      <c r="B70" s="101" t="s">
        <v>111</v>
      </c>
      <c r="C70" s="17" t="s">
        <v>30</v>
      </c>
      <c r="D70" s="15"/>
      <c r="E70" s="91">
        <v>7.4</v>
      </c>
      <c r="F70" s="13">
        <f>SUM(E70)</f>
        <v>7.4</v>
      </c>
      <c r="G70" s="13">
        <v>47.45</v>
      </c>
      <c r="H70" s="100">
        <f t="shared" si="9"/>
        <v>0.35113000000000005</v>
      </c>
      <c r="I70" s="13">
        <v>0</v>
      </c>
    </row>
    <row r="71" spans="1:21" ht="15.75" hidden="1" customHeight="1">
      <c r="A71" s="33">
        <v>12</v>
      </c>
      <c r="B71" s="101" t="s">
        <v>155</v>
      </c>
      <c r="C71" s="17" t="s">
        <v>30</v>
      </c>
      <c r="D71" s="15"/>
      <c r="E71" s="91">
        <v>7.4</v>
      </c>
      <c r="F71" s="13">
        <f>SUM(E71)</f>
        <v>7.4</v>
      </c>
      <c r="G71" s="13">
        <v>44.27</v>
      </c>
      <c r="H71" s="100">
        <f t="shared" si="9"/>
        <v>0.327598</v>
      </c>
      <c r="I71" s="13">
        <v>0</v>
      </c>
    </row>
    <row r="72" spans="1:21" ht="15.75" hidden="1" customHeight="1">
      <c r="A72" s="33">
        <v>13</v>
      </c>
      <c r="B72" s="15" t="s">
        <v>54</v>
      </c>
      <c r="C72" s="17" t="s">
        <v>55</v>
      </c>
      <c r="D72" s="15" t="s">
        <v>51</v>
      </c>
      <c r="E72" s="19">
        <v>3</v>
      </c>
      <c r="F72" s="92">
        <f>SUM(E72)</f>
        <v>3</v>
      </c>
      <c r="G72" s="13">
        <v>62.07</v>
      </c>
      <c r="H72" s="100">
        <f t="shared" si="9"/>
        <v>0.18621000000000001</v>
      </c>
      <c r="I72" s="13">
        <v>0</v>
      </c>
    </row>
    <row r="73" spans="1:21" ht="15.75" hidden="1" customHeight="1">
      <c r="A73" s="57"/>
      <c r="B73" s="76" t="s">
        <v>112</v>
      </c>
      <c r="C73" s="76"/>
      <c r="D73" s="76"/>
      <c r="E73" s="76"/>
      <c r="F73" s="76"/>
      <c r="G73" s="76"/>
      <c r="H73" s="76"/>
      <c r="I73" s="19"/>
      <c r="J73" s="29"/>
      <c r="K73" s="29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ht="15.75" hidden="1" customHeight="1">
      <c r="A74" s="33">
        <v>14</v>
      </c>
      <c r="B74" s="102" t="s">
        <v>113</v>
      </c>
      <c r="C74" s="25"/>
      <c r="D74" s="24"/>
      <c r="E74" s="84"/>
      <c r="F74" s="103">
        <v>1</v>
      </c>
      <c r="G74" s="103">
        <v>12171.2</v>
      </c>
      <c r="H74" s="13">
        <f>G74*F74/1000</f>
        <v>12.171200000000001</v>
      </c>
      <c r="I74" s="13">
        <f>G74</f>
        <v>12171.2</v>
      </c>
      <c r="J74" s="3"/>
      <c r="K74" s="3"/>
      <c r="L74" s="3"/>
      <c r="M74" s="3"/>
      <c r="N74" s="3"/>
      <c r="O74" s="3"/>
      <c r="P74" s="3"/>
      <c r="Q74" s="3"/>
      <c r="S74" s="3"/>
      <c r="T74" s="3"/>
      <c r="U74" s="3"/>
    </row>
    <row r="75" spans="1:21" ht="15.75" hidden="1" customHeight="1">
      <c r="A75" s="33"/>
      <c r="B75" s="53" t="s">
        <v>68</v>
      </c>
      <c r="C75" s="53"/>
      <c r="D75" s="53"/>
      <c r="E75" s="19"/>
      <c r="F75" s="19"/>
      <c r="G75" s="33"/>
      <c r="H75" s="33"/>
      <c r="I75" s="19"/>
      <c r="J75" s="5"/>
      <c r="K75" s="5"/>
      <c r="L75" s="5"/>
      <c r="M75" s="5"/>
      <c r="N75" s="5"/>
      <c r="O75" s="5"/>
      <c r="P75" s="5"/>
      <c r="Q75" s="5"/>
      <c r="R75" s="168"/>
      <c r="S75" s="168"/>
      <c r="T75" s="168"/>
      <c r="U75" s="168"/>
    </row>
    <row r="76" spans="1:21" ht="15.75" hidden="1" customHeight="1">
      <c r="A76" s="33"/>
      <c r="B76" s="15" t="s">
        <v>127</v>
      </c>
      <c r="C76" s="17" t="s">
        <v>114</v>
      </c>
      <c r="D76" s="41" t="s">
        <v>63</v>
      </c>
      <c r="E76" s="19">
        <v>1</v>
      </c>
      <c r="F76" s="13">
        <f>E76</f>
        <v>1</v>
      </c>
      <c r="G76" s="13">
        <v>976.4</v>
      </c>
      <c r="H76" s="100">
        <f>F76*G76/1000</f>
        <v>0.97639999999999993</v>
      </c>
      <c r="I76" s="13">
        <v>0</v>
      </c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</row>
    <row r="77" spans="1:21" ht="15.75" hidden="1" customHeight="1">
      <c r="A77" s="33"/>
      <c r="B77" s="15" t="s">
        <v>115</v>
      </c>
      <c r="C77" s="17" t="s">
        <v>116</v>
      </c>
      <c r="D77" s="15"/>
      <c r="E77" s="19">
        <v>1</v>
      </c>
      <c r="F77" s="13">
        <v>1</v>
      </c>
      <c r="G77" s="13">
        <v>750</v>
      </c>
      <c r="H77" s="100">
        <f>F77*G77/1000</f>
        <v>0.75</v>
      </c>
      <c r="I77" s="13">
        <v>0</v>
      </c>
    </row>
    <row r="78" spans="1:21" ht="15.75" hidden="1" customHeight="1">
      <c r="A78" s="33"/>
      <c r="B78" s="15" t="s">
        <v>69</v>
      </c>
      <c r="C78" s="17" t="s">
        <v>71</v>
      </c>
      <c r="D78" s="41" t="s">
        <v>63</v>
      </c>
      <c r="E78" s="19">
        <v>3</v>
      </c>
      <c r="F78" s="13">
        <f>SUM(E78/100)</f>
        <v>0.03</v>
      </c>
      <c r="G78" s="13">
        <v>624.16999999999996</v>
      </c>
      <c r="H78" s="100">
        <f>F78*G78/1000</f>
        <v>1.8725099999999998E-2</v>
      </c>
      <c r="I78" s="13">
        <v>0</v>
      </c>
    </row>
    <row r="79" spans="1:21" ht="15.75" hidden="1" customHeight="1">
      <c r="A79" s="33"/>
      <c r="B79" s="15" t="s">
        <v>70</v>
      </c>
      <c r="C79" s="17" t="s">
        <v>28</v>
      </c>
      <c r="D79" s="41" t="s">
        <v>63</v>
      </c>
      <c r="E79" s="19">
        <v>1</v>
      </c>
      <c r="F79" s="13">
        <v>1</v>
      </c>
      <c r="G79" s="13">
        <v>1061.4100000000001</v>
      </c>
      <c r="H79" s="100">
        <f>F79*G79/1000</f>
        <v>1.0614100000000002</v>
      </c>
      <c r="I79" s="13">
        <v>0</v>
      </c>
    </row>
    <row r="80" spans="1:21" ht="15.75" hidden="1" customHeight="1">
      <c r="A80" s="33">
        <v>17</v>
      </c>
      <c r="B80" s="15" t="s">
        <v>128</v>
      </c>
      <c r="C80" s="17" t="s">
        <v>28</v>
      </c>
      <c r="D80" s="41" t="s">
        <v>63</v>
      </c>
      <c r="E80" s="19">
        <v>1</v>
      </c>
      <c r="F80" s="92">
        <f>SUM(E80)</f>
        <v>1</v>
      </c>
      <c r="G80" s="13">
        <v>446.12</v>
      </c>
      <c r="H80" s="100">
        <f t="shared" ref="H80" si="10">SUM(F80*G80/1000)</f>
        <v>0.44612000000000002</v>
      </c>
      <c r="I80" s="13">
        <v>0</v>
      </c>
    </row>
    <row r="81" spans="1:9" ht="15.75" hidden="1" customHeight="1">
      <c r="A81" s="33"/>
      <c r="B81" s="54" t="s">
        <v>72</v>
      </c>
      <c r="C81" s="42"/>
      <c r="D81" s="33"/>
      <c r="E81" s="19"/>
      <c r="F81" s="19"/>
      <c r="G81" s="40"/>
      <c r="H81" s="40"/>
      <c r="I81" s="19"/>
    </row>
    <row r="82" spans="1:9" ht="15.75" hidden="1" customHeight="1">
      <c r="A82" s="33">
        <v>39</v>
      </c>
      <c r="B82" s="56" t="s">
        <v>117</v>
      </c>
      <c r="C82" s="17" t="s">
        <v>73</v>
      </c>
      <c r="D82" s="15"/>
      <c r="E82" s="19"/>
      <c r="F82" s="13">
        <v>1.35</v>
      </c>
      <c r="G82" s="13">
        <v>3433.68</v>
      </c>
      <c r="H82" s="100">
        <f t="shared" ref="H82" si="11">SUM(F82*G82/1000)</f>
        <v>4.6354679999999995</v>
      </c>
      <c r="I82" s="13">
        <v>0</v>
      </c>
    </row>
    <row r="83" spans="1:9" ht="15.75" hidden="1" customHeight="1">
      <c r="A83" s="33"/>
      <c r="B83" s="76" t="s">
        <v>129</v>
      </c>
      <c r="C83" s="70"/>
      <c r="D83" s="35"/>
      <c r="E83" s="12"/>
      <c r="F83" s="12"/>
      <c r="G83" s="40"/>
      <c r="H83" s="40"/>
      <c r="I83" s="19"/>
    </row>
    <row r="84" spans="1:9" ht="31.5" hidden="1" customHeight="1">
      <c r="A84" s="33"/>
      <c r="B84" s="15" t="s">
        <v>130</v>
      </c>
      <c r="C84" s="17" t="s">
        <v>131</v>
      </c>
      <c r="D84" s="41" t="s">
        <v>63</v>
      </c>
      <c r="E84" s="19">
        <v>6</v>
      </c>
      <c r="F84" s="13">
        <f>E84</f>
        <v>6</v>
      </c>
      <c r="G84" s="13">
        <v>297.44</v>
      </c>
      <c r="H84" s="100">
        <f t="shared" ref="H84:H94" si="12">SUM(F84*G84/1000)</f>
        <v>1.7846399999999998</v>
      </c>
      <c r="I84" s="13">
        <v>0</v>
      </c>
    </row>
    <row r="85" spans="1:9" ht="15.75" hidden="1" customHeight="1">
      <c r="A85" s="33">
        <v>13</v>
      </c>
      <c r="B85" s="15" t="s">
        <v>132</v>
      </c>
      <c r="C85" s="17" t="s">
        <v>77</v>
      </c>
      <c r="D85" s="41"/>
      <c r="E85" s="19">
        <v>12</v>
      </c>
      <c r="F85" s="13">
        <f>E85</f>
        <v>12</v>
      </c>
      <c r="G85" s="13">
        <v>122.35</v>
      </c>
      <c r="H85" s="100">
        <f t="shared" si="12"/>
        <v>1.4681999999999997</v>
      </c>
      <c r="I85" s="13">
        <f>G85*6.5</f>
        <v>795.27499999999998</v>
      </c>
    </row>
    <row r="86" spans="1:9" ht="15.75" hidden="1" customHeight="1">
      <c r="A86" s="33"/>
      <c r="B86" s="15" t="s">
        <v>133</v>
      </c>
      <c r="C86" s="17" t="s">
        <v>134</v>
      </c>
      <c r="D86" s="41" t="s">
        <v>63</v>
      </c>
      <c r="E86" s="19">
        <v>9</v>
      </c>
      <c r="F86" s="13">
        <f>E86/3</f>
        <v>3</v>
      </c>
      <c r="G86" s="13">
        <v>1063.47</v>
      </c>
      <c r="H86" s="100">
        <f t="shared" si="12"/>
        <v>3.19041</v>
      </c>
      <c r="I86" s="13">
        <v>0</v>
      </c>
    </row>
    <row r="87" spans="1:9" ht="31.5" hidden="1" customHeight="1">
      <c r="A87" s="33"/>
      <c r="B87" s="15" t="s">
        <v>135</v>
      </c>
      <c r="C87" s="17" t="s">
        <v>136</v>
      </c>
      <c r="D87" s="41" t="s">
        <v>63</v>
      </c>
      <c r="E87" s="19">
        <v>10</v>
      </c>
      <c r="F87" s="13">
        <f>E87/10</f>
        <v>1</v>
      </c>
      <c r="G87" s="13">
        <v>297.99</v>
      </c>
      <c r="H87" s="100">
        <f t="shared" si="12"/>
        <v>0.29799000000000003</v>
      </c>
      <c r="I87" s="13">
        <v>0</v>
      </c>
    </row>
    <row r="88" spans="1:9" ht="31.5" hidden="1" customHeight="1">
      <c r="A88" s="33"/>
      <c r="B88" s="15" t="s">
        <v>137</v>
      </c>
      <c r="C88" s="17" t="s">
        <v>77</v>
      </c>
      <c r="D88" s="41" t="s">
        <v>63</v>
      </c>
      <c r="E88" s="19">
        <v>6</v>
      </c>
      <c r="F88" s="13">
        <f t="shared" ref="F88:F93" si="13">E88</f>
        <v>6</v>
      </c>
      <c r="G88" s="13">
        <v>1564.44</v>
      </c>
      <c r="H88" s="100">
        <f t="shared" si="12"/>
        <v>9.3866399999999999</v>
      </c>
      <c r="I88" s="13">
        <v>0</v>
      </c>
    </row>
    <row r="89" spans="1:9" ht="31.5" hidden="1" customHeight="1">
      <c r="A89" s="33"/>
      <c r="B89" s="15" t="s">
        <v>138</v>
      </c>
      <c r="C89" s="17" t="s">
        <v>77</v>
      </c>
      <c r="D89" s="41" t="s">
        <v>63</v>
      </c>
      <c r="E89" s="19">
        <v>6</v>
      </c>
      <c r="F89" s="13">
        <f t="shared" si="13"/>
        <v>6</v>
      </c>
      <c r="G89" s="13">
        <v>1906.89</v>
      </c>
      <c r="H89" s="100">
        <f t="shared" si="12"/>
        <v>11.44134</v>
      </c>
      <c r="I89" s="13">
        <v>0</v>
      </c>
    </row>
    <row r="90" spans="1:9" ht="31.5" hidden="1" customHeight="1">
      <c r="A90" s="33"/>
      <c r="B90" s="15" t="s">
        <v>139</v>
      </c>
      <c r="C90" s="17" t="s">
        <v>77</v>
      </c>
      <c r="D90" s="41" t="s">
        <v>63</v>
      </c>
      <c r="E90" s="19">
        <v>6</v>
      </c>
      <c r="F90" s="13">
        <f t="shared" si="13"/>
        <v>6</v>
      </c>
      <c r="G90" s="13">
        <v>664.35</v>
      </c>
      <c r="H90" s="100">
        <f t="shared" si="12"/>
        <v>3.9861000000000004</v>
      </c>
      <c r="I90" s="13">
        <v>0</v>
      </c>
    </row>
    <row r="91" spans="1:9" ht="31.5" hidden="1" customHeight="1">
      <c r="A91" s="33"/>
      <c r="B91" s="15" t="s">
        <v>140</v>
      </c>
      <c r="C91" s="17" t="s">
        <v>77</v>
      </c>
      <c r="D91" s="41" t="s">
        <v>63</v>
      </c>
      <c r="E91" s="19">
        <v>6</v>
      </c>
      <c r="F91" s="13">
        <f t="shared" si="13"/>
        <v>6</v>
      </c>
      <c r="G91" s="13">
        <v>778.85</v>
      </c>
      <c r="H91" s="100">
        <f t="shared" si="12"/>
        <v>4.6731000000000007</v>
      </c>
      <c r="I91" s="13">
        <v>0</v>
      </c>
    </row>
    <row r="92" spans="1:9" ht="15.75" hidden="1" customHeight="1">
      <c r="A92" s="33"/>
      <c r="B92" s="15" t="s">
        <v>141</v>
      </c>
      <c r="C92" s="17" t="s">
        <v>114</v>
      </c>
      <c r="D92" s="41" t="s">
        <v>63</v>
      </c>
      <c r="E92" s="19">
        <v>4</v>
      </c>
      <c r="F92" s="13">
        <f t="shared" si="13"/>
        <v>4</v>
      </c>
      <c r="G92" s="13">
        <v>498.11</v>
      </c>
      <c r="H92" s="100">
        <f t="shared" si="12"/>
        <v>1.99244</v>
      </c>
      <c r="I92" s="13">
        <v>0</v>
      </c>
    </row>
    <row r="93" spans="1:9" ht="31.5" hidden="1" customHeight="1">
      <c r="A93" s="33"/>
      <c r="B93" s="15" t="s">
        <v>142</v>
      </c>
      <c r="C93" s="17" t="s">
        <v>77</v>
      </c>
      <c r="D93" s="41" t="s">
        <v>63</v>
      </c>
      <c r="E93" s="19">
        <v>6</v>
      </c>
      <c r="F93" s="13">
        <f t="shared" si="13"/>
        <v>6</v>
      </c>
      <c r="G93" s="13">
        <v>1264.3399999999999</v>
      </c>
      <c r="H93" s="100">
        <f t="shared" si="12"/>
        <v>7.5860399999999988</v>
      </c>
      <c r="I93" s="13">
        <v>0</v>
      </c>
    </row>
    <row r="94" spans="1:9" ht="15.75" hidden="1" customHeight="1">
      <c r="A94" s="33"/>
      <c r="B94" s="15" t="s">
        <v>143</v>
      </c>
      <c r="C94" s="17" t="s">
        <v>27</v>
      </c>
      <c r="D94" s="15" t="s">
        <v>40</v>
      </c>
      <c r="E94" s="19">
        <v>823</v>
      </c>
      <c r="F94" s="13">
        <f>E94*2/1000</f>
        <v>1.6459999999999999</v>
      </c>
      <c r="G94" s="13">
        <v>1707.71</v>
      </c>
      <c r="H94" s="100">
        <f t="shared" si="12"/>
        <v>2.8108906600000001</v>
      </c>
      <c r="I94" s="13">
        <v>0</v>
      </c>
    </row>
    <row r="95" spans="1:9" ht="15.75" customHeight="1">
      <c r="A95" s="181" t="s">
        <v>161</v>
      </c>
      <c r="B95" s="182"/>
      <c r="C95" s="182"/>
      <c r="D95" s="182"/>
      <c r="E95" s="182"/>
      <c r="F95" s="182"/>
      <c r="G95" s="182"/>
      <c r="H95" s="182"/>
      <c r="I95" s="183"/>
    </row>
    <row r="96" spans="1:9" ht="15.75" customHeight="1">
      <c r="A96" s="33">
        <v>12</v>
      </c>
      <c r="B96" s="89" t="s">
        <v>118</v>
      </c>
      <c r="C96" s="17" t="s">
        <v>52</v>
      </c>
      <c r="D96" s="104"/>
      <c r="E96" s="13">
        <v>1832</v>
      </c>
      <c r="F96" s="13">
        <f>SUM(E96*12)</f>
        <v>21984</v>
      </c>
      <c r="G96" s="13">
        <v>2.95</v>
      </c>
      <c r="H96" s="100">
        <f>SUM(F96*G96/1000)</f>
        <v>64.852800000000002</v>
      </c>
      <c r="I96" s="13">
        <f>F96/12*G96</f>
        <v>5404.4000000000005</v>
      </c>
    </row>
    <row r="97" spans="1:9" ht="31.5" customHeight="1">
      <c r="A97" s="33">
        <v>13</v>
      </c>
      <c r="B97" s="15" t="s">
        <v>74</v>
      </c>
      <c r="C97" s="17" t="s">
        <v>156</v>
      </c>
      <c r="D97" s="104"/>
      <c r="E97" s="91">
        <v>1832</v>
      </c>
      <c r="F97" s="13">
        <f>E97*12</f>
        <v>21984</v>
      </c>
      <c r="G97" s="13">
        <v>3.05</v>
      </c>
      <c r="H97" s="100">
        <f>F97*G97/1000</f>
        <v>67.051199999999994</v>
      </c>
      <c r="I97" s="13">
        <f>F97/12*G97</f>
        <v>5587.5999999999995</v>
      </c>
    </row>
    <row r="98" spans="1:9" ht="15.75" customHeight="1">
      <c r="A98" s="57"/>
      <c r="B98" s="43" t="s">
        <v>76</v>
      </c>
      <c r="C98" s="45"/>
      <c r="D98" s="16"/>
      <c r="E98" s="16"/>
      <c r="F98" s="16"/>
      <c r="G98" s="19"/>
      <c r="H98" s="19"/>
      <c r="I98" s="36">
        <f>I97+I96+I51+I44+I43+I42+I41+I40+I39+I27+I18+I17+I16</f>
        <v>23939.483993333331</v>
      </c>
    </row>
    <row r="99" spans="1:9" ht="15.75" customHeight="1">
      <c r="A99" s="184" t="s">
        <v>57</v>
      </c>
      <c r="B99" s="185"/>
      <c r="C99" s="185"/>
      <c r="D99" s="185"/>
      <c r="E99" s="185"/>
      <c r="F99" s="185"/>
      <c r="G99" s="185"/>
      <c r="H99" s="185"/>
      <c r="I99" s="186"/>
    </row>
    <row r="100" spans="1:9" ht="15.75" customHeight="1">
      <c r="A100" s="105">
        <v>14</v>
      </c>
      <c r="B100" s="108" t="s">
        <v>172</v>
      </c>
      <c r="C100" s="109" t="s">
        <v>173</v>
      </c>
      <c r="D100" s="108"/>
      <c r="E100" s="110"/>
      <c r="F100" s="111">
        <v>24</v>
      </c>
      <c r="G100" s="112">
        <v>1.4</v>
      </c>
      <c r="H100" s="113">
        <f>F100*G100/1000</f>
        <v>3.3599999999999991E-2</v>
      </c>
      <c r="I100" s="114">
        <f>G100*12</f>
        <v>16.799999999999997</v>
      </c>
    </row>
    <row r="101" spans="1:9" ht="30.75" customHeight="1">
      <c r="A101" s="105">
        <v>15</v>
      </c>
      <c r="B101" s="41" t="s">
        <v>175</v>
      </c>
      <c r="C101" s="42" t="s">
        <v>93</v>
      </c>
      <c r="D101" s="15"/>
      <c r="E101" s="19"/>
      <c r="F101" s="13"/>
      <c r="G101" s="115">
        <v>21369.24</v>
      </c>
      <c r="H101" s="100"/>
      <c r="I101" s="106">
        <f>G101*0.599*8/1000</f>
        <v>102.40139807999999</v>
      </c>
    </row>
    <row r="102" spans="1:9" ht="15" customHeight="1">
      <c r="A102" s="105">
        <v>16</v>
      </c>
      <c r="B102" s="116" t="s">
        <v>202</v>
      </c>
      <c r="C102" s="117" t="s">
        <v>50</v>
      </c>
      <c r="D102" s="41"/>
      <c r="E102" s="18"/>
      <c r="F102" s="40">
        <v>0.15</v>
      </c>
      <c r="G102" s="40">
        <v>2399.1</v>
      </c>
      <c r="H102" s="100"/>
      <c r="I102" s="106">
        <f>G102*0.15</f>
        <v>359.86499999999995</v>
      </c>
    </row>
    <row r="103" spans="1:9" ht="15" customHeight="1">
      <c r="A103" s="105">
        <v>17</v>
      </c>
      <c r="B103" s="116" t="s">
        <v>192</v>
      </c>
      <c r="C103" s="117" t="s">
        <v>106</v>
      </c>
      <c r="D103" s="41" t="s">
        <v>203</v>
      </c>
      <c r="E103" s="18"/>
      <c r="F103" s="40">
        <v>1</v>
      </c>
      <c r="G103" s="40">
        <v>218.81</v>
      </c>
      <c r="H103" s="100"/>
      <c r="I103" s="106">
        <v>0</v>
      </c>
    </row>
    <row r="104" spans="1:9" ht="15.75" customHeight="1">
      <c r="A104" s="33"/>
      <c r="B104" s="50" t="s">
        <v>49</v>
      </c>
      <c r="C104" s="46"/>
      <c r="D104" s="58"/>
      <c r="E104" s="46">
        <v>1</v>
      </c>
      <c r="F104" s="46"/>
      <c r="G104" s="46"/>
      <c r="H104" s="46"/>
      <c r="I104" s="36">
        <f>SUM(I100:I103)</f>
        <v>479.06639807999994</v>
      </c>
    </row>
    <row r="105" spans="1:9" ht="15.75" customHeight="1">
      <c r="A105" s="33"/>
      <c r="B105" s="56" t="s">
        <v>75</v>
      </c>
      <c r="C105" s="16"/>
      <c r="D105" s="16"/>
      <c r="E105" s="47"/>
      <c r="F105" s="47"/>
      <c r="G105" s="48"/>
      <c r="H105" s="48"/>
      <c r="I105" s="18">
        <v>0</v>
      </c>
    </row>
    <row r="106" spans="1:9" ht="15.75" customHeight="1">
      <c r="A106" s="59"/>
      <c r="B106" s="51" t="s">
        <v>157</v>
      </c>
      <c r="C106" s="38"/>
      <c r="D106" s="38"/>
      <c r="E106" s="38"/>
      <c r="F106" s="38"/>
      <c r="G106" s="38"/>
      <c r="H106" s="38"/>
      <c r="I106" s="49">
        <f>I98+I104</f>
        <v>24418.55039141333</v>
      </c>
    </row>
    <row r="107" spans="1:9" ht="15.75" customHeight="1">
      <c r="A107" s="173" t="s">
        <v>204</v>
      </c>
      <c r="B107" s="173"/>
      <c r="C107" s="173"/>
      <c r="D107" s="173"/>
      <c r="E107" s="173"/>
      <c r="F107" s="173"/>
      <c r="G107" s="173"/>
      <c r="H107" s="173"/>
      <c r="I107" s="173"/>
    </row>
    <row r="108" spans="1:9" ht="15.75" customHeight="1">
      <c r="A108" s="77"/>
      <c r="B108" s="187" t="s">
        <v>205</v>
      </c>
      <c r="C108" s="187"/>
      <c r="D108" s="187"/>
      <c r="E108" s="187"/>
      <c r="F108" s="187"/>
      <c r="G108" s="187"/>
      <c r="H108" s="87"/>
      <c r="I108" s="3"/>
    </row>
    <row r="109" spans="1:9" ht="15.75" customHeight="1">
      <c r="A109" s="71"/>
      <c r="B109" s="161" t="s">
        <v>6</v>
      </c>
      <c r="C109" s="161"/>
      <c r="D109" s="161"/>
      <c r="E109" s="161"/>
      <c r="F109" s="161"/>
      <c r="G109" s="161"/>
      <c r="H109" s="28"/>
      <c r="I109" s="5"/>
    </row>
    <row r="110" spans="1:9" ht="15.75" customHeight="1">
      <c r="A110" s="9"/>
      <c r="B110" s="9"/>
      <c r="C110" s="9"/>
      <c r="D110" s="9"/>
      <c r="E110" s="9"/>
      <c r="F110" s="9"/>
      <c r="G110" s="9"/>
      <c r="H110" s="9"/>
      <c r="I110" s="9"/>
    </row>
    <row r="111" spans="1:9" ht="15.75" customHeight="1">
      <c r="A111" s="162" t="s">
        <v>7</v>
      </c>
      <c r="B111" s="162"/>
      <c r="C111" s="162"/>
      <c r="D111" s="162"/>
      <c r="E111" s="162"/>
      <c r="F111" s="162"/>
      <c r="G111" s="162"/>
      <c r="H111" s="162"/>
      <c r="I111" s="162"/>
    </row>
    <row r="112" spans="1:9" ht="15.75" customHeight="1">
      <c r="A112" s="162" t="s">
        <v>8</v>
      </c>
      <c r="B112" s="162"/>
      <c r="C112" s="162"/>
      <c r="D112" s="162"/>
      <c r="E112" s="162"/>
      <c r="F112" s="162"/>
      <c r="G112" s="162"/>
      <c r="H112" s="162"/>
      <c r="I112" s="162"/>
    </row>
    <row r="113" spans="1:9" ht="15.75" customHeight="1">
      <c r="A113" s="163" t="s">
        <v>58</v>
      </c>
      <c r="B113" s="163"/>
      <c r="C113" s="163"/>
      <c r="D113" s="163"/>
      <c r="E113" s="163"/>
      <c r="F113" s="163"/>
      <c r="G113" s="163"/>
      <c r="H113" s="163"/>
      <c r="I113" s="163"/>
    </row>
    <row r="114" spans="1:9" ht="15.75" customHeight="1">
      <c r="A114" s="10"/>
    </row>
    <row r="115" spans="1:9" ht="15.75" customHeight="1">
      <c r="A115" s="164" t="s">
        <v>9</v>
      </c>
      <c r="B115" s="164"/>
      <c r="C115" s="164"/>
      <c r="D115" s="164"/>
      <c r="E115" s="164"/>
      <c r="F115" s="164"/>
      <c r="G115" s="164"/>
      <c r="H115" s="164"/>
      <c r="I115" s="164"/>
    </row>
    <row r="116" spans="1:9" ht="15.75" customHeight="1">
      <c r="A116" s="4"/>
    </row>
    <row r="117" spans="1:9" ht="15.75" customHeight="1">
      <c r="B117" s="74" t="s">
        <v>10</v>
      </c>
      <c r="C117" s="165" t="s">
        <v>195</v>
      </c>
      <c r="D117" s="165"/>
      <c r="E117" s="165"/>
      <c r="F117" s="85"/>
      <c r="I117" s="73"/>
    </row>
    <row r="118" spans="1:9" ht="15.75" customHeight="1">
      <c r="A118" s="71"/>
      <c r="C118" s="161" t="s">
        <v>11</v>
      </c>
      <c r="D118" s="161"/>
      <c r="E118" s="161"/>
      <c r="F118" s="28"/>
      <c r="I118" s="72" t="s">
        <v>12</v>
      </c>
    </row>
    <row r="119" spans="1:9" ht="15.75" customHeight="1">
      <c r="A119" s="29"/>
      <c r="C119" s="11"/>
      <c r="D119" s="11"/>
      <c r="G119" s="11"/>
      <c r="H119" s="11"/>
    </row>
    <row r="120" spans="1:9" ht="15.75" customHeight="1">
      <c r="B120" s="74" t="s">
        <v>13</v>
      </c>
      <c r="C120" s="166"/>
      <c r="D120" s="166"/>
      <c r="E120" s="166"/>
      <c r="F120" s="86"/>
      <c r="I120" s="73"/>
    </row>
    <row r="121" spans="1:9" ht="15.75" customHeight="1">
      <c r="A121" s="71"/>
      <c r="C121" s="168" t="s">
        <v>11</v>
      </c>
      <c r="D121" s="168"/>
      <c r="E121" s="168"/>
      <c r="F121" s="71"/>
      <c r="I121" s="72" t="s">
        <v>12</v>
      </c>
    </row>
    <row r="122" spans="1:9" ht="15.75" customHeight="1">
      <c r="A122" s="4" t="s">
        <v>14</v>
      </c>
    </row>
    <row r="123" spans="1:9" ht="15.75" customHeight="1">
      <c r="A123" s="169" t="s">
        <v>15</v>
      </c>
      <c r="B123" s="169"/>
      <c r="C123" s="169"/>
      <c r="D123" s="169"/>
      <c r="E123" s="169"/>
      <c r="F123" s="169"/>
      <c r="G123" s="169"/>
      <c r="H123" s="169"/>
      <c r="I123" s="169"/>
    </row>
    <row r="124" spans="1:9" ht="45" customHeight="1">
      <c r="A124" s="167" t="s">
        <v>16</v>
      </c>
      <c r="B124" s="167"/>
      <c r="C124" s="167"/>
      <c r="D124" s="167"/>
      <c r="E124" s="167"/>
      <c r="F124" s="167"/>
      <c r="G124" s="167"/>
      <c r="H124" s="167"/>
      <c r="I124" s="167"/>
    </row>
    <row r="125" spans="1:9" ht="30" customHeight="1">
      <c r="A125" s="167" t="s">
        <v>17</v>
      </c>
      <c r="B125" s="167"/>
      <c r="C125" s="167"/>
      <c r="D125" s="167"/>
      <c r="E125" s="167"/>
      <c r="F125" s="167"/>
      <c r="G125" s="167"/>
      <c r="H125" s="167"/>
      <c r="I125" s="167"/>
    </row>
    <row r="126" spans="1:9" ht="30" customHeight="1">
      <c r="A126" s="167" t="s">
        <v>21</v>
      </c>
      <c r="B126" s="167"/>
      <c r="C126" s="167"/>
      <c r="D126" s="167"/>
      <c r="E126" s="167"/>
      <c r="F126" s="167"/>
      <c r="G126" s="167"/>
      <c r="H126" s="167"/>
      <c r="I126" s="167"/>
    </row>
    <row r="127" spans="1:9" ht="15" customHeight="1">
      <c r="A127" s="167" t="s">
        <v>20</v>
      </c>
      <c r="B127" s="167"/>
      <c r="C127" s="167"/>
      <c r="D127" s="167"/>
      <c r="E127" s="167"/>
      <c r="F127" s="167"/>
      <c r="G127" s="167"/>
      <c r="H127" s="167"/>
      <c r="I127" s="167"/>
    </row>
  </sheetData>
  <autoFilter ref="I12:I71"/>
  <mergeCells count="28">
    <mergeCell ref="A14:I14"/>
    <mergeCell ref="A15:I15"/>
    <mergeCell ref="A29:I29"/>
    <mergeCell ref="A45:I45"/>
    <mergeCell ref="A3:I3"/>
    <mergeCell ref="A4:I4"/>
    <mergeCell ref="A5:I5"/>
    <mergeCell ref="A8:I8"/>
    <mergeCell ref="A10:I10"/>
    <mergeCell ref="R75:U75"/>
    <mergeCell ref="C121:E121"/>
    <mergeCell ref="A99:I99"/>
    <mergeCell ref="A107:I107"/>
    <mergeCell ref="B108:G108"/>
    <mergeCell ref="B109:G109"/>
    <mergeCell ref="A111:I111"/>
    <mergeCell ref="A112:I112"/>
    <mergeCell ref="A113:I113"/>
    <mergeCell ref="A115:I115"/>
    <mergeCell ref="C117:E117"/>
    <mergeCell ref="C118:E118"/>
    <mergeCell ref="C120:E120"/>
    <mergeCell ref="A95:I95"/>
    <mergeCell ref="A123:I123"/>
    <mergeCell ref="A124:I124"/>
    <mergeCell ref="A125:I125"/>
    <mergeCell ref="A126:I126"/>
    <mergeCell ref="A127:I127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U125"/>
  <sheetViews>
    <sheetView topLeftCell="A56" workbookViewId="0">
      <selection activeCell="G101" sqref="G10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1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174</v>
      </c>
      <c r="I1" s="30"/>
      <c r="J1" s="1"/>
      <c r="K1" s="1"/>
      <c r="L1" s="1"/>
      <c r="M1" s="1"/>
    </row>
    <row r="2" spans="1:13" ht="15.75" customHeight="1">
      <c r="A2" s="32" t="s">
        <v>59</v>
      </c>
      <c r="J2" s="2"/>
      <c r="K2" s="2"/>
      <c r="L2" s="2"/>
      <c r="M2" s="2"/>
    </row>
    <row r="3" spans="1:13" ht="15.75" customHeight="1">
      <c r="A3" s="174" t="s">
        <v>159</v>
      </c>
      <c r="B3" s="174"/>
      <c r="C3" s="174"/>
      <c r="D3" s="174"/>
      <c r="E3" s="174"/>
      <c r="F3" s="174"/>
      <c r="G3" s="174"/>
      <c r="H3" s="174"/>
      <c r="I3" s="174"/>
      <c r="J3" s="3"/>
      <c r="K3" s="3"/>
      <c r="L3" s="3"/>
    </row>
    <row r="4" spans="1:13" ht="31.5" customHeight="1">
      <c r="A4" s="175" t="s">
        <v>119</v>
      </c>
      <c r="B4" s="175"/>
      <c r="C4" s="175"/>
      <c r="D4" s="175"/>
      <c r="E4" s="175"/>
      <c r="F4" s="175"/>
      <c r="G4" s="175"/>
      <c r="H4" s="175"/>
      <c r="I4" s="175"/>
    </row>
    <row r="5" spans="1:13" ht="15.75" customHeight="1">
      <c r="A5" s="174" t="s">
        <v>206</v>
      </c>
      <c r="B5" s="178"/>
      <c r="C5" s="178"/>
      <c r="D5" s="178"/>
      <c r="E5" s="178"/>
      <c r="F5" s="178"/>
      <c r="G5" s="178"/>
      <c r="H5" s="178"/>
      <c r="I5" s="178"/>
      <c r="J5" s="2"/>
      <c r="K5" s="2"/>
      <c r="L5" s="2"/>
      <c r="M5" s="2"/>
    </row>
    <row r="6" spans="1:13" ht="15.75" customHeight="1">
      <c r="A6" s="2"/>
      <c r="B6" s="75"/>
      <c r="C6" s="75"/>
      <c r="D6" s="75"/>
      <c r="E6" s="75"/>
      <c r="F6" s="75"/>
      <c r="G6" s="75"/>
      <c r="H6" s="75"/>
      <c r="I6" s="34">
        <v>44286</v>
      </c>
      <c r="J6" s="2"/>
      <c r="K6" s="2"/>
      <c r="L6" s="2"/>
      <c r="M6" s="2"/>
    </row>
    <row r="7" spans="1:13" ht="15.75" customHeight="1">
      <c r="B7" s="74"/>
      <c r="C7" s="74"/>
      <c r="D7" s="74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76" t="s">
        <v>194</v>
      </c>
      <c r="B8" s="176"/>
      <c r="C8" s="176"/>
      <c r="D8" s="176"/>
      <c r="E8" s="176"/>
      <c r="F8" s="176"/>
      <c r="G8" s="176"/>
      <c r="H8" s="176"/>
      <c r="I8" s="17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77" t="s">
        <v>144</v>
      </c>
      <c r="B10" s="177"/>
      <c r="C10" s="177"/>
      <c r="D10" s="177"/>
      <c r="E10" s="177"/>
      <c r="F10" s="177"/>
      <c r="G10" s="177"/>
      <c r="H10" s="177"/>
      <c r="I10" s="177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79" t="s">
        <v>56</v>
      </c>
      <c r="B14" s="179"/>
      <c r="C14" s="179"/>
      <c r="D14" s="179"/>
      <c r="E14" s="179"/>
      <c r="F14" s="179"/>
      <c r="G14" s="179"/>
      <c r="H14" s="179"/>
      <c r="I14" s="179"/>
      <c r="J14" s="8"/>
      <c r="K14" s="8"/>
      <c r="L14" s="8"/>
      <c r="M14" s="8"/>
    </row>
    <row r="15" spans="1:13" ht="15.75" customHeight="1">
      <c r="A15" s="180" t="s">
        <v>4</v>
      </c>
      <c r="B15" s="180"/>
      <c r="C15" s="180"/>
      <c r="D15" s="180"/>
      <c r="E15" s="180"/>
      <c r="F15" s="180"/>
      <c r="G15" s="180"/>
      <c r="H15" s="180"/>
      <c r="I15" s="180"/>
      <c r="J15" s="8"/>
      <c r="K15" s="8"/>
      <c r="L15" s="8"/>
      <c r="M15" s="8"/>
    </row>
    <row r="16" spans="1:13" ht="15.75" customHeight="1">
      <c r="A16" s="33">
        <v>1</v>
      </c>
      <c r="B16" s="89" t="s">
        <v>81</v>
      </c>
      <c r="C16" s="90" t="s">
        <v>82</v>
      </c>
      <c r="D16" s="89" t="s">
        <v>178</v>
      </c>
      <c r="E16" s="91">
        <v>53.8</v>
      </c>
      <c r="F16" s="92">
        <f>SUM(E16*156/100)</f>
        <v>83.927999999999997</v>
      </c>
      <c r="G16" s="92">
        <v>218.21</v>
      </c>
      <c r="H16" s="93">
        <f t="shared" ref="H16:H26" si="0">SUM(F16*G16/1000)</f>
        <v>18.313928879999999</v>
      </c>
      <c r="I16" s="13">
        <f>F16/12*G16</f>
        <v>1526.16074</v>
      </c>
      <c r="J16" s="8"/>
      <c r="K16" s="8"/>
      <c r="L16" s="8"/>
      <c r="M16" s="8"/>
    </row>
    <row r="17" spans="1:13" ht="15.75" customHeight="1">
      <c r="A17" s="33">
        <v>2</v>
      </c>
      <c r="B17" s="89" t="s">
        <v>120</v>
      </c>
      <c r="C17" s="90" t="s">
        <v>82</v>
      </c>
      <c r="D17" s="89" t="s">
        <v>179</v>
      </c>
      <c r="E17" s="91">
        <v>107.6</v>
      </c>
      <c r="F17" s="92">
        <f>SUM(E17*104/100)</f>
        <v>111.904</v>
      </c>
      <c r="G17" s="92">
        <v>218.21</v>
      </c>
      <c r="H17" s="93">
        <f t="shared" si="0"/>
        <v>24.418571840000002</v>
      </c>
      <c r="I17" s="13">
        <f>F17/12*G17</f>
        <v>2034.8809866666668</v>
      </c>
      <c r="J17" s="26"/>
      <c r="K17" s="8"/>
      <c r="L17" s="8"/>
      <c r="M17" s="8"/>
    </row>
    <row r="18" spans="1:13" ht="15.75" customHeight="1">
      <c r="A18" s="33">
        <v>3</v>
      </c>
      <c r="B18" s="89" t="s">
        <v>83</v>
      </c>
      <c r="C18" s="90" t="s">
        <v>82</v>
      </c>
      <c r="D18" s="89" t="s">
        <v>180</v>
      </c>
      <c r="E18" s="91">
        <f>SUM(E16+E17)</f>
        <v>161.39999999999998</v>
      </c>
      <c r="F18" s="92">
        <f>SUM(E18*24/100)</f>
        <v>38.735999999999997</v>
      </c>
      <c r="G18" s="92">
        <v>627.77</v>
      </c>
      <c r="H18" s="93">
        <f t="shared" si="0"/>
        <v>24.31729872</v>
      </c>
      <c r="I18" s="13">
        <f>F18/12*G18</f>
        <v>2026.4415599999998</v>
      </c>
      <c r="J18" s="26"/>
      <c r="K18" s="8"/>
      <c r="L18" s="8"/>
      <c r="M18" s="8"/>
    </row>
    <row r="19" spans="1:13" ht="15.75" hidden="1" customHeight="1">
      <c r="A19" s="33"/>
      <c r="B19" s="89" t="s">
        <v>84</v>
      </c>
      <c r="C19" s="90" t="s">
        <v>85</v>
      </c>
      <c r="D19" s="89" t="s">
        <v>86</v>
      </c>
      <c r="E19" s="91">
        <v>15.3</v>
      </c>
      <c r="F19" s="92">
        <f>SUM(E19/10)</f>
        <v>1.53</v>
      </c>
      <c r="G19" s="92">
        <v>211.74</v>
      </c>
      <c r="H19" s="93">
        <f t="shared" si="0"/>
        <v>0.32396219999999998</v>
      </c>
      <c r="I19" s="13">
        <v>0</v>
      </c>
      <c r="J19" s="26"/>
      <c r="K19" s="8"/>
      <c r="L19" s="8"/>
      <c r="M19" s="8"/>
    </row>
    <row r="20" spans="1:13" ht="15.75" hidden="1" customHeight="1">
      <c r="A20" s="33">
        <v>4</v>
      </c>
      <c r="B20" s="89" t="s">
        <v>91</v>
      </c>
      <c r="C20" s="90" t="s">
        <v>50</v>
      </c>
      <c r="D20" s="89" t="s">
        <v>121</v>
      </c>
      <c r="E20" s="91">
        <v>4.5</v>
      </c>
      <c r="F20" s="92">
        <f>E20/100</f>
        <v>4.4999999999999998E-2</v>
      </c>
      <c r="G20" s="92">
        <v>484.94</v>
      </c>
      <c r="H20" s="93">
        <f>SUM(F20*G20/1000)</f>
        <v>2.1822299999999999E-2</v>
      </c>
      <c r="I20" s="13">
        <v>0</v>
      </c>
      <c r="J20" s="26"/>
      <c r="K20" s="8"/>
      <c r="L20" s="8"/>
      <c r="M20" s="8"/>
    </row>
    <row r="21" spans="1:13" ht="15.75" hidden="1" customHeight="1">
      <c r="A21" s="33">
        <v>5</v>
      </c>
      <c r="B21" s="89" t="s">
        <v>87</v>
      </c>
      <c r="C21" s="90" t="s">
        <v>82</v>
      </c>
      <c r="D21" s="89" t="s">
        <v>40</v>
      </c>
      <c r="E21" s="91">
        <v>19.62</v>
      </c>
      <c r="F21" s="92">
        <f>SUM(E21*2/100)</f>
        <v>0.39240000000000003</v>
      </c>
      <c r="G21" s="92">
        <v>271.12</v>
      </c>
      <c r="H21" s="93">
        <f t="shared" si="0"/>
        <v>0.106387488</v>
      </c>
      <c r="I21" s="13">
        <v>0</v>
      </c>
      <c r="J21" s="26"/>
      <c r="K21" s="8"/>
      <c r="L21" s="8"/>
      <c r="M21" s="8"/>
    </row>
    <row r="22" spans="1:13" ht="15.75" hidden="1" customHeight="1">
      <c r="A22" s="33"/>
      <c r="B22" s="89" t="s">
        <v>88</v>
      </c>
      <c r="C22" s="90" t="s">
        <v>82</v>
      </c>
      <c r="D22" s="89" t="s">
        <v>40</v>
      </c>
      <c r="E22" s="91">
        <v>8.68</v>
      </c>
      <c r="F22" s="92">
        <f>SUM(E22*2/100)</f>
        <v>0.1736</v>
      </c>
      <c r="G22" s="92">
        <v>268.92</v>
      </c>
      <c r="H22" s="93">
        <f t="shared" si="0"/>
        <v>4.6684512000000004E-2</v>
      </c>
      <c r="I22" s="13">
        <v>0</v>
      </c>
      <c r="J22" s="26"/>
      <c r="K22" s="8"/>
      <c r="L22" s="8"/>
      <c r="M22" s="8"/>
    </row>
    <row r="23" spans="1:13" ht="15.75" hidden="1" customHeight="1">
      <c r="A23" s="33"/>
      <c r="B23" s="89" t="s">
        <v>89</v>
      </c>
      <c r="C23" s="90" t="s">
        <v>50</v>
      </c>
      <c r="D23" s="89" t="s">
        <v>86</v>
      </c>
      <c r="E23" s="91">
        <v>215</v>
      </c>
      <c r="F23" s="92">
        <f>SUM(E23/100)</f>
        <v>2.15</v>
      </c>
      <c r="G23" s="92">
        <v>335.05</v>
      </c>
      <c r="H23" s="93">
        <f t="shared" si="0"/>
        <v>0.72035749999999998</v>
      </c>
      <c r="I23" s="13">
        <v>0</v>
      </c>
      <c r="J23" s="26"/>
      <c r="K23" s="8"/>
      <c r="L23" s="8"/>
      <c r="M23" s="8"/>
    </row>
    <row r="24" spans="1:13" ht="15.75" hidden="1" customHeight="1">
      <c r="A24" s="33"/>
      <c r="B24" s="89" t="s">
        <v>90</v>
      </c>
      <c r="C24" s="90" t="s">
        <v>50</v>
      </c>
      <c r="D24" s="89" t="s">
        <v>86</v>
      </c>
      <c r="E24" s="94">
        <v>17.64</v>
      </c>
      <c r="F24" s="92">
        <f>SUM(E24/100)</f>
        <v>0.1764</v>
      </c>
      <c r="G24" s="92">
        <v>55.1</v>
      </c>
      <c r="H24" s="93">
        <f t="shared" si="0"/>
        <v>9.7196399999999999E-3</v>
      </c>
      <c r="I24" s="13">
        <v>0</v>
      </c>
      <c r="J24" s="26"/>
      <c r="K24" s="8"/>
      <c r="L24" s="8"/>
      <c r="M24" s="8"/>
    </row>
    <row r="25" spans="1:13" ht="15.75" hidden="1" customHeight="1">
      <c r="A25" s="45">
        <v>6</v>
      </c>
      <c r="B25" s="89" t="s">
        <v>92</v>
      </c>
      <c r="C25" s="90" t="s">
        <v>50</v>
      </c>
      <c r="D25" s="89" t="s">
        <v>86</v>
      </c>
      <c r="E25" s="91">
        <v>14.4</v>
      </c>
      <c r="F25" s="92">
        <f>SUM(E25/100)</f>
        <v>0.14400000000000002</v>
      </c>
      <c r="G25" s="92">
        <v>648.04999999999995</v>
      </c>
      <c r="H25" s="93">
        <f>SUM(F25*G25/1000)</f>
        <v>9.3319200000000005E-2</v>
      </c>
      <c r="I25" s="13">
        <v>0</v>
      </c>
      <c r="J25" s="26"/>
      <c r="K25" s="8"/>
      <c r="L25" s="8"/>
      <c r="M25" s="8"/>
    </row>
    <row r="26" spans="1:13" ht="15.75" hidden="1" customHeight="1">
      <c r="A26" s="45"/>
      <c r="B26" s="89" t="s">
        <v>122</v>
      </c>
      <c r="C26" s="90" t="s">
        <v>50</v>
      </c>
      <c r="D26" s="89" t="s">
        <v>51</v>
      </c>
      <c r="E26" s="91">
        <v>9.4499999999999993</v>
      </c>
      <c r="F26" s="92">
        <v>0.09</v>
      </c>
      <c r="G26" s="92">
        <v>268.92</v>
      </c>
      <c r="H26" s="93">
        <f t="shared" si="0"/>
        <v>2.42028E-2</v>
      </c>
      <c r="I26" s="13">
        <v>0</v>
      </c>
      <c r="J26" s="26"/>
      <c r="K26" s="8"/>
      <c r="L26" s="8"/>
      <c r="M26" s="8"/>
    </row>
    <row r="27" spans="1:13" ht="15.75" hidden="1" customHeight="1">
      <c r="A27" s="45">
        <v>4</v>
      </c>
      <c r="B27" s="89" t="s">
        <v>177</v>
      </c>
      <c r="C27" s="44" t="s">
        <v>173</v>
      </c>
      <c r="D27" s="120" t="s">
        <v>181</v>
      </c>
      <c r="E27" s="121">
        <v>2.5099999999999998</v>
      </c>
      <c r="F27" s="122">
        <f>E27*258</f>
        <v>647.57999999999993</v>
      </c>
      <c r="G27" s="122">
        <v>10.39</v>
      </c>
      <c r="H27" s="93">
        <f t="shared" ref="H27" si="1">SUM(F27*G27/1000)</f>
        <v>6.7283561999999995</v>
      </c>
      <c r="I27" s="13">
        <f>F27/12*G27</f>
        <v>560.69634999999994</v>
      </c>
      <c r="J27" s="26"/>
      <c r="K27" s="8"/>
      <c r="L27" s="8"/>
      <c r="M27" s="8"/>
    </row>
    <row r="28" spans="1:13" ht="15.75" customHeight="1">
      <c r="A28" s="180" t="s">
        <v>79</v>
      </c>
      <c r="B28" s="180"/>
      <c r="C28" s="180"/>
      <c r="D28" s="180"/>
      <c r="E28" s="180"/>
      <c r="F28" s="180"/>
      <c r="G28" s="180"/>
      <c r="H28" s="180"/>
      <c r="I28" s="180"/>
      <c r="J28" s="26"/>
      <c r="K28" s="8"/>
      <c r="L28" s="8"/>
      <c r="M28" s="8"/>
    </row>
    <row r="29" spans="1:13" ht="15.75" hidden="1" customHeight="1">
      <c r="A29" s="45"/>
      <c r="B29" s="55" t="s">
        <v>26</v>
      </c>
      <c r="C29" s="55"/>
      <c r="D29" s="55"/>
      <c r="E29" s="55"/>
      <c r="F29" s="55"/>
      <c r="G29" s="55"/>
      <c r="H29" s="55"/>
      <c r="I29" s="19"/>
      <c r="J29" s="26"/>
      <c r="K29" s="8"/>
      <c r="L29" s="8"/>
      <c r="M29" s="8"/>
    </row>
    <row r="30" spans="1:13" ht="15.75" hidden="1" customHeight="1">
      <c r="A30" s="45">
        <v>2</v>
      </c>
      <c r="B30" s="89" t="s">
        <v>150</v>
      </c>
      <c r="C30" s="90" t="s">
        <v>93</v>
      </c>
      <c r="D30" s="89" t="s">
        <v>94</v>
      </c>
      <c r="E30" s="92">
        <v>306.55</v>
      </c>
      <c r="F30" s="92">
        <f>SUM(E30*52/1000)</f>
        <v>15.9406</v>
      </c>
      <c r="G30" s="92">
        <v>193.97</v>
      </c>
      <c r="H30" s="93">
        <f t="shared" ref="H30:H36" si="2">SUM(F30*G30/1000)</f>
        <v>3.0919981819999998</v>
      </c>
      <c r="I30" s="13">
        <f>F30/6*G30</f>
        <v>515.33303033333334</v>
      </c>
      <c r="J30" s="26"/>
      <c r="K30" s="8"/>
      <c r="L30" s="8"/>
      <c r="M30" s="8"/>
    </row>
    <row r="31" spans="1:13" ht="31.5" hidden="1" customHeight="1">
      <c r="A31" s="45">
        <v>3</v>
      </c>
      <c r="B31" s="89" t="s">
        <v>95</v>
      </c>
      <c r="C31" s="90" t="s">
        <v>93</v>
      </c>
      <c r="D31" s="89" t="s">
        <v>96</v>
      </c>
      <c r="E31" s="92">
        <v>42.5</v>
      </c>
      <c r="F31" s="92">
        <f>SUM(E31*78/1000)</f>
        <v>3.3149999999999999</v>
      </c>
      <c r="G31" s="92">
        <v>321.82</v>
      </c>
      <c r="H31" s="93">
        <f t="shared" si="2"/>
        <v>1.0668333000000001</v>
      </c>
      <c r="I31" s="13">
        <f t="shared" ref="I31:I34" si="3">F31/6*G31</f>
        <v>177.80554999999998</v>
      </c>
      <c r="J31" s="26"/>
      <c r="K31" s="8"/>
      <c r="L31" s="8"/>
      <c r="M31" s="8"/>
    </row>
    <row r="32" spans="1:13" ht="15.75" hidden="1" customHeight="1">
      <c r="A32" s="45">
        <v>4</v>
      </c>
      <c r="B32" s="89" t="s">
        <v>149</v>
      </c>
      <c r="C32" s="90" t="s">
        <v>93</v>
      </c>
      <c r="D32" s="89" t="s">
        <v>51</v>
      </c>
      <c r="E32" s="92">
        <v>306.55</v>
      </c>
      <c r="F32" s="92">
        <f>SUM(E32/1000)</f>
        <v>0.30654999999999999</v>
      </c>
      <c r="G32" s="92">
        <v>3758.28</v>
      </c>
      <c r="H32" s="93">
        <f t="shared" si="2"/>
        <v>1.152100734</v>
      </c>
      <c r="I32" s="13">
        <f>F32*G32</f>
        <v>1152.1007340000001</v>
      </c>
      <c r="J32" s="26"/>
      <c r="K32" s="8"/>
      <c r="L32" s="8"/>
      <c r="M32" s="8"/>
    </row>
    <row r="33" spans="1:14" ht="15.75" hidden="1" customHeight="1">
      <c r="A33" s="45"/>
      <c r="B33" s="89" t="s">
        <v>123</v>
      </c>
      <c r="C33" s="90" t="s">
        <v>38</v>
      </c>
      <c r="D33" s="89" t="s">
        <v>60</v>
      </c>
      <c r="E33" s="92">
        <v>3</v>
      </c>
      <c r="F33" s="92">
        <f>E33*155/100</f>
        <v>4.6500000000000004</v>
      </c>
      <c r="G33" s="92">
        <v>1620.15</v>
      </c>
      <c r="H33" s="93">
        <f t="shared" si="2"/>
        <v>7.5336975000000015</v>
      </c>
      <c r="I33" s="13">
        <f t="shared" si="3"/>
        <v>1255.61625</v>
      </c>
      <c r="J33" s="26"/>
      <c r="K33" s="8"/>
      <c r="L33" s="8"/>
      <c r="M33" s="8"/>
    </row>
    <row r="34" spans="1:14" ht="15.75" hidden="1" customHeight="1">
      <c r="A34" s="45">
        <v>5</v>
      </c>
      <c r="B34" s="89" t="s">
        <v>97</v>
      </c>
      <c r="C34" s="90" t="s">
        <v>28</v>
      </c>
      <c r="D34" s="89" t="s">
        <v>60</v>
      </c>
      <c r="E34" s="96">
        <f>1/3</f>
        <v>0.33333333333333331</v>
      </c>
      <c r="F34" s="92">
        <f>155/3</f>
        <v>51.666666666666664</v>
      </c>
      <c r="G34" s="92">
        <v>70.540000000000006</v>
      </c>
      <c r="H34" s="93">
        <f t="shared" si="2"/>
        <v>3.6445666666666665</v>
      </c>
      <c r="I34" s="13">
        <f t="shared" si="3"/>
        <v>607.42777777777781</v>
      </c>
      <c r="J34" s="26"/>
      <c r="K34" s="8"/>
      <c r="L34" s="8"/>
      <c r="M34" s="8"/>
    </row>
    <row r="35" spans="1:14" ht="15.75" hidden="1" customHeight="1">
      <c r="A35" s="45">
        <v>4</v>
      </c>
      <c r="B35" s="89" t="s">
        <v>61</v>
      </c>
      <c r="C35" s="90" t="s">
        <v>30</v>
      </c>
      <c r="D35" s="89" t="s">
        <v>63</v>
      </c>
      <c r="E35" s="91"/>
      <c r="F35" s="92">
        <v>2</v>
      </c>
      <c r="G35" s="92">
        <v>238.07</v>
      </c>
      <c r="H35" s="93">
        <f t="shared" si="2"/>
        <v>0.47614000000000001</v>
      </c>
      <c r="I35" s="13">
        <v>0</v>
      </c>
      <c r="J35" s="26"/>
      <c r="K35" s="8"/>
    </row>
    <row r="36" spans="1:14" ht="15.75" hidden="1" customHeight="1">
      <c r="A36" s="33">
        <v>8</v>
      </c>
      <c r="B36" s="89" t="s">
        <v>62</v>
      </c>
      <c r="C36" s="90" t="s">
        <v>29</v>
      </c>
      <c r="D36" s="89" t="s">
        <v>63</v>
      </c>
      <c r="E36" s="91"/>
      <c r="F36" s="92">
        <v>3</v>
      </c>
      <c r="G36" s="92">
        <v>1413.96</v>
      </c>
      <c r="H36" s="93">
        <f t="shared" si="2"/>
        <v>4.2418800000000001</v>
      </c>
      <c r="I36" s="13">
        <v>0</v>
      </c>
      <c r="J36" s="27"/>
    </row>
    <row r="37" spans="1:14" ht="15.75" customHeight="1">
      <c r="A37" s="45"/>
      <c r="B37" s="53" t="s">
        <v>5</v>
      </c>
      <c r="C37" s="53"/>
      <c r="D37" s="53"/>
      <c r="E37" s="13"/>
      <c r="F37" s="13"/>
      <c r="G37" s="14"/>
      <c r="H37" s="14"/>
      <c r="I37" s="19"/>
      <c r="J37" s="27"/>
    </row>
    <row r="38" spans="1:14" ht="15.75" customHeight="1">
      <c r="A38" s="37">
        <v>4</v>
      </c>
      <c r="B38" s="89" t="s">
        <v>25</v>
      </c>
      <c r="C38" s="90" t="s">
        <v>29</v>
      </c>
      <c r="D38" s="123" t="s">
        <v>207</v>
      </c>
      <c r="E38" s="91"/>
      <c r="F38" s="92">
        <v>2</v>
      </c>
      <c r="G38" s="92">
        <v>1900.37</v>
      </c>
      <c r="H38" s="93">
        <f t="shared" ref="H38:H43" si="4">SUM(F38*G38/1000)</f>
        <v>3.8007399999999998</v>
      </c>
      <c r="I38" s="13">
        <f>G38*1.6</f>
        <v>3040.5920000000001</v>
      </c>
      <c r="J38" s="27"/>
    </row>
    <row r="39" spans="1:14" ht="15.75" customHeight="1">
      <c r="A39" s="37">
        <v>5</v>
      </c>
      <c r="B39" s="89" t="s">
        <v>64</v>
      </c>
      <c r="C39" s="90" t="s">
        <v>27</v>
      </c>
      <c r="D39" s="89" t="s">
        <v>188</v>
      </c>
      <c r="E39" s="92">
        <v>42.5</v>
      </c>
      <c r="F39" s="92">
        <f>SUM(E39*30/1000)</f>
        <v>1.2749999999999999</v>
      </c>
      <c r="G39" s="92">
        <v>2616.4899999999998</v>
      </c>
      <c r="H39" s="93">
        <f t="shared" si="4"/>
        <v>3.3360247499999995</v>
      </c>
      <c r="I39" s="13">
        <f t="shared" ref="I39:I41" si="5">F39/6*G39</f>
        <v>556.00412499999993</v>
      </c>
      <c r="J39" s="27"/>
    </row>
    <row r="40" spans="1:14" ht="15.75" customHeight="1">
      <c r="A40" s="37">
        <v>6</v>
      </c>
      <c r="B40" s="89" t="s">
        <v>65</v>
      </c>
      <c r="C40" s="90" t="s">
        <v>27</v>
      </c>
      <c r="D40" s="89" t="s">
        <v>187</v>
      </c>
      <c r="E40" s="92">
        <v>42.5</v>
      </c>
      <c r="F40" s="92">
        <f>SUM(E40*155/1000)</f>
        <v>6.5875000000000004</v>
      </c>
      <c r="G40" s="92">
        <v>436.45</v>
      </c>
      <c r="H40" s="93">
        <f t="shared" si="4"/>
        <v>2.8751143749999999</v>
      </c>
      <c r="I40" s="13">
        <f t="shared" si="5"/>
        <v>479.18572916666665</v>
      </c>
      <c r="J40" s="27"/>
    </row>
    <row r="41" spans="1:14" ht="47.25" customHeight="1">
      <c r="A41" s="37">
        <v>7</v>
      </c>
      <c r="B41" s="89" t="s">
        <v>78</v>
      </c>
      <c r="C41" s="90" t="s">
        <v>93</v>
      </c>
      <c r="D41" s="89" t="s">
        <v>188</v>
      </c>
      <c r="E41" s="92">
        <v>42.5</v>
      </c>
      <c r="F41" s="92">
        <f>SUM(E41*35/1000)</f>
        <v>1.4875</v>
      </c>
      <c r="G41" s="92">
        <v>7221.21</v>
      </c>
      <c r="H41" s="93">
        <f t="shared" si="4"/>
        <v>10.741549875</v>
      </c>
      <c r="I41" s="13">
        <f t="shared" si="5"/>
        <v>1790.2583125000001</v>
      </c>
      <c r="J41" s="27"/>
    </row>
    <row r="42" spans="1:14" ht="15.75" customHeight="1">
      <c r="A42" s="37">
        <v>8</v>
      </c>
      <c r="B42" s="89" t="s">
        <v>101</v>
      </c>
      <c r="C42" s="90" t="s">
        <v>93</v>
      </c>
      <c r="D42" s="89" t="s">
        <v>180</v>
      </c>
      <c r="E42" s="92">
        <v>42.5</v>
      </c>
      <c r="F42" s="92">
        <f>SUM(E42*20/1000)</f>
        <v>0.85</v>
      </c>
      <c r="G42" s="92">
        <v>533.45000000000005</v>
      </c>
      <c r="H42" s="93">
        <f t="shared" si="4"/>
        <v>0.45343250000000002</v>
      </c>
      <c r="I42" s="13">
        <f>G42*F42/20*2</f>
        <v>45.343249999999998</v>
      </c>
      <c r="J42" s="27"/>
      <c r="L42" s="21"/>
      <c r="M42" s="22"/>
      <c r="N42" s="23"/>
    </row>
    <row r="43" spans="1:14" ht="15.75" customHeight="1">
      <c r="A43" s="37">
        <v>9</v>
      </c>
      <c r="B43" s="89" t="s">
        <v>66</v>
      </c>
      <c r="C43" s="90" t="s">
        <v>30</v>
      </c>
      <c r="D43" s="89"/>
      <c r="E43" s="91"/>
      <c r="F43" s="92">
        <v>0.5</v>
      </c>
      <c r="G43" s="92">
        <v>992.97</v>
      </c>
      <c r="H43" s="93">
        <f t="shared" si="4"/>
        <v>0.49648500000000001</v>
      </c>
      <c r="I43" s="13">
        <f>G43*F43/20*2</f>
        <v>49.648499999999999</v>
      </c>
      <c r="J43" s="27"/>
      <c r="L43" s="21"/>
      <c r="M43" s="22"/>
      <c r="N43" s="23"/>
    </row>
    <row r="44" spans="1:14" ht="15.75" hidden="1" customHeight="1">
      <c r="A44" s="170" t="s">
        <v>146</v>
      </c>
      <c r="B44" s="171"/>
      <c r="C44" s="171"/>
      <c r="D44" s="171"/>
      <c r="E44" s="171"/>
      <c r="F44" s="171"/>
      <c r="G44" s="171"/>
      <c r="H44" s="171"/>
      <c r="I44" s="172"/>
      <c r="J44" s="27"/>
      <c r="L44" s="21"/>
      <c r="M44" s="22"/>
      <c r="N44" s="23"/>
    </row>
    <row r="45" spans="1:14" ht="15.75" hidden="1" customHeight="1">
      <c r="A45" s="45">
        <v>15</v>
      </c>
      <c r="B45" s="89" t="s">
        <v>103</v>
      </c>
      <c r="C45" s="90" t="s">
        <v>93</v>
      </c>
      <c r="D45" s="89" t="s">
        <v>40</v>
      </c>
      <c r="E45" s="91">
        <v>1060.4000000000001</v>
      </c>
      <c r="F45" s="92">
        <f>SUM(E45*2/1000)</f>
        <v>2.1208</v>
      </c>
      <c r="G45" s="13">
        <v>1283.46</v>
      </c>
      <c r="H45" s="93">
        <f t="shared" ref="H45:H55" si="6">SUM(F45*G45/1000)</f>
        <v>2.721961968</v>
      </c>
      <c r="I45" s="13">
        <v>0</v>
      </c>
      <c r="J45" s="27"/>
      <c r="L45" s="21"/>
      <c r="M45" s="22"/>
      <c r="N45" s="23"/>
    </row>
    <row r="46" spans="1:14" ht="15.75" hidden="1" customHeight="1">
      <c r="A46" s="45"/>
      <c r="B46" s="89" t="s">
        <v>33</v>
      </c>
      <c r="C46" s="90" t="s">
        <v>93</v>
      </c>
      <c r="D46" s="89" t="s">
        <v>40</v>
      </c>
      <c r="E46" s="91">
        <v>19.8</v>
      </c>
      <c r="F46" s="92">
        <f>SUM(E46*2/1000)</f>
        <v>3.9600000000000003E-2</v>
      </c>
      <c r="G46" s="13">
        <v>721.04</v>
      </c>
      <c r="H46" s="93">
        <f t="shared" si="6"/>
        <v>2.8553184000000002E-2</v>
      </c>
      <c r="I46" s="13">
        <v>0</v>
      </c>
      <c r="J46" s="27"/>
      <c r="L46" s="21"/>
      <c r="M46" s="22"/>
      <c r="N46" s="23"/>
    </row>
    <row r="47" spans="1:14" ht="15.75" hidden="1" customHeight="1">
      <c r="A47" s="45">
        <v>16</v>
      </c>
      <c r="B47" s="89" t="s">
        <v>34</v>
      </c>
      <c r="C47" s="90" t="s">
        <v>93</v>
      </c>
      <c r="D47" s="89" t="s">
        <v>40</v>
      </c>
      <c r="E47" s="91">
        <v>660.84</v>
      </c>
      <c r="F47" s="92">
        <f>SUM(E47*2/1000)</f>
        <v>1.32168</v>
      </c>
      <c r="G47" s="13">
        <v>1711.28</v>
      </c>
      <c r="H47" s="93">
        <f t="shared" si="6"/>
        <v>2.2617645503999997</v>
      </c>
      <c r="I47" s="13">
        <v>0</v>
      </c>
      <c r="J47" s="27"/>
      <c r="L47" s="21"/>
      <c r="M47" s="22"/>
      <c r="N47" s="23"/>
    </row>
    <row r="48" spans="1:14" ht="15.75" hidden="1" customHeight="1">
      <c r="A48" s="45">
        <v>17</v>
      </c>
      <c r="B48" s="89" t="s">
        <v>35</v>
      </c>
      <c r="C48" s="90" t="s">
        <v>93</v>
      </c>
      <c r="D48" s="89" t="s">
        <v>40</v>
      </c>
      <c r="E48" s="91">
        <v>1156.21</v>
      </c>
      <c r="F48" s="92">
        <f>SUM(E48*2/1000)</f>
        <v>2.3124199999999999</v>
      </c>
      <c r="G48" s="13">
        <v>1179.73</v>
      </c>
      <c r="H48" s="93">
        <f t="shared" si="6"/>
        <v>2.7280312466000001</v>
      </c>
      <c r="I48" s="13">
        <v>0</v>
      </c>
      <c r="J48" s="27"/>
      <c r="L48" s="21"/>
      <c r="M48" s="22"/>
      <c r="N48" s="23"/>
    </row>
    <row r="49" spans="1:14" ht="15.75" hidden="1" customHeight="1">
      <c r="A49" s="45">
        <v>18</v>
      </c>
      <c r="B49" s="89" t="s">
        <v>31</v>
      </c>
      <c r="C49" s="90" t="s">
        <v>32</v>
      </c>
      <c r="D49" s="89" t="s">
        <v>40</v>
      </c>
      <c r="E49" s="91">
        <v>15.38</v>
      </c>
      <c r="F49" s="92">
        <f>SUM(E49*2/100)</f>
        <v>0.30760000000000004</v>
      </c>
      <c r="G49" s="13">
        <v>90.61</v>
      </c>
      <c r="H49" s="93">
        <f t="shared" si="6"/>
        <v>2.7871636000000002E-2</v>
      </c>
      <c r="I49" s="13">
        <v>0</v>
      </c>
      <c r="J49" s="27"/>
      <c r="L49" s="21"/>
      <c r="M49" s="22"/>
      <c r="N49" s="23"/>
    </row>
    <row r="50" spans="1:14" ht="15.75" hidden="1" customHeight="1">
      <c r="A50" s="45">
        <v>12</v>
      </c>
      <c r="B50" s="89" t="s">
        <v>53</v>
      </c>
      <c r="C50" s="90" t="s">
        <v>93</v>
      </c>
      <c r="D50" s="89" t="s">
        <v>151</v>
      </c>
      <c r="E50" s="91">
        <v>823</v>
      </c>
      <c r="F50" s="92">
        <f>SUM(E50*5/1000)</f>
        <v>4.1150000000000002</v>
      </c>
      <c r="G50" s="13">
        <v>1711.28</v>
      </c>
      <c r="H50" s="93">
        <f t="shared" si="6"/>
        <v>7.0419171999999994</v>
      </c>
      <c r="I50" s="13">
        <f>F50/5*G50</f>
        <v>1408.3834400000001</v>
      </c>
      <c r="J50" s="27"/>
      <c r="L50" s="21"/>
      <c r="M50" s="22"/>
      <c r="N50" s="23"/>
    </row>
    <row r="51" spans="1:14" ht="31.5" hidden="1" customHeight="1">
      <c r="A51" s="45">
        <v>12</v>
      </c>
      <c r="B51" s="89" t="s">
        <v>104</v>
      </c>
      <c r="C51" s="90" t="s">
        <v>93</v>
      </c>
      <c r="D51" s="89" t="s">
        <v>40</v>
      </c>
      <c r="E51" s="91">
        <v>823</v>
      </c>
      <c r="F51" s="92">
        <f>SUM(E51*2/1000)</f>
        <v>1.6459999999999999</v>
      </c>
      <c r="G51" s="13">
        <v>1510.06</v>
      </c>
      <c r="H51" s="93">
        <f t="shared" si="6"/>
        <v>2.48555876</v>
      </c>
      <c r="I51" s="13">
        <f>F51/2*G51</f>
        <v>1242.7793799999999</v>
      </c>
      <c r="J51" s="27"/>
      <c r="L51" s="21"/>
      <c r="M51" s="22"/>
      <c r="N51" s="23"/>
    </row>
    <row r="52" spans="1:14" ht="31.5" hidden="1" customHeight="1">
      <c r="A52" s="45">
        <v>13</v>
      </c>
      <c r="B52" s="89" t="s">
        <v>105</v>
      </c>
      <c r="C52" s="90" t="s">
        <v>36</v>
      </c>
      <c r="D52" s="89" t="s">
        <v>40</v>
      </c>
      <c r="E52" s="91">
        <v>9</v>
      </c>
      <c r="F52" s="92">
        <f>SUM(E52*2/100)</f>
        <v>0.18</v>
      </c>
      <c r="G52" s="13">
        <v>3850.4</v>
      </c>
      <c r="H52" s="93">
        <f t="shared" si="6"/>
        <v>0.69307200000000002</v>
      </c>
      <c r="I52" s="13">
        <f t="shared" ref="I52:I53" si="7">F52/2*G52</f>
        <v>346.536</v>
      </c>
      <c r="J52" s="27"/>
      <c r="L52" s="21"/>
      <c r="M52" s="22"/>
      <c r="N52" s="23"/>
    </row>
    <row r="53" spans="1:14" ht="15.75" hidden="1" customHeight="1">
      <c r="A53" s="45">
        <v>14</v>
      </c>
      <c r="B53" s="89" t="s">
        <v>37</v>
      </c>
      <c r="C53" s="90" t="s">
        <v>38</v>
      </c>
      <c r="D53" s="89" t="s">
        <v>40</v>
      </c>
      <c r="E53" s="91">
        <v>1</v>
      </c>
      <c r="F53" s="92">
        <v>0.02</v>
      </c>
      <c r="G53" s="13">
        <v>7033.13</v>
      </c>
      <c r="H53" s="93">
        <f t="shared" si="6"/>
        <v>0.1406626</v>
      </c>
      <c r="I53" s="13">
        <f t="shared" si="7"/>
        <v>70.331299999999999</v>
      </c>
      <c r="J53" s="27"/>
      <c r="L53" s="21"/>
      <c r="M53" s="22"/>
      <c r="N53" s="23"/>
    </row>
    <row r="54" spans="1:14" ht="15.75" hidden="1" customHeight="1">
      <c r="A54" s="45">
        <v>13</v>
      </c>
      <c r="B54" s="89" t="s">
        <v>124</v>
      </c>
      <c r="C54" s="90" t="s">
        <v>106</v>
      </c>
      <c r="D54" s="89" t="s">
        <v>67</v>
      </c>
      <c r="E54" s="91">
        <v>36</v>
      </c>
      <c r="F54" s="92">
        <f>SUM(E54*3)</f>
        <v>108</v>
      </c>
      <c r="G54" s="13">
        <v>175.6</v>
      </c>
      <c r="H54" s="93">
        <f t="shared" si="6"/>
        <v>18.9648</v>
      </c>
      <c r="I54" s="13">
        <f>E54*G54</f>
        <v>6321.5999999999995</v>
      </c>
      <c r="J54" s="27"/>
      <c r="L54" s="21"/>
      <c r="M54" s="22"/>
      <c r="N54" s="23"/>
    </row>
    <row r="55" spans="1:14" ht="15.75" hidden="1" customHeight="1">
      <c r="A55" s="45">
        <v>14</v>
      </c>
      <c r="B55" s="89" t="s">
        <v>39</v>
      </c>
      <c r="C55" s="90" t="s">
        <v>106</v>
      </c>
      <c r="D55" s="89" t="s">
        <v>67</v>
      </c>
      <c r="E55" s="91">
        <v>36</v>
      </c>
      <c r="F55" s="92">
        <f>SUM(E55)*3</f>
        <v>108</v>
      </c>
      <c r="G55" s="13">
        <v>81.73</v>
      </c>
      <c r="H55" s="93">
        <f t="shared" si="6"/>
        <v>8.8268400000000007</v>
      </c>
      <c r="I55" s="13">
        <f>E55*G55</f>
        <v>2942.28</v>
      </c>
      <c r="J55" s="27"/>
      <c r="L55" s="21"/>
      <c r="M55" s="22"/>
      <c r="N55" s="23"/>
    </row>
    <row r="56" spans="1:14" ht="15.75" customHeight="1">
      <c r="A56" s="170" t="s">
        <v>160</v>
      </c>
      <c r="B56" s="171"/>
      <c r="C56" s="171"/>
      <c r="D56" s="171"/>
      <c r="E56" s="171"/>
      <c r="F56" s="171"/>
      <c r="G56" s="171"/>
      <c r="H56" s="171"/>
      <c r="I56" s="172"/>
      <c r="J56" s="27"/>
      <c r="L56" s="21"/>
      <c r="M56" s="22"/>
      <c r="N56" s="23"/>
    </row>
    <row r="57" spans="1:14" ht="15.75" customHeight="1">
      <c r="A57" s="57"/>
      <c r="B57" s="52" t="s">
        <v>41</v>
      </c>
      <c r="C57" s="17"/>
      <c r="D57" s="16"/>
      <c r="E57" s="16"/>
      <c r="F57" s="16"/>
      <c r="G57" s="33"/>
      <c r="H57" s="33"/>
      <c r="I57" s="19"/>
      <c r="J57" s="27"/>
      <c r="L57" s="21"/>
      <c r="M57" s="22"/>
      <c r="N57" s="23"/>
    </row>
    <row r="58" spans="1:14" ht="31.5" customHeight="1">
      <c r="A58" s="45">
        <v>10</v>
      </c>
      <c r="B58" s="89" t="s">
        <v>152</v>
      </c>
      <c r="C58" s="90" t="s">
        <v>82</v>
      </c>
      <c r="D58" s="89"/>
      <c r="E58" s="91">
        <v>71.02</v>
      </c>
      <c r="F58" s="92">
        <f>SUM(E58*6/100)</f>
        <v>4.2611999999999997</v>
      </c>
      <c r="G58" s="13">
        <v>2306.62</v>
      </c>
      <c r="H58" s="93">
        <f>SUM(F58*G58/1000)</f>
        <v>9.8289691439999984</v>
      </c>
      <c r="I58" s="13">
        <f>G58*0.09</f>
        <v>207.59579999999997</v>
      </c>
      <c r="J58" s="27"/>
      <c r="L58" s="21"/>
      <c r="M58" s="22"/>
      <c r="N58" s="23"/>
    </row>
    <row r="59" spans="1:14" ht="15.75" hidden="1" customHeight="1">
      <c r="A59" s="45"/>
      <c r="B59" s="89" t="s">
        <v>108</v>
      </c>
      <c r="C59" s="90" t="s">
        <v>153</v>
      </c>
      <c r="D59" s="89" t="s">
        <v>63</v>
      </c>
      <c r="E59" s="97"/>
      <c r="F59" s="92">
        <v>2</v>
      </c>
      <c r="G59" s="92">
        <v>1501</v>
      </c>
      <c r="H59" s="93">
        <f>SUM(F59*G59/1000)</f>
        <v>3.0019999999999998</v>
      </c>
      <c r="I59" s="13">
        <v>0</v>
      </c>
      <c r="J59" s="27"/>
      <c r="L59" s="21"/>
      <c r="M59" s="22"/>
      <c r="N59" s="23"/>
    </row>
    <row r="60" spans="1:14" ht="15.75" customHeight="1">
      <c r="A60" s="45"/>
      <c r="B60" s="76" t="s">
        <v>42</v>
      </c>
      <c r="C60" s="76"/>
      <c r="D60" s="76"/>
      <c r="E60" s="76"/>
      <c r="F60" s="76"/>
      <c r="G60" s="76"/>
      <c r="H60" s="76"/>
      <c r="I60" s="39"/>
      <c r="J60" s="27"/>
      <c r="L60" s="21"/>
      <c r="M60" s="22"/>
      <c r="N60" s="23"/>
    </row>
    <row r="61" spans="1:14" ht="15.75" customHeight="1">
      <c r="A61" s="45">
        <v>11</v>
      </c>
      <c r="B61" s="89" t="s">
        <v>154</v>
      </c>
      <c r="C61" s="90" t="s">
        <v>50</v>
      </c>
      <c r="D61" s="89" t="s">
        <v>208</v>
      </c>
      <c r="E61" s="91">
        <v>434.4</v>
      </c>
      <c r="F61" s="93">
        <f>SUM(E61/100)</f>
        <v>4.3439999999999994</v>
      </c>
      <c r="G61" s="13">
        <v>987.51</v>
      </c>
      <c r="H61" s="98">
        <f>F61*G61/1000</f>
        <v>4.2897434399999996</v>
      </c>
      <c r="I61" s="13">
        <f>G61*F61</f>
        <v>4289.7434399999993</v>
      </c>
      <c r="J61" s="27"/>
      <c r="L61" s="21"/>
      <c r="M61" s="22"/>
      <c r="N61" s="23"/>
    </row>
    <row r="62" spans="1:14" ht="15.75" hidden="1" customHeight="1">
      <c r="A62" s="45"/>
      <c r="B62" s="69" t="s">
        <v>125</v>
      </c>
      <c r="C62" s="44"/>
      <c r="D62" s="68"/>
      <c r="E62" s="67"/>
      <c r="F62" s="67"/>
      <c r="G62" s="40"/>
      <c r="H62" s="40"/>
      <c r="I62" s="20"/>
      <c r="J62" s="27"/>
      <c r="L62" s="21"/>
      <c r="M62" s="22"/>
      <c r="N62" s="23"/>
    </row>
    <row r="63" spans="1:14" ht="15.75" hidden="1" customHeight="1">
      <c r="A63" s="45"/>
      <c r="B63" s="89" t="s">
        <v>126</v>
      </c>
      <c r="C63" s="90" t="s">
        <v>106</v>
      </c>
      <c r="D63" s="41" t="s">
        <v>63</v>
      </c>
      <c r="E63" s="91">
        <v>1</v>
      </c>
      <c r="F63" s="92">
        <f>E63</f>
        <v>1</v>
      </c>
      <c r="G63" s="99">
        <v>323.38</v>
      </c>
      <c r="H63" s="93">
        <f t="shared" ref="H63" si="8">SUM(F63*G63/1000)</f>
        <v>0.32338</v>
      </c>
      <c r="I63" s="13">
        <v>0</v>
      </c>
      <c r="J63" s="27"/>
      <c r="L63" s="21"/>
      <c r="M63" s="22"/>
      <c r="N63" s="23"/>
    </row>
    <row r="64" spans="1:14" ht="15.75" hidden="1" customHeight="1">
      <c r="A64" s="45"/>
      <c r="B64" s="76" t="s">
        <v>43</v>
      </c>
      <c r="C64" s="17"/>
      <c r="D64" s="41"/>
      <c r="E64" s="16"/>
      <c r="F64" s="16"/>
      <c r="G64" s="33"/>
      <c r="H64" s="33"/>
      <c r="I64" s="19"/>
      <c r="J64" s="27"/>
      <c r="L64" s="21"/>
      <c r="M64" s="22"/>
      <c r="N64" s="23"/>
    </row>
    <row r="65" spans="1:21" ht="15.75" hidden="1" customHeight="1">
      <c r="A65" s="45">
        <v>17</v>
      </c>
      <c r="B65" s="15" t="s">
        <v>44</v>
      </c>
      <c r="C65" s="17" t="s">
        <v>106</v>
      </c>
      <c r="D65" s="41" t="s">
        <v>63</v>
      </c>
      <c r="E65" s="19">
        <v>10</v>
      </c>
      <c r="F65" s="92">
        <v>10</v>
      </c>
      <c r="G65" s="13">
        <v>276.74</v>
      </c>
      <c r="H65" s="100">
        <f t="shared" ref="H65:H72" si="9">SUM(F65*G65/1000)</f>
        <v>2.7674000000000003</v>
      </c>
      <c r="I65" s="13">
        <v>0</v>
      </c>
      <c r="J65" s="27"/>
      <c r="L65" s="21"/>
      <c r="M65" s="22"/>
      <c r="N65" s="23"/>
    </row>
    <row r="66" spans="1:21" ht="15.75" hidden="1" customHeight="1">
      <c r="A66" s="33">
        <v>29</v>
      </c>
      <c r="B66" s="15" t="s">
        <v>45</v>
      </c>
      <c r="C66" s="17" t="s">
        <v>106</v>
      </c>
      <c r="D66" s="41" t="s">
        <v>63</v>
      </c>
      <c r="E66" s="19">
        <v>3</v>
      </c>
      <c r="F66" s="92">
        <v>3</v>
      </c>
      <c r="G66" s="13">
        <v>94.89</v>
      </c>
      <c r="H66" s="100">
        <f t="shared" si="9"/>
        <v>0.28467000000000003</v>
      </c>
      <c r="I66" s="13">
        <v>0</v>
      </c>
      <c r="J66" s="27"/>
      <c r="L66" s="21"/>
      <c r="M66" s="22"/>
      <c r="N66" s="23"/>
    </row>
    <row r="67" spans="1:21" ht="15.75" hidden="1" customHeight="1">
      <c r="A67" s="33">
        <v>8</v>
      </c>
      <c r="B67" s="15" t="s">
        <v>46</v>
      </c>
      <c r="C67" s="17" t="s">
        <v>109</v>
      </c>
      <c r="D67" s="15" t="s">
        <v>51</v>
      </c>
      <c r="E67" s="91">
        <v>7265</v>
      </c>
      <c r="F67" s="13">
        <f>SUM(E67/100)</f>
        <v>72.650000000000006</v>
      </c>
      <c r="G67" s="13">
        <v>263.99</v>
      </c>
      <c r="H67" s="100">
        <f t="shared" si="9"/>
        <v>19.178873500000002</v>
      </c>
      <c r="I67" s="13">
        <v>0</v>
      </c>
      <c r="J67" s="27"/>
      <c r="L67" s="21"/>
      <c r="M67" s="22"/>
      <c r="N67" s="23"/>
    </row>
    <row r="68" spans="1:21" ht="15.75" hidden="1" customHeight="1">
      <c r="A68" s="33">
        <v>9</v>
      </c>
      <c r="B68" s="15" t="s">
        <v>47</v>
      </c>
      <c r="C68" s="17" t="s">
        <v>110</v>
      </c>
      <c r="D68" s="15" t="s">
        <v>51</v>
      </c>
      <c r="E68" s="91">
        <v>7265</v>
      </c>
      <c r="F68" s="13">
        <f>SUM(E68/1000)</f>
        <v>7.2649999999999997</v>
      </c>
      <c r="G68" s="13">
        <v>205.57</v>
      </c>
      <c r="H68" s="100">
        <f t="shared" si="9"/>
        <v>1.4934660500000001</v>
      </c>
      <c r="I68" s="13">
        <v>0</v>
      </c>
      <c r="J68" s="27"/>
      <c r="L68" s="21"/>
      <c r="M68" s="22"/>
      <c r="N68" s="23"/>
    </row>
    <row r="69" spans="1:21" ht="15.75" hidden="1" customHeight="1">
      <c r="A69" s="33">
        <v>10</v>
      </c>
      <c r="B69" s="15" t="s">
        <v>48</v>
      </c>
      <c r="C69" s="17" t="s">
        <v>73</v>
      </c>
      <c r="D69" s="15" t="s">
        <v>51</v>
      </c>
      <c r="E69" s="91">
        <v>1090</v>
      </c>
      <c r="F69" s="13">
        <f>SUM(E69/100)</f>
        <v>10.9</v>
      </c>
      <c r="G69" s="13">
        <v>2581.5300000000002</v>
      </c>
      <c r="H69" s="100">
        <f t="shared" si="9"/>
        <v>28.138677000000005</v>
      </c>
      <c r="I69" s="13">
        <v>0</v>
      </c>
      <c r="J69" s="27"/>
      <c r="L69" s="21"/>
    </row>
    <row r="70" spans="1:21" ht="15.75" hidden="1" customHeight="1">
      <c r="A70" s="33">
        <v>11</v>
      </c>
      <c r="B70" s="101" t="s">
        <v>111</v>
      </c>
      <c r="C70" s="17" t="s">
        <v>30</v>
      </c>
      <c r="D70" s="15"/>
      <c r="E70" s="91">
        <v>7.4</v>
      </c>
      <c r="F70" s="13">
        <f>SUM(E70)</f>
        <v>7.4</v>
      </c>
      <c r="G70" s="13">
        <v>47.45</v>
      </c>
      <c r="H70" s="100">
        <f t="shared" si="9"/>
        <v>0.35113000000000005</v>
      </c>
      <c r="I70" s="13">
        <v>0</v>
      </c>
    </row>
    <row r="71" spans="1:21" ht="15.75" hidden="1" customHeight="1">
      <c r="A71" s="33">
        <v>12</v>
      </c>
      <c r="B71" s="101" t="s">
        <v>155</v>
      </c>
      <c r="C71" s="17" t="s">
        <v>30</v>
      </c>
      <c r="D71" s="15"/>
      <c r="E71" s="91">
        <v>7.4</v>
      </c>
      <c r="F71" s="13">
        <f>SUM(E71)</f>
        <v>7.4</v>
      </c>
      <c r="G71" s="13">
        <v>44.27</v>
      </c>
      <c r="H71" s="100">
        <f t="shared" si="9"/>
        <v>0.327598</v>
      </c>
      <c r="I71" s="13">
        <v>0</v>
      </c>
    </row>
    <row r="72" spans="1:21" ht="15.75" hidden="1" customHeight="1">
      <c r="A72" s="33">
        <v>13</v>
      </c>
      <c r="B72" s="15" t="s">
        <v>54</v>
      </c>
      <c r="C72" s="17" t="s">
        <v>55</v>
      </c>
      <c r="D72" s="15" t="s">
        <v>51</v>
      </c>
      <c r="E72" s="19">
        <v>3</v>
      </c>
      <c r="F72" s="92">
        <f>SUM(E72)</f>
        <v>3</v>
      </c>
      <c r="G72" s="13">
        <v>62.07</v>
      </c>
      <c r="H72" s="100">
        <f t="shared" si="9"/>
        <v>0.18621000000000001</v>
      </c>
      <c r="I72" s="13">
        <v>0</v>
      </c>
    </row>
    <row r="73" spans="1:21" ht="19.5" hidden="1" customHeight="1">
      <c r="A73" s="57"/>
      <c r="B73" s="76" t="s">
        <v>112</v>
      </c>
      <c r="C73" s="76"/>
      <c r="D73" s="76"/>
      <c r="E73" s="76"/>
      <c r="F73" s="76"/>
      <c r="G73" s="76"/>
      <c r="H73" s="76"/>
      <c r="I73" s="19"/>
      <c r="J73" s="29"/>
      <c r="K73" s="29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ht="21" hidden="1" customHeight="1">
      <c r="A74" s="33">
        <v>9</v>
      </c>
      <c r="B74" s="102" t="s">
        <v>113</v>
      </c>
      <c r="C74" s="25"/>
      <c r="D74" s="24"/>
      <c r="E74" s="84"/>
      <c r="F74" s="103">
        <v>1</v>
      </c>
      <c r="G74" s="103">
        <v>6970.4</v>
      </c>
      <c r="H74" s="13">
        <f>G74*F74/1000</f>
        <v>6.9703999999999997</v>
      </c>
      <c r="I74" s="13">
        <f>G74</f>
        <v>6970.4</v>
      </c>
      <c r="J74" s="3"/>
      <c r="K74" s="3"/>
      <c r="L74" s="3"/>
      <c r="M74" s="3"/>
      <c r="N74" s="3"/>
      <c r="O74" s="3"/>
      <c r="P74" s="3"/>
      <c r="Q74" s="3"/>
      <c r="S74" s="3"/>
      <c r="T74" s="3"/>
      <c r="U74" s="3"/>
    </row>
    <row r="75" spans="1:21" ht="16.5" hidden="1" customHeight="1">
      <c r="A75" s="33"/>
      <c r="B75" s="53" t="s">
        <v>68</v>
      </c>
      <c r="C75" s="53"/>
      <c r="D75" s="53"/>
      <c r="E75" s="19"/>
      <c r="F75" s="19"/>
      <c r="G75" s="33"/>
      <c r="H75" s="33"/>
      <c r="I75" s="19"/>
      <c r="J75" s="5"/>
      <c r="K75" s="5"/>
      <c r="L75" s="5"/>
      <c r="M75" s="5"/>
      <c r="N75" s="5"/>
      <c r="O75" s="5"/>
      <c r="P75" s="5"/>
      <c r="Q75" s="5"/>
      <c r="R75" s="168"/>
      <c r="S75" s="168"/>
      <c r="T75" s="168"/>
      <c r="U75" s="168"/>
    </row>
    <row r="76" spans="1:21" ht="23.25" hidden="1" customHeight="1">
      <c r="A76" s="33"/>
      <c r="B76" s="15" t="s">
        <v>127</v>
      </c>
      <c r="C76" s="17" t="s">
        <v>114</v>
      </c>
      <c r="D76" s="41" t="s">
        <v>63</v>
      </c>
      <c r="E76" s="19">
        <v>1</v>
      </c>
      <c r="F76" s="13">
        <f>E76</f>
        <v>1</v>
      </c>
      <c r="G76" s="13">
        <v>976.4</v>
      </c>
      <c r="H76" s="100">
        <f>F76*G76/1000</f>
        <v>0.97639999999999993</v>
      </c>
      <c r="I76" s="13">
        <v>0</v>
      </c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</row>
    <row r="77" spans="1:21" ht="17.25" hidden="1" customHeight="1">
      <c r="A77" s="33"/>
      <c r="B77" s="15" t="s">
        <v>115</v>
      </c>
      <c r="C77" s="17" t="s">
        <v>116</v>
      </c>
      <c r="D77" s="15"/>
      <c r="E77" s="19">
        <v>1</v>
      </c>
      <c r="F77" s="13">
        <v>1</v>
      </c>
      <c r="G77" s="13">
        <v>750</v>
      </c>
      <c r="H77" s="100">
        <f>F77*G77/1000</f>
        <v>0.75</v>
      </c>
      <c r="I77" s="13">
        <v>0</v>
      </c>
    </row>
    <row r="78" spans="1:21" ht="19.5" hidden="1" customHeight="1">
      <c r="A78" s="33"/>
      <c r="B78" s="15" t="s">
        <v>69</v>
      </c>
      <c r="C78" s="17" t="s">
        <v>71</v>
      </c>
      <c r="D78" s="41" t="s">
        <v>63</v>
      </c>
      <c r="E78" s="19">
        <v>3</v>
      </c>
      <c r="F78" s="13">
        <f>SUM(E78/100)</f>
        <v>0.03</v>
      </c>
      <c r="G78" s="13">
        <v>624.16999999999996</v>
      </c>
      <c r="H78" s="100">
        <f>F78*G78/1000</f>
        <v>1.8725099999999998E-2</v>
      </c>
      <c r="I78" s="13">
        <v>0</v>
      </c>
    </row>
    <row r="79" spans="1:21" ht="25.5" hidden="1" customHeight="1">
      <c r="A79" s="33"/>
      <c r="B79" s="15" t="s">
        <v>70</v>
      </c>
      <c r="C79" s="17" t="s">
        <v>28</v>
      </c>
      <c r="D79" s="41" t="s">
        <v>63</v>
      </c>
      <c r="E79" s="19">
        <v>1</v>
      </c>
      <c r="F79" s="13">
        <v>1</v>
      </c>
      <c r="G79" s="13">
        <v>1061.4100000000001</v>
      </c>
      <c r="H79" s="100">
        <f>F79*G79/1000</f>
        <v>1.0614100000000002</v>
      </c>
      <c r="I79" s="13">
        <v>0</v>
      </c>
    </row>
    <row r="80" spans="1:21" ht="29.25" hidden="1" customHeight="1">
      <c r="A80" s="33">
        <v>17</v>
      </c>
      <c r="B80" s="15" t="s">
        <v>128</v>
      </c>
      <c r="C80" s="17" t="s">
        <v>28</v>
      </c>
      <c r="D80" s="41" t="s">
        <v>63</v>
      </c>
      <c r="E80" s="19">
        <v>1</v>
      </c>
      <c r="F80" s="92">
        <f>SUM(E80)</f>
        <v>1</v>
      </c>
      <c r="G80" s="13">
        <v>446.12</v>
      </c>
      <c r="H80" s="100">
        <f t="shared" ref="H80" si="10">SUM(F80*G80/1000)</f>
        <v>0.44612000000000002</v>
      </c>
      <c r="I80" s="13">
        <v>0</v>
      </c>
    </row>
    <row r="81" spans="1:9" ht="22.5" hidden="1" customHeight="1">
      <c r="A81" s="33"/>
      <c r="B81" s="54" t="s">
        <v>72</v>
      </c>
      <c r="C81" s="42"/>
      <c r="D81" s="33"/>
      <c r="E81" s="19"/>
      <c r="F81" s="19"/>
      <c r="G81" s="40"/>
      <c r="H81" s="40"/>
      <c r="I81" s="19"/>
    </row>
    <row r="82" spans="1:9" ht="21" hidden="1" customHeight="1">
      <c r="A82" s="33">
        <v>39</v>
      </c>
      <c r="B82" s="56" t="s">
        <v>117</v>
      </c>
      <c r="C82" s="17" t="s">
        <v>73</v>
      </c>
      <c r="D82" s="15"/>
      <c r="E82" s="19"/>
      <c r="F82" s="13">
        <v>1.35</v>
      </c>
      <c r="G82" s="13">
        <v>3433.68</v>
      </c>
      <c r="H82" s="100">
        <f t="shared" ref="H82" si="11">SUM(F82*G82/1000)</f>
        <v>4.6354679999999995</v>
      </c>
      <c r="I82" s="13">
        <v>0</v>
      </c>
    </row>
    <row r="83" spans="1:9" ht="19.5" customHeight="1">
      <c r="A83" s="33"/>
      <c r="B83" s="76" t="s">
        <v>129</v>
      </c>
      <c r="C83" s="70"/>
      <c r="D83" s="35"/>
      <c r="E83" s="12"/>
      <c r="F83" s="12"/>
      <c r="G83" s="40"/>
      <c r="H83" s="40"/>
      <c r="I83" s="19"/>
    </row>
    <row r="84" spans="1:9" ht="23.25" hidden="1" customHeight="1">
      <c r="A84" s="33"/>
      <c r="B84" s="15" t="s">
        <v>130</v>
      </c>
      <c r="C84" s="17" t="s">
        <v>131</v>
      </c>
      <c r="D84" s="41" t="s">
        <v>63</v>
      </c>
      <c r="E84" s="19">
        <v>6</v>
      </c>
      <c r="F84" s="13">
        <f>E84</f>
        <v>6</v>
      </c>
      <c r="G84" s="13">
        <v>297.44</v>
      </c>
      <c r="H84" s="100">
        <f t="shared" ref="H84:H94" si="12">SUM(F84*G84/1000)</f>
        <v>1.7846399999999998</v>
      </c>
      <c r="I84" s="13">
        <v>0</v>
      </c>
    </row>
    <row r="85" spans="1:9" ht="18" customHeight="1">
      <c r="A85" s="33">
        <v>12</v>
      </c>
      <c r="B85" s="15" t="s">
        <v>132</v>
      </c>
      <c r="C85" s="17" t="s">
        <v>77</v>
      </c>
      <c r="D85" s="41"/>
      <c r="E85" s="19">
        <v>12</v>
      </c>
      <c r="F85" s="13">
        <f>E85</f>
        <v>12</v>
      </c>
      <c r="G85" s="13">
        <v>122.35</v>
      </c>
      <c r="H85" s="100">
        <f t="shared" si="12"/>
        <v>1.4681999999999997</v>
      </c>
      <c r="I85" s="13">
        <f>G85*2</f>
        <v>244.7</v>
      </c>
    </row>
    <row r="86" spans="1:9" ht="26.25" hidden="1" customHeight="1">
      <c r="A86" s="33"/>
      <c r="B86" s="15" t="s">
        <v>133</v>
      </c>
      <c r="C86" s="17" t="s">
        <v>134</v>
      </c>
      <c r="D86" s="41" t="s">
        <v>63</v>
      </c>
      <c r="E86" s="19">
        <v>9</v>
      </c>
      <c r="F86" s="13">
        <f>E86/3</f>
        <v>3</v>
      </c>
      <c r="G86" s="13">
        <v>1063.47</v>
      </c>
      <c r="H86" s="100">
        <f t="shared" si="12"/>
        <v>3.19041</v>
      </c>
      <c r="I86" s="13">
        <v>0</v>
      </c>
    </row>
    <row r="87" spans="1:9" ht="22.5" hidden="1" customHeight="1">
      <c r="A87" s="33"/>
      <c r="B87" s="15" t="s">
        <v>135</v>
      </c>
      <c r="C87" s="17" t="s">
        <v>136</v>
      </c>
      <c r="D87" s="41" t="s">
        <v>63</v>
      </c>
      <c r="E87" s="19">
        <v>10</v>
      </c>
      <c r="F87" s="13">
        <f>E87/10</f>
        <v>1</v>
      </c>
      <c r="G87" s="13">
        <v>297.99</v>
      </c>
      <c r="H87" s="100">
        <f t="shared" si="12"/>
        <v>0.29799000000000003</v>
      </c>
      <c r="I87" s="13">
        <v>0</v>
      </c>
    </row>
    <row r="88" spans="1:9" ht="24.75" hidden="1" customHeight="1">
      <c r="A88" s="33"/>
      <c r="B88" s="15" t="s">
        <v>137</v>
      </c>
      <c r="C88" s="17" t="s">
        <v>77</v>
      </c>
      <c r="D88" s="41" t="s">
        <v>63</v>
      </c>
      <c r="E88" s="19">
        <v>6</v>
      </c>
      <c r="F88" s="13">
        <f t="shared" ref="F88:F93" si="13">E88</f>
        <v>6</v>
      </c>
      <c r="G88" s="13">
        <v>1564.44</v>
      </c>
      <c r="H88" s="100">
        <f t="shared" si="12"/>
        <v>9.3866399999999999</v>
      </c>
      <c r="I88" s="13">
        <v>0</v>
      </c>
    </row>
    <row r="89" spans="1:9" ht="28.5" hidden="1" customHeight="1">
      <c r="A89" s="33"/>
      <c r="B89" s="15" t="s">
        <v>138</v>
      </c>
      <c r="C89" s="17" t="s">
        <v>77</v>
      </c>
      <c r="D89" s="41" t="s">
        <v>63</v>
      </c>
      <c r="E89" s="19">
        <v>6</v>
      </c>
      <c r="F89" s="13">
        <f t="shared" si="13"/>
        <v>6</v>
      </c>
      <c r="G89" s="13">
        <v>1906.89</v>
      </c>
      <c r="H89" s="100">
        <f t="shared" si="12"/>
        <v>11.44134</v>
      </c>
      <c r="I89" s="13">
        <v>0</v>
      </c>
    </row>
    <row r="90" spans="1:9" ht="21" hidden="1" customHeight="1">
      <c r="A90" s="33"/>
      <c r="B90" s="15" t="s">
        <v>139</v>
      </c>
      <c r="C90" s="17" t="s">
        <v>77</v>
      </c>
      <c r="D90" s="41" t="s">
        <v>63</v>
      </c>
      <c r="E90" s="19">
        <v>6</v>
      </c>
      <c r="F90" s="13">
        <f t="shared" si="13"/>
        <v>6</v>
      </c>
      <c r="G90" s="13">
        <v>664.35</v>
      </c>
      <c r="H90" s="100">
        <f t="shared" si="12"/>
        <v>3.9861000000000004</v>
      </c>
      <c r="I90" s="13">
        <v>0</v>
      </c>
    </row>
    <row r="91" spans="1:9" ht="25.5" hidden="1" customHeight="1">
      <c r="A91" s="33"/>
      <c r="B91" s="15" t="s">
        <v>140</v>
      </c>
      <c r="C91" s="17" t="s">
        <v>77</v>
      </c>
      <c r="D91" s="41" t="s">
        <v>63</v>
      </c>
      <c r="E91" s="19">
        <v>6</v>
      </c>
      <c r="F91" s="13">
        <f t="shared" si="13"/>
        <v>6</v>
      </c>
      <c r="G91" s="13">
        <v>778.85</v>
      </c>
      <c r="H91" s="100">
        <f t="shared" si="12"/>
        <v>4.6731000000000007</v>
      </c>
      <c r="I91" s="13">
        <v>0</v>
      </c>
    </row>
    <row r="92" spans="1:9" ht="23.25" hidden="1" customHeight="1">
      <c r="A92" s="33"/>
      <c r="B92" s="15" t="s">
        <v>141</v>
      </c>
      <c r="C92" s="17" t="s">
        <v>114</v>
      </c>
      <c r="D92" s="41" t="s">
        <v>63</v>
      </c>
      <c r="E92" s="19">
        <v>4</v>
      </c>
      <c r="F92" s="13">
        <f t="shared" si="13"/>
        <v>4</v>
      </c>
      <c r="G92" s="13">
        <v>498.11</v>
      </c>
      <c r="H92" s="100">
        <f t="shared" si="12"/>
        <v>1.99244</v>
      </c>
      <c r="I92" s="13">
        <v>0</v>
      </c>
    </row>
    <row r="93" spans="1:9" ht="21" hidden="1" customHeight="1">
      <c r="A93" s="33"/>
      <c r="B93" s="15" t="s">
        <v>142</v>
      </c>
      <c r="C93" s="17" t="s">
        <v>77</v>
      </c>
      <c r="D93" s="41" t="s">
        <v>63</v>
      </c>
      <c r="E93" s="19">
        <v>6</v>
      </c>
      <c r="F93" s="13">
        <f t="shared" si="13"/>
        <v>6</v>
      </c>
      <c r="G93" s="13">
        <v>1264.3399999999999</v>
      </c>
      <c r="H93" s="100">
        <f t="shared" si="12"/>
        <v>7.5860399999999988</v>
      </c>
      <c r="I93" s="13">
        <v>0</v>
      </c>
    </row>
    <row r="94" spans="1:9" ht="18.75" hidden="1" customHeight="1">
      <c r="A94" s="33"/>
      <c r="B94" s="15" t="s">
        <v>143</v>
      </c>
      <c r="C94" s="17" t="s">
        <v>27</v>
      </c>
      <c r="D94" s="15" t="s">
        <v>40</v>
      </c>
      <c r="E94" s="19">
        <v>823</v>
      </c>
      <c r="F94" s="13">
        <f>E94*2/1000</f>
        <v>1.6459999999999999</v>
      </c>
      <c r="G94" s="13">
        <v>1707.71</v>
      </c>
      <c r="H94" s="100">
        <f t="shared" si="12"/>
        <v>2.8108906600000001</v>
      </c>
      <c r="I94" s="13">
        <v>0</v>
      </c>
    </row>
    <row r="95" spans="1:9" ht="15.75" customHeight="1">
      <c r="A95" s="181" t="s">
        <v>161</v>
      </c>
      <c r="B95" s="182"/>
      <c r="C95" s="182"/>
      <c r="D95" s="182"/>
      <c r="E95" s="182"/>
      <c r="F95" s="182"/>
      <c r="G95" s="182"/>
      <c r="H95" s="182"/>
      <c r="I95" s="183"/>
    </row>
    <row r="96" spans="1:9" ht="15.75" customHeight="1">
      <c r="A96" s="33">
        <v>13</v>
      </c>
      <c r="B96" s="89" t="s">
        <v>118</v>
      </c>
      <c r="C96" s="17" t="s">
        <v>52</v>
      </c>
      <c r="D96" s="104"/>
      <c r="E96" s="13">
        <v>1832</v>
      </c>
      <c r="F96" s="13">
        <f>SUM(E96*12)</f>
        <v>21984</v>
      </c>
      <c r="G96" s="13">
        <v>2.95</v>
      </c>
      <c r="H96" s="100">
        <f>SUM(F96*G96/1000)</f>
        <v>64.852800000000002</v>
      </c>
      <c r="I96" s="13">
        <f>F96/12*G96</f>
        <v>5404.4000000000005</v>
      </c>
    </row>
    <row r="97" spans="1:9" ht="31.5" customHeight="1">
      <c r="A97" s="33">
        <v>14</v>
      </c>
      <c r="B97" s="15" t="s">
        <v>74</v>
      </c>
      <c r="C97" s="17" t="s">
        <v>156</v>
      </c>
      <c r="D97" s="104"/>
      <c r="E97" s="91">
        <v>1832</v>
      </c>
      <c r="F97" s="13">
        <f>E97*12</f>
        <v>21984</v>
      </c>
      <c r="G97" s="13">
        <v>3.05</v>
      </c>
      <c r="H97" s="100">
        <f>F97*G97/1000</f>
        <v>67.051199999999994</v>
      </c>
      <c r="I97" s="13">
        <f>F97/12*G97</f>
        <v>5587.5999999999995</v>
      </c>
    </row>
    <row r="98" spans="1:9" ht="15.75" customHeight="1">
      <c r="A98" s="57"/>
      <c r="B98" s="43" t="s">
        <v>76</v>
      </c>
      <c r="C98" s="45"/>
      <c r="D98" s="16"/>
      <c r="E98" s="16"/>
      <c r="F98" s="16"/>
      <c r="G98" s="19"/>
      <c r="H98" s="19"/>
      <c r="I98" s="36">
        <f>I97+I96+I85+I61+I58+I43+I42+I41+I40+I39+I38+I18+I17+I16</f>
        <v>27282.554443333331</v>
      </c>
    </row>
    <row r="99" spans="1:9" ht="15.75" customHeight="1">
      <c r="A99" s="184" t="s">
        <v>57</v>
      </c>
      <c r="B99" s="185"/>
      <c r="C99" s="185"/>
      <c r="D99" s="185"/>
      <c r="E99" s="185"/>
      <c r="F99" s="185"/>
      <c r="G99" s="185"/>
      <c r="H99" s="185"/>
      <c r="I99" s="186"/>
    </row>
    <row r="100" spans="1:9" ht="15.75" customHeight="1">
      <c r="A100" s="105">
        <v>15</v>
      </c>
      <c r="B100" s="108" t="s">
        <v>172</v>
      </c>
      <c r="C100" s="109" t="s">
        <v>173</v>
      </c>
      <c r="D100" s="108"/>
      <c r="E100" s="110"/>
      <c r="F100" s="111">
        <v>24</v>
      </c>
      <c r="G100" s="112">
        <v>1.4</v>
      </c>
      <c r="H100" s="113">
        <f>F100*G100/1000</f>
        <v>3.3599999999999991E-2</v>
      </c>
      <c r="I100" s="114">
        <f>G100*12</f>
        <v>16.799999999999997</v>
      </c>
    </row>
    <row r="101" spans="1:9" ht="30" customHeight="1">
      <c r="A101" s="105">
        <v>16</v>
      </c>
      <c r="B101" s="41" t="s">
        <v>175</v>
      </c>
      <c r="C101" s="42" t="s">
        <v>93</v>
      </c>
      <c r="D101" s="15"/>
      <c r="E101" s="19"/>
      <c r="F101" s="13"/>
      <c r="G101" s="115">
        <v>21369.24</v>
      </c>
      <c r="H101" s="100"/>
      <c r="I101" s="13">
        <f>G101*0.599*8/1000</f>
        <v>102.40139807999999</v>
      </c>
    </row>
    <row r="102" spans="1:9" ht="15.75" customHeight="1">
      <c r="A102" s="33"/>
      <c r="B102" s="50" t="s">
        <v>49</v>
      </c>
      <c r="C102" s="46"/>
      <c r="D102" s="58"/>
      <c r="E102" s="46">
        <v>1</v>
      </c>
      <c r="F102" s="46"/>
      <c r="G102" s="46"/>
      <c r="H102" s="46"/>
      <c r="I102" s="36">
        <f>SUM(I100:I101)</f>
        <v>119.20139807999999</v>
      </c>
    </row>
    <row r="103" spans="1:9" ht="15.75" customHeight="1">
      <c r="A103" s="33"/>
      <c r="B103" s="56" t="s">
        <v>75</v>
      </c>
      <c r="C103" s="16"/>
      <c r="D103" s="16"/>
      <c r="E103" s="47"/>
      <c r="F103" s="47"/>
      <c r="G103" s="48"/>
      <c r="H103" s="48"/>
      <c r="I103" s="18">
        <v>0</v>
      </c>
    </row>
    <row r="104" spans="1:9" ht="15.75" customHeight="1">
      <c r="A104" s="59"/>
      <c r="B104" s="51" t="s">
        <v>157</v>
      </c>
      <c r="C104" s="38"/>
      <c r="D104" s="38"/>
      <c r="E104" s="38"/>
      <c r="F104" s="38"/>
      <c r="G104" s="38"/>
      <c r="H104" s="38"/>
      <c r="I104" s="49">
        <f>I98+I102</f>
        <v>27401.755841413331</v>
      </c>
    </row>
    <row r="105" spans="1:9" ht="15.75" customHeight="1">
      <c r="A105" s="173" t="s">
        <v>209</v>
      </c>
      <c r="B105" s="173"/>
      <c r="C105" s="173"/>
      <c r="D105" s="173"/>
      <c r="E105" s="173"/>
      <c r="F105" s="173"/>
      <c r="G105" s="173"/>
      <c r="H105" s="173"/>
      <c r="I105" s="173"/>
    </row>
    <row r="106" spans="1:9" ht="15.75" customHeight="1">
      <c r="A106" s="77"/>
      <c r="B106" s="187" t="s">
        <v>210</v>
      </c>
      <c r="C106" s="187"/>
      <c r="D106" s="187"/>
      <c r="E106" s="187"/>
      <c r="F106" s="187"/>
      <c r="G106" s="187"/>
      <c r="H106" s="87"/>
      <c r="I106" s="3"/>
    </row>
    <row r="107" spans="1:9" ht="15.75" customHeight="1">
      <c r="A107" s="71"/>
      <c r="B107" s="161" t="s">
        <v>6</v>
      </c>
      <c r="C107" s="161"/>
      <c r="D107" s="161"/>
      <c r="E107" s="161"/>
      <c r="F107" s="161"/>
      <c r="G107" s="161"/>
      <c r="H107" s="28"/>
      <c r="I107" s="5"/>
    </row>
    <row r="108" spans="1:9" ht="15.75" customHeight="1">
      <c r="A108" s="9"/>
      <c r="B108" s="9"/>
      <c r="C108" s="9"/>
      <c r="D108" s="9"/>
      <c r="E108" s="9"/>
      <c r="F108" s="9"/>
      <c r="G108" s="9"/>
      <c r="H108" s="9"/>
      <c r="I108" s="9"/>
    </row>
    <row r="109" spans="1:9" ht="15.75" customHeight="1">
      <c r="A109" s="162" t="s">
        <v>7</v>
      </c>
      <c r="B109" s="162"/>
      <c r="C109" s="162"/>
      <c r="D109" s="162"/>
      <c r="E109" s="162"/>
      <c r="F109" s="162"/>
      <c r="G109" s="162"/>
      <c r="H109" s="162"/>
      <c r="I109" s="162"/>
    </row>
    <row r="110" spans="1:9" ht="15.75" customHeight="1">
      <c r="A110" s="162" t="s">
        <v>8</v>
      </c>
      <c r="B110" s="162"/>
      <c r="C110" s="162"/>
      <c r="D110" s="162"/>
      <c r="E110" s="162"/>
      <c r="F110" s="162"/>
      <c r="G110" s="162"/>
      <c r="H110" s="162"/>
      <c r="I110" s="162"/>
    </row>
    <row r="111" spans="1:9" ht="15.75" customHeight="1">
      <c r="A111" s="163" t="s">
        <v>58</v>
      </c>
      <c r="B111" s="163"/>
      <c r="C111" s="163"/>
      <c r="D111" s="163"/>
      <c r="E111" s="163"/>
      <c r="F111" s="163"/>
      <c r="G111" s="163"/>
      <c r="H111" s="163"/>
      <c r="I111" s="163"/>
    </row>
    <row r="112" spans="1:9" ht="15.75" customHeight="1">
      <c r="A112" s="10"/>
    </row>
    <row r="113" spans="1:9" ht="15.75" customHeight="1">
      <c r="A113" s="164" t="s">
        <v>9</v>
      </c>
      <c r="B113" s="164"/>
      <c r="C113" s="164"/>
      <c r="D113" s="164"/>
      <c r="E113" s="164"/>
      <c r="F113" s="164"/>
      <c r="G113" s="164"/>
      <c r="H113" s="164"/>
      <c r="I113" s="164"/>
    </row>
    <row r="114" spans="1:9" ht="15.75" customHeight="1">
      <c r="A114" s="4"/>
    </row>
    <row r="115" spans="1:9" ht="15.75" customHeight="1">
      <c r="B115" s="74" t="s">
        <v>10</v>
      </c>
      <c r="C115" s="165" t="s">
        <v>195</v>
      </c>
      <c r="D115" s="165"/>
      <c r="E115" s="165"/>
      <c r="F115" s="85"/>
      <c r="I115" s="73"/>
    </row>
    <row r="116" spans="1:9" ht="15.75" customHeight="1">
      <c r="A116" s="71"/>
      <c r="C116" s="161" t="s">
        <v>11</v>
      </c>
      <c r="D116" s="161"/>
      <c r="E116" s="161"/>
      <c r="F116" s="28"/>
      <c r="I116" s="72" t="s">
        <v>12</v>
      </c>
    </row>
    <row r="117" spans="1:9" ht="15.75" customHeight="1">
      <c r="A117" s="29"/>
      <c r="C117" s="11"/>
      <c r="D117" s="11"/>
      <c r="G117" s="11"/>
      <c r="H117" s="11"/>
    </row>
    <row r="118" spans="1:9" ht="15.75" customHeight="1">
      <c r="B118" s="74" t="s">
        <v>13</v>
      </c>
      <c r="C118" s="166"/>
      <c r="D118" s="166"/>
      <c r="E118" s="166"/>
      <c r="F118" s="86"/>
      <c r="I118" s="73"/>
    </row>
    <row r="119" spans="1:9" ht="15.75" customHeight="1">
      <c r="A119" s="71"/>
      <c r="C119" s="168" t="s">
        <v>11</v>
      </c>
      <c r="D119" s="168"/>
      <c r="E119" s="168"/>
      <c r="F119" s="71"/>
      <c r="I119" s="72" t="s">
        <v>12</v>
      </c>
    </row>
    <row r="120" spans="1:9" ht="15.75" customHeight="1">
      <c r="A120" s="4" t="s">
        <v>14</v>
      </c>
    </row>
    <row r="121" spans="1:9" ht="15.75" customHeight="1">
      <c r="A121" s="169" t="s">
        <v>15</v>
      </c>
      <c r="B121" s="169"/>
      <c r="C121" s="169"/>
      <c r="D121" s="169"/>
      <c r="E121" s="169"/>
      <c r="F121" s="169"/>
      <c r="G121" s="169"/>
      <c r="H121" s="169"/>
      <c r="I121" s="169"/>
    </row>
    <row r="122" spans="1:9" ht="45" customHeight="1">
      <c r="A122" s="167" t="s">
        <v>16</v>
      </c>
      <c r="B122" s="167"/>
      <c r="C122" s="167"/>
      <c r="D122" s="167"/>
      <c r="E122" s="167"/>
      <c r="F122" s="167"/>
      <c r="G122" s="167"/>
      <c r="H122" s="167"/>
      <c r="I122" s="167"/>
    </row>
    <row r="123" spans="1:9" ht="30" customHeight="1">
      <c r="A123" s="167" t="s">
        <v>17</v>
      </c>
      <c r="B123" s="167"/>
      <c r="C123" s="167"/>
      <c r="D123" s="167"/>
      <c r="E123" s="167"/>
      <c r="F123" s="167"/>
      <c r="G123" s="167"/>
      <c r="H123" s="167"/>
      <c r="I123" s="167"/>
    </row>
    <row r="124" spans="1:9" ht="30" customHeight="1">
      <c r="A124" s="167" t="s">
        <v>21</v>
      </c>
      <c r="B124" s="167"/>
      <c r="C124" s="167"/>
      <c r="D124" s="167"/>
      <c r="E124" s="167"/>
      <c r="F124" s="167"/>
      <c r="G124" s="167"/>
      <c r="H124" s="167"/>
      <c r="I124" s="167"/>
    </row>
    <row r="125" spans="1:9" ht="15" customHeight="1">
      <c r="A125" s="167" t="s">
        <v>20</v>
      </c>
      <c r="B125" s="167"/>
      <c r="C125" s="167"/>
      <c r="D125" s="167"/>
      <c r="E125" s="167"/>
      <c r="F125" s="167"/>
      <c r="G125" s="167"/>
      <c r="H125" s="167"/>
      <c r="I125" s="167"/>
    </row>
  </sheetData>
  <autoFilter ref="I12:I71"/>
  <mergeCells count="29">
    <mergeCell ref="A14:I14"/>
    <mergeCell ref="A15:I15"/>
    <mergeCell ref="A28:I28"/>
    <mergeCell ref="A44:I44"/>
    <mergeCell ref="A56:I56"/>
    <mergeCell ref="A3:I3"/>
    <mergeCell ref="A4:I4"/>
    <mergeCell ref="A5:I5"/>
    <mergeCell ref="A8:I8"/>
    <mergeCell ref="A10:I10"/>
    <mergeCell ref="R75:U75"/>
    <mergeCell ref="C119:E119"/>
    <mergeCell ref="A99:I99"/>
    <mergeCell ref="A105:I105"/>
    <mergeCell ref="B106:G106"/>
    <mergeCell ref="B107:G107"/>
    <mergeCell ref="A109:I109"/>
    <mergeCell ref="A110:I110"/>
    <mergeCell ref="A111:I111"/>
    <mergeCell ref="A113:I113"/>
    <mergeCell ref="C115:E115"/>
    <mergeCell ref="C116:E116"/>
    <mergeCell ref="C118:E118"/>
    <mergeCell ref="A95:I95"/>
    <mergeCell ref="A121:I121"/>
    <mergeCell ref="A122:I122"/>
    <mergeCell ref="A123:I123"/>
    <mergeCell ref="A124:I124"/>
    <mergeCell ref="A125:I125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U127"/>
  <sheetViews>
    <sheetView topLeftCell="A101" workbookViewId="0">
      <selection activeCell="A115" sqref="A115:I11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9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174</v>
      </c>
      <c r="I1" s="30"/>
      <c r="J1" s="1"/>
      <c r="K1" s="1"/>
      <c r="L1" s="1"/>
      <c r="M1" s="1"/>
    </row>
    <row r="2" spans="1:13" ht="15.75" customHeight="1">
      <c r="A2" s="32" t="s">
        <v>59</v>
      </c>
      <c r="J2" s="2"/>
      <c r="K2" s="2"/>
      <c r="L2" s="2"/>
      <c r="M2" s="2"/>
    </row>
    <row r="3" spans="1:13" ht="15.75" customHeight="1">
      <c r="A3" s="174" t="s">
        <v>162</v>
      </c>
      <c r="B3" s="174"/>
      <c r="C3" s="174"/>
      <c r="D3" s="174"/>
      <c r="E3" s="174"/>
      <c r="F3" s="174"/>
      <c r="G3" s="174"/>
      <c r="H3" s="174"/>
      <c r="I3" s="174"/>
      <c r="J3" s="3"/>
      <c r="K3" s="3"/>
      <c r="L3" s="3"/>
    </row>
    <row r="4" spans="1:13" ht="31.5" customHeight="1">
      <c r="A4" s="175" t="s">
        <v>119</v>
      </c>
      <c r="B4" s="175"/>
      <c r="C4" s="175"/>
      <c r="D4" s="175"/>
      <c r="E4" s="175"/>
      <c r="F4" s="175"/>
      <c r="G4" s="175"/>
      <c r="H4" s="175"/>
      <c r="I4" s="175"/>
    </row>
    <row r="5" spans="1:13" ht="15.75" customHeight="1">
      <c r="A5" s="174" t="s">
        <v>211</v>
      </c>
      <c r="B5" s="178"/>
      <c r="C5" s="178"/>
      <c r="D5" s="178"/>
      <c r="E5" s="178"/>
      <c r="F5" s="178"/>
      <c r="G5" s="178"/>
      <c r="H5" s="178"/>
      <c r="I5" s="178"/>
      <c r="J5" s="2"/>
      <c r="K5" s="2"/>
      <c r="L5" s="2"/>
      <c r="M5" s="2"/>
    </row>
    <row r="6" spans="1:13" ht="15.75" customHeight="1">
      <c r="A6" s="2"/>
      <c r="B6" s="75"/>
      <c r="C6" s="75"/>
      <c r="D6" s="75"/>
      <c r="E6" s="75"/>
      <c r="F6" s="75"/>
      <c r="G6" s="75"/>
      <c r="H6" s="75"/>
      <c r="I6" s="34">
        <v>44316</v>
      </c>
      <c r="J6" s="2"/>
      <c r="K6" s="2"/>
      <c r="L6" s="2"/>
      <c r="M6" s="2"/>
    </row>
    <row r="7" spans="1:13" ht="15.75" customHeight="1">
      <c r="B7" s="74"/>
      <c r="C7" s="74"/>
      <c r="D7" s="74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76" t="s">
        <v>194</v>
      </c>
      <c r="B8" s="176"/>
      <c r="C8" s="176"/>
      <c r="D8" s="176"/>
      <c r="E8" s="176"/>
      <c r="F8" s="176"/>
      <c r="G8" s="176"/>
      <c r="H8" s="176"/>
      <c r="I8" s="17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77" t="s">
        <v>144</v>
      </c>
      <c r="B10" s="177"/>
      <c r="C10" s="177"/>
      <c r="D10" s="177"/>
      <c r="E10" s="177"/>
      <c r="F10" s="177"/>
      <c r="G10" s="177"/>
      <c r="H10" s="177"/>
      <c r="I10" s="177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79" t="s">
        <v>56</v>
      </c>
      <c r="B14" s="179"/>
      <c r="C14" s="179"/>
      <c r="D14" s="179"/>
      <c r="E14" s="179"/>
      <c r="F14" s="179"/>
      <c r="G14" s="179"/>
      <c r="H14" s="179"/>
      <c r="I14" s="179"/>
      <c r="J14" s="8"/>
      <c r="K14" s="8"/>
      <c r="L14" s="8"/>
      <c r="M14" s="8"/>
    </row>
    <row r="15" spans="1:13" ht="15.75" customHeight="1">
      <c r="A15" s="180" t="s">
        <v>4</v>
      </c>
      <c r="B15" s="180"/>
      <c r="C15" s="180"/>
      <c r="D15" s="180"/>
      <c r="E15" s="180"/>
      <c r="F15" s="180"/>
      <c r="G15" s="180"/>
      <c r="H15" s="180"/>
      <c r="I15" s="180"/>
      <c r="J15" s="8"/>
      <c r="K15" s="8"/>
      <c r="L15" s="8"/>
      <c r="M15" s="8"/>
    </row>
    <row r="16" spans="1:13" ht="15.75" customHeight="1">
      <c r="A16" s="33">
        <v>1</v>
      </c>
      <c r="B16" s="89" t="s">
        <v>81</v>
      </c>
      <c r="C16" s="90" t="s">
        <v>82</v>
      </c>
      <c r="D16" s="89" t="s">
        <v>178</v>
      </c>
      <c r="E16" s="91">
        <v>53.8</v>
      </c>
      <c r="F16" s="92">
        <f>SUM(E16*156/100)</f>
        <v>83.927999999999997</v>
      </c>
      <c r="G16" s="92">
        <v>218.21</v>
      </c>
      <c r="H16" s="93">
        <f t="shared" ref="H16:H26" si="0">SUM(F16*G16/1000)</f>
        <v>18.313928879999999</v>
      </c>
      <c r="I16" s="13">
        <f>F16/12*G16</f>
        <v>1526.16074</v>
      </c>
      <c r="J16" s="8"/>
      <c r="K16" s="8"/>
      <c r="L16" s="8"/>
      <c r="M16" s="8"/>
    </row>
    <row r="17" spans="1:13" ht="15.75" customHeight="1">
      <c r="A17" s="33">
        <v>2</v>
      </c>
      <c r="B17" s="89" t="s">
        <v>120</v>
      </c>
      <c r="C17" s="90" t="s">
        <v>82</v>
      </c>
      <c r="D17" s="89" t="s">
        <v>179</v>
      </c>
      <c r="E17" s="91">
        <v>107.6</v>
      </c>
      <c r="F17" s="92">
        <f>SUM(E17*104/100)</f>
        <v>111.904</v>
      </c>
      <c r="G17" s="92">
        <v>218.21</v>
      </c>
      <c r="H17" s="93">
        <f t="shared" si="0"/>
        <v>24.418571840000002</v>
      </c>
      <c r="I17" s="13">
        <f>F17/12*G17</f>
        <v>2034.8809866666668</v>
      </c>
      <c r="J17" s="26"/>
      <c r="K17" s="8"/>
      <c r="L17" s="8"/>
      <c r="M17" s="8"/>
    </row>
    <row r="18" spans="1:13" ht="15.75" customHeight="1">
      <c r="A18" s="33">
        <v>3</v>
      </c>
      <c r="B18" s="89" t="s">
        <v>83</v>
      </c>
      <c r="C18" s="90" t="s">
        <v>82</v>
      </c>
      <c r="D18" s="89" t="s">
        <v>180</v>
      </c>
      <c r="E18" s="91">
        <f>SUM(E16+E17)</f>
        <v>161.39999999999998</v>
      </c>
      <c r="F18" s="92">
        <f>SUM(E18*24/100)</f>
        <v>38.735999999999997</v>
      </c>
      <c r="G18" s="92">
        <v>627.77</v>
      </c>
      <c r="H18" s="93">
        <f t="shared" si="0"/>
        <v>24.31729872</v>
      </c>
      <c r="I18" s="13">
        <f>F18/12*G18</f>
        <v>2026.4415599999998</v>
      </c>
      <c r="J18" s="26"/>
      <c r="K18" s="8"/>
      <c r="L18" s="8"/>
      <c r="M18" s="8"/>
    </row>
    <row r="19" spans="1:13" ht="15.75" hidden="1" customHeight="1">
      <c r="A19" s="33"/>
      <c r="B19" s="89" t="s">
        <v>84</v>
      </c>
      <c r="C19" s="90" t="s">
        <v>85</v>
      </c>
      <c r="D19" s="89" t="s">
        <v>86</v>
      </c>
      <c r="E19" s="91">
        <v>15.3</v>
      </c>
      <c r="F19" s="92">
        <f>SUM(E19/10)</f>
        <v>1.53</v>
      </c>
      <c r="G19" s="92">
        <v>211.74</v>
      </c>
      <c r="H19" s="93">
        <f t="shared" si="0"/>
        <v>0.32396219999999998</v>
      </c>
      <c r="I19" s="13">
        <v>0</v>
      </c>
      <c r="J19" s="26"/>
      <c r="K19" s="8"/>
      <c r="L19" s="8"/>
      <c r="M19" s="8"/>
    </row>
    <row r="20" spans="1:13" ht="15.75" hidden="1" customHeight="1">
      <c r="A20" s="33">
        <v>4</v>
      </c>
      <c r="B20" s="89" t="s">
        <v>91</v>
      </c>
      <c r="C20" s="90" t="s">
        <v>50</v>
      </c>
      <c r="D20" s="89" t="s">
        <v>121</v>
      </c>
      <c r="E20" s="91">
        <v>4.5</v>
      </c>
      <c r="F20" s="92">
        <f>E20/100</f>
        <v>4.4999999999999998E-2</v>
      </c>
      <c r="G20" s="92">
        <v>484.94</v>
      </c>
      <c r="H20" s="93">
        <f>SUM(F20*G20/1000)</f>
        <v>2.1822299999999999E-2</v>
      </c>
      <c r="I20" s="13">
        <v>0</v>
      </c>
      <c r="J20" s="26"/>
      <c r="K20" s="8"/>
      <c r="L20" s="8"/>
      <c r="M20" s="8"/>
    </row>
    <row r="21" spans="1:13" ht="15.75" hidden="1" customHeight="1">
      <c r="A21" s="33">
        <v>5</v>
      </c>
      <c r="B21" s="89" t="s">
        <v>87</v>
      </c>
      <c r="C21" s="90" t="s">
        <v>82</v>
      </c>
      <c r="D21" s="89" t="s">
        <v>40</v>
      </c>
      <c r="E21" s="91">
        <v>19.62</v>
      </c>
      <c r="F21" s="92">
        <f>SUM(E21*2/100)</f>
        <v>0.39240000000000003</v>
      </c>
      <c r="G21" s="92">
        <v>271.12</v>
      </c>
      <c r="H21" s="93">
        <f t="shared" si="0"/>
        <v>0.106387488</v>
      </c>
      <c r="I21" s="13">
        <v>0</v>
      </c>
      <c r="J21" s="26"/>
      <c r="K21" s="8"/>
      <c r="L21" s="8"/>
      <c r="M21" s="8"/>
    </row>
    <row r="22" spans="1:13" ht="15.75" hidden="1" customHeight="1">
      <c r="A22" s="33"/>
      <c r="B22" s="89" t="s">
        <v>88</v>
      </c>
      <c r="C22" s="90" t="s">
        <v>82</v>
      </c>
      <c r="D22" s="89" t="s">
        <v>40</v>
      </c>
      <c r="E22" s="91">
        <v>8.68</v>
      </c>
      <c r="F22" s="92">
        <f>SUM(E22*2/100)</f>
        <v>0.1736</v>
      </c>
      <c r="G22" s="92">
        <v>268.92</v>
      </c>
      <c r="H22" s="93">
        <f t="shared" si="0"/>
        <v>4.6684512000000004E-2</v>
      </c>
      <c r="I22" s="13">
        <v>0</v>
      </c>
      <c r="J22" s="26"/>
      <c r="K22" s="8"/>
      <c r="L22" s="8"/>
      <c r="M22" s="8"/>
    </row>
    <row r="23" spans="1:13" ht="15.75" hidden="1" customHeight="1">
      <c r="A23" s="33"/>
      <c r="B23" s="89" t="s">
        <v>89</v>
      </c>
      <c r="C23" s="90" t="s">
        <v>50</v>
      </c>
      <c r="D23" s="89" t="s">
        <v>86</v>
      </c>
      <c r="E23" s="91">
        <v>215</v>
      </c>
      <c r="F23" s="92">
        <f>SUM(E23/100)</f>
        <v>2.15</v>
      </c>
      <c r="G23" s="92">
        <v>335.05</v>
      </c>
      <c r="H23" s="93">
        <f t="shared" si="0"/>
        <v>0.72035749999999998</v>
      </c>
      <c r="I23" s="13">
        <v>0</v>
      </c>
      <c r="J23" s="26"/>
      <c r="K23" s="8"/>
      <c r="L23" s="8"/>
      <c r="M23" s="8"/>
    </row>
    <row r="24" spans="1:13" ht="15.75" hidden="1" customHeight="1">
      <c r="A24" s="33"/>
      <c r="B24" s="89" t="s">
        <v>90</v>
      </c>
      <c r="C24" s="90" t="s">
        <v>50</v>
      </c>
      <c r="D24" s="89" t="s">
        <v>86</v>
      </c>
      <c r="E24" s="94">
        <v>17.64</v>
      </c>
      <c r="F24" s="92">
        <f>SUM(E24/100)</f>
        <v>0.1764</v>
      </c>
      <c r="G24" s="92">
        <v>55.1</v>
      </c>
      <c r="H24" s="93">
        <f t="shared" si="0"/>
        <v>9.7196399999999999E-3</v>
      </c>
      <c r="I24" s="13">
        <v>0</v>
      </c>
      <c r="J24" s="26"/>
      <c r="K24" s="8"/>
      <c r="L24" s="8"/>
      <c r="M24" s="8"/>
    </row>
    <row r="25" spans="1:13" ht="15.75" hidden="1" customHeight="1">
      <c r="A25" s="45">
        <v>6</v>
      </c>
      <c r="B25" s="89" t="s">
        <v>92</v>
      </c>
      <c r="C25" s="90" t="s">
        <v>50</v>
      </c>
      <c r="D25" s="89" t="s">
        <v>86</v>
      </c>
      <c r="E25" s="91">
        <v>14.4</v>
      </c>
      <c r="F25" s="92">
        <f>SUM(E25/100)</f>
        <v>0.14400000000000002</v>
      </c>
      <c r="G25" s="92">
        <v>648.04999999999995</v>
      </c>
      <c r="H25" s="93">
        <f>SUM(F25*G25/1000)</f>
        <v>9.3319200000000005E-2</v>
      </c>
      <c r="I25" s="13">
        <v>0</v>
      </c>
      <c r="J25" s="26"/>
      <c r="K25" s="8"/>
      <c r="L25" s="8"/>
      <c r="M25" s="8"/>
    </row>
    <row r="26" spans="1:13" ht="15.75" hidden="1" customHeight="1">
      <c r="A26" s="45"/>
      <c r="B26" s="89" t="s">
        <v>122</v>
      </c>
      <c r="C26" s="90" t="s">
        <v>50</v>
      </c>
      <c r="D26" s="89" t="s">
        <v>51</v>
      </c>
      <c r="E26" s="91">
        <v>9.4499999999999993</v>
      </c>
      <c r="F26" s="92">
        <v>0.09</v>
      </c>
      <c r="G26" s="92">
        <v>268.92</v>
      </c>
      <c r="H26" s="93">
        <f t="shared" si="0"/>
        <v>2.42028E-2</v>
      </c>
      <c r="I26" s="13">
        <v>0</v>
      </c>
      <c r="J26" s="26"/>
      <c r="K26" s="8"/>
      <c r="L26" s="8"/>
      <c r="M26" s="8"/>
    </row>
    <row r="27" spans="1:13" ht="15.75" hidden="1" customHeight="1">
      <c r="A27" s="45">
        <v>4</v>
      </c>
      <c r="B27" s="89" t="s">
        <v>177</v>
      </c>
      <c r="C27" s="44" t="s">
        <v>173</v>
      </c>
      <c r="D27" s="120" t="s">
        <v>181</v>
      </c>
      <c r="E27" s="121">
        <v>2.5099999999999998</v>
      </c>
      <c r="F27" s="122">
        <f>E27*258</f>
        <v>647.57999999999993</v>
      </c>
      <c r="G27" s="122">
        <v>10.39</v>
      </c>
      <c r="H27" s="93">
        <f t="shared" ref="H27" si="1">SUM(F27*G27/1000)</f>
        <v>6.7283561999999995</v>
      </c>
      <c r="I27" s="13">
        <f>F27/12*G27</f>
        <v>560.69634999999994</v>
      </c>
      <c r="J27" s="26"/>
      <c r="K27" s="8"/>
      <c r="L27" s="8"/>
      <c r="M27" s="8"/>
    </row>
    <row r="28" spans="1:13" ht="15.75" customHeight="1">
      <c r="A28" s="180" t="s">
        <v>79</v>
      </c>
      <c r="B28" s="180"/>
      <c r="C28" s="180"/>
      <c r="D28" s="180"/>
      <c r="E28" s="180"/>
      <c r="F28" s="180"/>
      <c r="G28" s="180"/>
      <c r="H28" s="180"/>
      <c r="I28" s="180"/>
      <c r="J28" s="26"/>
      <c r="K28" s="8"/>
      <c r="L28" s="8"/>
      <c r="M28" s="8"/>
    </row>
    <row r="29" spans="1:13" ht="15.75" hidden="1" customHeight="1">
      <c r="A29" s="45"/>
      <c r="B29" s="55" t="s">
        <v>26</v>
      </c>
      <c r="C29" s="55"/>
      <c r="D29" s="55"/>
      <c r="E29" s="55"/>
      <c r="F29" s="55"/>
      <c r="G29" s="55"/>
      <c r="H29" s="55"/>
      <c r="I29" s="19"/>
      <c r="J29" s="26"/>
      <c r="K29" s="8"/>
      <c r="L29" s="8"/>
      <c r="M29" s="8"/>
    </row>
    <row r="30" spans="1:13" ht="15.75" hidden="1" customHeight="1">
      <c r="A30" s="45">
        <v>2</v>
      </c>
      <c r="B30" s="89" t="s">
        <v>150</v>
      </c>
      <c r="C30" s="90" t="s">
        <v>93</v>
      </c>
      <c r="D30" s="89" t="s">
        <v>94</v>
      </c>
      <c r="E30" s="92">
        <v>306.55</v>
      </c>
      <c r="F30" s="92">
        <f>SUM(E30*52/1000)</f>
        <v>15.9406</v>
      </c>
      <c r="G30" s="92">
        <v>193.97</v>
      </c>
      <c r="H30" s="93">
        <f t="shared" ref="H30:H36" si="2">SUM(F30*G30/1000)</f>
        <v>3.0919981819999998</v>
      </c>
      <c r="I30" s="13">
        <f>F30/6*G30</f>
        <v>515.33303033333334</v>
      </c>
      <c r="J30" s="26"/>
      <c r="K30" s="8"/>
      <c r="L30" s="8"/>
      <c r="M30" s="8"/>
    </row>
    <row r="31" spans="1:13" ht="31.5" hidden="1" customHeight="1">
      <c r="A31" s="45">
        <v>3</v>
      </c>
      <c r="B31" s="89" t="s">
        <v>95</v>
      </c>
      <c r="C31" s="90" t="s">
        <v>93</v>
      </c>
      <c r="D31" s="89" t="s">
        <v>96</v>
      </c>
      <c r="E31" s="92">
        <v>42.5</v>
      </c>
      <c r="F31" s="92">
        <f>SUM(E31*78/1000)</f>
        <v>3.3149999999999999</v>
      </c>
      <c r="G31" s="92">
        <v>321.82</v>
      </c>
      <c r="H31" s="93">
        <f t="shared" si="2"/>
        <v>1.0668333000000001</v>
      </c>
      <c r="I31" s="13">
        <f t="shared" ref="I31:I34" si="3">F31/6*G31</f>
        <v>177.80554999999998</v>
      </c>
      <c r="J31" s="26"/>
      <c r="K31" s="8"/>
      <c r="L31" s="8"/>
      <c r="M31" s="8"/>
    </row>
    <row r="32" spans="1:13" ht="15.75" hidden="1" customHeight="1">
      <c r="A32" s="45">
        <v>4</v>
      </c>
      <c r="B32" s="89" t="s">
        <v>149</v>
      </c>
      <c r="C32" s="90" t="s">
        <v>93</v>
      </c>
      <c r="D32" s="89" t="s">
        <v>51</v>
      </c>
      <c r="E32" s="92">
        <v>306.55</v>
      </c>
      <c r="F32" s="92">
        <f>SUM(E32/1000)</f>
        <v>0.30654999999999999</v>
      </c>
      <c r="G32" s="92">
        <v>3758.28</v>
      </c>
      <c r="H32" s="93">
        <f t="shared" si="2"/>
        <v>1.152100734</v>
      </c>
      <c r="I32" s="13">
        <f>F32*G32</f>
        <v>1152.1007340000001</v>
      </c>
      <c r="J32" s="26"/>
      <c r="K32" s="8"/>
      <c r="L32" s="8"/>
      <c r="M32" s="8"/>
    </row>
    <row r="33" spans="1:14" ht="15.75" hidden="1" customHeight="1">
      <c r="A33" s="45"/>
      <c r="B33" s="89" t="s">
        <v>123</v>
      </c>
      <c r="C33" s="90" t="s">
        <v>38</v>
      </c>
      <c r="D33" s="89" t="s">
        <v>60</v>
      </c>
      <c r="E33" s="92">
        <v>3</v>
      </c>
      <c r="F33" s="92">
        <f>E33*155/100</f>
        <v>4.6500000000000004</v>
      </c>
      <c r="G33" s="92">
        <v>1620.15</v>
      </c>
      <c r="H33" s="93">
        <f t="shared" si="2"/>
        <v>7.5336975000000015</v>
      </c>
      <c r="I33" s="13">
        <f t="shared" si="3"/>
        <v>1255.61625</v>
      </c>
      <c r="J33" s="26"/>
      <c r="K33" s="8"/>
      <c r="L33" s="8"/>
      <c r="M33" s="8"/>
    </row>
    <row r="34" spans="1:14" ht="15.75" hidden="1" customHeight="1">
      <c r="A34" s="45">
        <v>5</v>
      </c>
      <c r="B34" s="89" t="s">
        <v>97</v>
      </c>
      <c r="C34" s="90" t="s">
        <v>28</v>
      </c>
      <c r="D34" s="89" t="s">
        <v>60</v>
      </c>
      <c r="E34" s="96">
        <f>1/3</f>
        <v>0.33333333333333331</v>
      </c>
      <c r="F34" s="92">
        <f>155/3</f>
        <v>51.666666666666664</v>
      </c>
      <c r="G34" s="92">
        <v>70.540000000000006</v>
      </c>
      <c r="H34" s="93">
        <f t="shared" si="2"/>
        <v>3.6445666666666665</v>
      </c>
      <c r="I34" s="13">
        <f t="shared" si="3"/>
        <v>607.42777777777781</v>
      </c>
      <c r="J34" s="26"/>
      <c r="K34" s="8"/>
      <c r="L34" s="8"/>
      <c r="M34" s="8"/>
    </row>
    <row r="35" spans="1:14" ht="15.75" hidden="1" customHeight="1">
      <c r="A35" s="45">
        <v>4</v>
      </c>
      <c r="B35" s="89" t="s">
        <v>61</v>
      </c>
      <c r="C35" s="90" t="s">
        <v>30</v>
      </c>
      <c r="D35" s="89" t="s">
        <v>63</v>
      </c>
      <c r="E35" s="91"/>
      <c r="F35" s="92">
        <v>2</v>
      </c>
      <c r="G35" s="92">
        <v>238.07</v>
      </c>
      <c r="H35" s="93">
        <f t="shared" si="2"/>
        <v>0.47614000000000001</v>
      </c>
      <c r="I35" s="13">
        <v>0</v>
      </c>
      <c r="J35" s="26"/>
      <c r="K35" s="8"/>
    </row>
    <row r="36" spans="1:14" ht="15.75" hidden="1" customHeight="1">
      <c r="A36" s="33">
        <v>8</v>
      </c>
      <c r="B36" s="89" t="s">
        <v>62</v>
      </c>
      <c r="C36" s="90" t="s">
        <v>29</v>
      </c>
      <c r="D36" s="89" t="s">
        <v>63</v>
      </c>
      <c r="E36" s="91"/>
      <c r="F36" s="92">
        <v>3</v>
      </c>
      <c r="G36" s="92">
        <v>1413.96</v>
      </c>
      <c r="H36" s="93">
        <f t="shared" si="2"/>
        <v>4.2418800000000001</v>
      </c>
      <c r="I36" s="13">
        <v>0</v>
      </c>
      <c r="J36" s="27"/>
    </row>
    <row r="37" spans="1:14" ht="15.75" customHeight="1">
      <c r="A37" s="45"/>
      <c r="B37" s="53" t="s">
        <v>5</v>
      </c>
      <c r="C37" s="53"/>
      <c r="D37" s="53"/>
      <c r="E37" s="13"/>
      <c r="F37" s="13"/>
      <c r="G37" s="14"/>
      <c r="H37" s="14"/>
      <c r="I37" s="19"/>
      <c r="J37" s="27"/>
    </row>
    <row r="38" spans="1:14" ht="15.75" hidden="1" customHeight="1">
      <c r="A38" s="37">
        <v>6</v>
      </c>
      <c r="B38" s="89" t="s">
        <v>25</v>
      </c>
      <c r="C38" s="90" t="s">
        <v>29</v>
      </c>
      <c r="D38" s="89"/>
      <c r="E38" s="91"/>
      <c r="F38" s="92">
        <v>2</v>
      </c>
      <c r="G38" s="92">
        <v>1900.37</v>
      </c>
      <c r="H38" s="93">
        <f t="shared" ref="H38:H43" si="4">SUM(F38*G38/1000)</f>
        <v>3.8007399999999998</v>
      </c>
      <c r="I38" s="13">
        <f t="shared" ref="I38:I41" si="5">F38/6*G38</f>
        <v>633.45666666666659</v>
      </c>
      <c r="J38" s="27"/>
    </row>
    <row r="39" spans="1:14" ht="15.75" customHeight="1">
      <c r="A39" s="37">
        <v>4</v>
      </c>
      <c r="B39" s="89" t="s">
        <v>64</v>
      </c>
      <c r="C39" s="90" t="s">
        <v>27</v>
      </c>
      <c r="D39" s="89" t="s">
        <v>188</v>
      </c>
      <c r="E39" s="92">
        <v>42.5</v>
      </c>
      <c r="F39" s="92">
        <f>SUM(E39*30/1000)</f>
        <v>1.2749999999999999</v>
      </c>
      <c r="G39" s="92">
        <v>2616.4899999999998</v>
      </c>
      <c r="H39" s="93">
        <f t="shared" si="4"/>
        <v>3.3360247499999995</v>
      </c>
      <c r="I39" s="13">
        <f t="shared" si="5"/>
        <v>556.00412499999993</v>
      </c>
      <c r="J39" s="27"/>
    </row>
    <row r="40" spans="1:14" ht="15.75" customHeight="1">
      <c r="A40" s="37">
        <v>5</v>
      </c>
      <c r="B40" s="89" t="s">
        <v>65</v>
      </c>
      <c r="C40" s="90" t="s">
        <v>27</v>
      </c>
      <c r="D40" s="89" t="s">
        <v>187</v>
      </c>
      <c r="E40" s="92">
        <v>42.5</v>
      </c>
      <c r="F40" s="92">
        <f>SUM(E40*155/1000)</f>
        <v>6.5875000000000004</v>
      </c>
      <c r="G40" s="92">
        <v>436.45</v>
      </c>
      <c r="H40" s="93">
        <f t="shared" si="4"/>
        <v>2.8751143749999999</v>
      </c>
      <c r="I40" s="13">
        <f t="shared" si="5"/>
        <v>479.18572916666665</v>
      </c>
      <c r="J40" s="27"/>
    </row>
    <row r="41" spans="1:14" ht="47.25" customHeight="1">
      <c r="A41" s="37">
        <v>6</v>
      </c>
      <c r="B41" s="89" t="s">
        <v>78</v>
      </c>
      <c r="C41" s="90" t="s">
        <v>93</v>
      </c>
      <c r="D41" s="89" t="s">
        <v>188</v>
      </c>
      <c r="E41" s="92">
        <v>42.5</v>
      </c>
      <c r="F41" s="92">
        <f>SUM(E41*35/1000)</f>
        <v>1.4875</v>
      </c>
      <c r="G41" s="92">
        <v>7221.21</v>
      </c>
      <c r="H41" s="93">
        <f t="shared" si="4"/>
        <v>10.741549875</v>
      </c>
      <c r="I41" s="13">
        <f t="shared" si="5"/>
        <v>1790.2583125000001</v>
      </c>
      <c r="J41" s="27"/>
    </row>
    <row r="42" spans="1:14" ht="15.75" hidden="1" customHeight="1">
      <c r="A42" s="37">
        <v>8</v>
      </c>
      <c r="B42" s="89" t="s">
        <v>101</v>
      </c>
      <c r="C42" s="90" t="s">
        <v>93</v>
      </c>
      <c r="D42" s="89" t="s">
        <v>189</v>
      </c>
      <c r="E42" s="92">
        <v>42.5</v>
      </c>
      <c r="F42" s="92">
        <f>SUM(E42*20/1000)</f>
        <v>0.85</v>
      </c>
      <c r="G42" s="92">
        <v>533.45000000000005</v>
      </c>
      <c r="H42" s="93">
        <f t="shared" si="4"/>
        <v>0.45343250000000002</v>
      </c>
      <c r="I42" s="13">
        <f>F42/7.5*1.5*G42</f>
        <v>90.686499999999995</v>
      </c>
      <c r="J42" s="27"/>
      <c r="L42" s="21"/>
      <c r="M42" s="22"/>
      <c r="N42" s="23"/>
    </row>
    <row r="43" spans="1:14" ht="15.75" hidden="1" customHeight="1">
      <c r="A43" s="37">
        <v>9</v>
      </c>
      <c r="B43" s="89" t="s">
        <v>66</v>
      </c>
      <c r="C43" s="90" t="s">
        <v>30</v>
      </c>
      <c r="D43" s="89"/>
      <c r="E43" s="91"/>
      <c r="F43" s="92">
        <v>0.5</v>
      </c>
      <c r="G43" s="92">
        <v>992.97</v>
      </c>
      <c r="H43" s="93">
        <f t="shared" si="4"/>
        <v>0.49648500000000001</v>
      </c>
      <c r="I43" s="13">
        <f>F43/7.5*1.5*G43</f>
        <v>99.297000000000011</v>
      </c>
      <c r="J43" s="27"/>
      <c r="L43" s="21"/>
      <c r="M43" s="22"/>
      <c r="N43" s="23"/>
    </row>
    <row r="44" spans="1:14" ht="21" hidden="1" customHeight="1">
      <c r="A44" s="170" t="s">
        <v>146</v>
      </c>
      <c r="B44" s="171"/>
      <c r="C44" s="171"/>
      <c r="D44" s="171"/>
      <c r="E44" s="171"/>
      <c r="F44" s="171"/>
      <c r="G44" s="171"/>
      <c r="H44" s="171"/>
      <c r="I44" s="172"/>
      <c r="J44" s="27"/>
      <c r="L44" s="21"/>
      <c r="M44" s="22"/>
      <c r="N44" s="23"/>
    </row>
    <row r="45" spans="1:14" ht="24.75" hidden="1" customHeight="1">
      <c r="A45" s="45">
        <v>15</v>
      </c>
      <c r="B45" s="89" t="s">
        <v>103</v>
      </c>
      <c r="C45" s="90" t="s">
        <v>93</v>
      </c>
      <c r="D45" s="89" t="s">
        <v>40</v>
      </c>
      <c r="E45" s="91">
        <v>1060.4000000000001</v>
      </c>
      <c r="F45" s="92">
        <f>SUM(E45*2/1000)</f>
        <v>2.1208</v>
      </c>
      <c r="G45" s="13">
        <v>1283.46</v>
      </c>
      <c r="H45" s="93">
        <f t="shared" ref="H45:H55" si="6">SUM(F45*G45/1000)</f>
        <v>2.721961968</v>
      </c>
      <c r="I45" s="13">
        <v>0</v>
      </c>
      <c r="J45" s="27"/>
      <c r="L45" s="21"/>
      <c r="M45" s="22"/>
      <c r="N45" s="23"/>
    </row>
    <row r="46" spans="1:14" ht="22.5" hidden="1" customHeight="1">
      <c r="A46" s="45"/>
      <c r="B46" s="89" t="s">
        <v>33</v>
      </c>
      <c r="C46" s="90" t="s">
        <v>93</v>
      </c>
      <c r="D46" s="89" t="s">
        <v>40</v>
      </c>
      <c r="E46" s="91">
        <v>19.8</v>
      </c>
      <c r="F46" s="92">
        <f>SUM(E46*2/1000)</f>
        <v>3.9600000000000003E-2</v>
      </c>
      <c r="G46" s="13">
        <v>721.04</v>
      </c>
      <c r="H46" s="93">
        <f t="shared" si="6"/>
        <v>2.8553184000000002E-2</v>
      </c>
      <c r="I46" s="13">
        <v>0</v>
      </c>
      <c r="J46" s="27"/>
      <c r="L46" s="21"/>
      <c r="M46" s="22"/>
      <c r="N46" s="23"/>
    </row>
    <row r="47" spans="1:14" ht="20.25" hidden="1" customHeight="1">
      <c r="A47" s="45">
        <v>16</v>
      </c>
      <c r="B47" s="89" t="s">
        <v>34</v>
      </c>
      <c r="C47" s="90" t="s">
        <v>93</v>
      </c>
      <c r="D47" s="89" t="s">
        <v>40</v>
      </c>
      <c r="E47" s="91">
        <v>660.84</v>
      </c>
      <c r="F47" s="92">
        <f>SUM(E47*2/1000)</f>
        <v>1.32168</v>
      </c>
      <c r="G47" s="13">
        <v>1711.28</v>
      </c>
      <c r="H47" s="93">
        <f t="shared" si="6"/>
        <v>2.2617645503999997</v>
      </c>
      <c r="I47" s="13">
        <v>0</v>
      </c>
      <c r="J47" s="27"/>
      <c r="L47" s="21"/>
      <c r="M47" s="22"/>
      <c r="N47" s="23"/>
    </row>
    <row r="48" spans="1:14" ht="24.75" hidden="1" customHeight="1">
      <c r="A48" s="45">
        <v>17</v>
      </c>
      <c r="B48" s="89" t="s">
        <v>35</v>
      </c>
      <c r="C48" s="90" t="s">
        <v>93</v>
      </c>
      <c r="D48" s="89" t="s">
        <v>40</v>
      </c>
      <c r="E48" s="91">
        <v>1156.21</v>
      </c>
      <c r="F48" s="92">
        <f>SUM(E48*2/1000)</f>
        <v>2.3124199999999999</v>
      </c>
      <c r="G48" s="13">
        <v>1179.73</v>
      </c>
      <c r="H48" s="93">
        <f t="shared" si="6"/>
        <v>2.7280312466000001</v>
      </c>
      <c r="I48" s="13">
        <v>0</v>
      </c>
      <c r="J48" s="27"/>
      <c r="L48" s="21"/>
      <c r="M48" s="22"/>
      <c r="N48" s="23"/>
    </row>
    <row r="49" spans="1:14" ht="24" hidden="1" customHeight="1">
      <c r="A49" s="45">
        <v>18</v>
      </c>
      <c r="B49" s="89" t="s">
        <v>31</v>
      </c>
      <c r="C49" s="90" t="s">
        <v>32</v>
      </c>
      <c r="D49" s="89" t="s">
        <v>40</v>
      </c>
      <c r="E49" s="91">
        <v>15.38</v>
      </c>
      <c r="F49" s="92">
        <f>SUM(E49*2/100)</f>
        <v>0.30760000000000004</v>
      </c>
      <c r="G49" s="13">
        <v>90.61</v>
      </c>
      <c r="H49" s="93">
        <f t="shared" si="6"/>
        <v>2.7871636000000002E-2</v>
      </c>
      <c r="I49" s="13">
        <v>0</v>
      </c>
      <c r="J49" s="27"/>
      <c r="L49" s="21"/>
      <c r="M49" s="22"/>
      <c r="N49" s="23"/>
    </row>
    <row r="50" spans="1:14" ht="39.75" hidden="1" customHeight="1">
      <c r="A50" s="45">
        <v>12</v>
      </c>
      <c r="B50" s="89" t="s">
        <v>53</v>
      </c>
      <c r="C50" s="90" t="s">
        <v>93</v>
      </c>
      <c r="D50" s="89" t="s">
        <v>151</v>
      </c>
      <c r="E50" s="91">
        <v>823</v>
      </c>
      <c r="F50" s="92">
        <f>SUM(E50*5/1000)</f>
        <v>4.1150000000000002</v>
      </c>
      <c r="G50" s="13">
        <v>1711.28</v>
      </c>
      <c r="H50" s="93">
        <f t="shared" si="6"/>
        <v>7.0419171999999994</v>
      </c>
      <c r="I50" s="13">
        <f>F50/5*G50</f>
        <v>1408.3834400000001</v>
      </c>
      <c r="J50" s="27"/>
      <c r="L50" s="21"/>
      <c r="M50" s="22"/>
      <c r="N50" s="23"/>
    </row>
    <row r="51" spans="1:14" ht="34.5" hidden="1" customHeight="1">
      <c r="A51" s="45">
        <v>12</v>
      </c>
      <c r="B51" s="89" t="s">
        <v>104</v>
      </c>
      <c r="C51" s="90" t="s">
        <v>93</v>
      </c>
      <c r="D51" s="89" t="s">
        <v>40</v>
      </c>
      <c r="E51" s="91">
        <v>823</v>
      </c>
      <c r="F51" s="92">
        <f>SUM(E51*2/1000)</f>
        <v>1.6459999999999999</v>
      </c>
      <c r="G51" s="13">
        <v>1510.06</v>
      </c>
      <c r="H51" s="93">
        <f t="shared" si="6"/>
        <v>2.48555876</v>
      </c>
      <c r="I51" s="13">
        <f>F51/2*G51</f>
        <v>1242.7793799999999</v>
      </c>
      <c r="J51" s="27"/>
      <c r="L51" s="21"/>
      <c r="M51" s="22"/>
      <c r="N51" s="23"/>
    </row>
    <row r="52" spans="1:14" ht="30.75" hidden="1" customHeight="1">
      <c r="A52" s="45">
        <v>13</v>
      </c>
      <c r="B52" s="89" t="s">
        <v>105</v>
      </c>
      <c r="C52" s="90" t="s">
        <v>36</v>
      </c>
      <c r="D52" s="89" t="s">
        <v>40</v>
      </c>
      <c r="E52" s="91">
        <v>9</v>
      </c>
      <c r="F52" s="92">
        <f>SUM(E52*2/100)</f>
        <v>0.18</v>
      </c>
      <c r="G52" s="13">
        <v>3850.4</v>
      </c>
      <c r="H52" s="93">
        <f t="shared" si="6"/>
        <v>0.69307200000000002</v>
      </c>
      <c r="I52" s="13">
        <f>F52/2*G52</f>
        <v>346.536</v>
      </c>
      <c r="J52" s="27"/>
      <c r="L52" s="21"/>
      <c r="M52" s="22"/>
      <c r="N52" s="23"/>
    </row>
    <row r="53" spans="1:14" ht="21.75" hidden="1" customHeight="1">
      <c r="A53" s="45">
        <v>14</v>
      </c>
      <c r="B53" s="89" t="s">
        <v>37</v>
      </c>
      <c r="C53" s="90" t="s">
        <v>38</v>
      </c>
      <c r="D53" s="89" t="s">
        <v>40</v>
      </c>
      <c r="E53" s="91">
        <v>1</v>
      </c>
      <c r="F53" s="92">
        <v>0.02</v>
      </c>
      <c r="G53" s="13">
        <v>7033.13</v>
      </c>
      <c r="H53" s="93">
        <f t="shared" si="6"/>
        <v>0.1406626</v>
      </c>
      <c r="I53" s="13">
        <f>F53/2*G53</f>
        <v>70.331299999999999</v>
      </c>
      <c r="J53" s="27"/>
      <c r="L53" s="21"/>
      <c r="M53" s="22"/>
      <c r="N53" s="23"/>
    </row>
    <row r="54" spans="1:14" ht="30.75" hidden="1" customHeight="1">
      <c r="A54" s="45">
        <v>13</v>
      </c>
      <c r="B54" s="89" t="s">
        <v>124</v>
      </c>
      <c r="C54" s="90" t="s">
        <v>106</v>
      </c>
      <c r="D54" s="89" t="s">
        <v>67</v>
      </c>
      <c r="E54" s="91">
        <v>36</v>
      </c>
      <c r="F54" s="92">
        <f>SUM(E54*3)</f>
        <v>108</v>
      </c>
      <c r="G54" s="13">
        <v>175.6</v>
      </c>
      <c r="H54" s="93">
        <f t="shared" si="6"/>
        <v>18.9648</v>
      </c>
      <c r="I54" s="13">
        <f>E54*G54</f>
        <v>6321.5999999999995</v>
      </c>
      <c r="J54" s="27"/>
      <c r="L54" s="21"/>
      <c r="M54" s="22"/>
      <c r="N54" s="23"/>
    </row>
    <row r="55" spans="1:14" ht="27.75" hidden="1" customHeight="1">
      <c r="A55" s="45">
        <v>14</v>
      </c>
      <c r="B55" s="89" t="s">
        <v>39</v>
      </c>
      <c r="C55" s="90" t="s">
        <v>106</v>
      </c>
      <c r="D55" s="89" t="s">
        <v>67</v>
      </c>
      <c r="E55" s="91">
        <v>36</v>
      </c>
      <c r="F55" s="92">
        <f>SUM(E55)*3</f>
        <v>108</v>
      </c>
      <c r="G55" s="13">
        <v>81.73</v>
      </c>
      <c r="H55" s="93">
        <f t="shared" si="6"/>
        <v>8.8268400000000007</v>
      </c>
      <c r="I55" s="13">
        <f>E55*G55</f>
        <v>2942.28</v>
      </c>
      <c r="J55" s="27"/>
      <c r="L55" s="21"/>
      <c r="M55" s="22"/>
      <c r="N55" s="23"/>
    </row>
    <row r="56" spans="1:14" ht="15.75" hidden="1" customHeight="1">
      <c r="A56" s="170" t="s">
        <v>160</v>
      </c>
      <c r="B56" s="171"/>
      <c r="C56" s="171"/>
      <c r="D56" s="171"/>
      <c r="E56" s="171"/>
      <c r="F56" s="171"/>
      <c r="G56" s="171"/>
      <c r="H56" s="171"/>
      <c r="I56" s="172"/>
      <c r="J56" s="27"/>
      <c r="L56" s="21"/>
      <c r="M56" s="22"/>
      <c r="N56" s="23"/>
    </row>
    <row r="57" spans="1:14" ht="15.75" hidden="1" customHeight="1">
      <c r="A57" s="57"/>
      <c r="B57" s="52" t="s">
        <v>41</v>
      </c>
      <c r="C57" s="17"/>
      <c r="D57" s="16"/>
      <c r="E57" s="16"/>
      <c r="F57" s="16"/>
      <c r="G57" s="33"/>
      <c r="H57" s="33"/>
      <c r="I57" s="19"/>
      <c r="J57" s="27"/>
      <c r="L57" s="21"/>
      <c r="M57" s="22"/>
      <c r="N57" s="23"/>
    </row>
    <row r="58" spans="1:14" ht="31.5" hidden="1" customHeight="1">
      <c r="A58" s="45">
        <v>15</v>
      </c>
      <c r="B58" s="89" t="s">
        <v>152</v>
      </c>
      <c r="C58" s="90" t="s">
        <v>82</v>
      </c>
      <c r="D58" s="89" t="s">
        <v>107</v>
      </c>
      <c r="E58" s="91">
        <v>71.02</v>
      </c>
      <c r="F58" s="92">
        <f>SUM(E58*6/100)</f>
        <v>4.2611999999999997</v>
      </c>
      <c r="G58" s="13">
        <v>2306.62</v>
      </c>
      <c r="H58" s="93">
        <f>SUM(F58*G58/1000)</f>
        <v>9.8289691439999984</v>
      </c>
      <c r="I58" s="13">
        <f>F58/6*G58</f>
        <v>1638.1615239999999</v>
      </c>
      <c r="J58" s="27"/>
      <c r="L58" s="21"/>
      <c r="M58" s="22"/>
      <c r="N58" s="23"/>
    </row>
    <row r="59" spans="1:14" ht="15.75" hidden="1" customHeight="1">
      <c r="A59" s="45"/>
      <c r="B59" s="89" t="s">
        <v>108</v>
      </c>
      <c r="C59" s="90" t="s">
        <v>153</v>
      </c>
      <c r="D59" s="89" t="s">
        <v>63</v>
      </c>
      <c r="E59" s="97"/>
      <c r="F59" s="92">
        <v>2</v>
      </c>
      <c r="G59" s="92">
        <v>1501</v>
      </c>
      <c r="H59" s="93">
        <f>SUM(F59*G59/1000)</f>
        <v>3.0019999999999998</v>
      </c>
      <c r="I59" s="13">
        <v>0</v>
      </c>
      <c r="J59" s="27"/>
      <c r="L59" s="21"/>
      <c r="M59" s="22"/>
      <c r="N59" s="23"/>
    </row>
    <row r="60" spans="1:14" ht="15.75" hidden="1" customHeight="1">
      <c r="A60" s="45"/>
      <c r="B60" s="76" t="s">
        <v>42</v>
      </c>
      <c r="C60" s="76"/>
      <c r="D60" s="76"/>
      <c r="E60" s="76"/>
      <c r="F60" s="76"/>
      <c r="G60" s="76"/>
      <c r="H60" s="76"/>
      <c r="I60" s="39"/>
      <c r="J60" s="27"/>
      <c r="L60" s="21"/>
      <c r="M60" s="22"/>
      <c r="N60" s="23"/>
    </row>
    <row r="61" spans="1:14" ht="15.75" hidden="1" customHeight="1">
      <c r="A61" s="45">
        <v>27</v>
      </c>
      <c r="B61" s="89" t="s">
        <v>154</v>
      </c>
      <c r="C61" s="90" t="s">
        <v>50</v>
      </c>
      <c r="D61" s="89" t="s">
        <v>51</v>
      </c>
      <c r="E61" s="91">
        <v>434.4</v>
      </c>
      <c r="F61" s="93">
        <f>SUM(E61/100)</f>
        <v>4.3439999999999994</v>
      </c>
      <c r="G61" s="13">
        <v>987.51</v>
      </c>
      <c r="H61" s="98">
        <f>F61*G61/1000</f>
        <v>4.2897434399999996</v>
      </c>
      <c r="I61" s="13">
        <v>0</v>
      </c>
      <c r="J61" s="27"/>
      <c r="L61" s="21"/>
      <c r="M61" s="22"/>
      <c r="N61" s="23"/>
    </row>
    <row r="62" spans="1:14" ht="15.75" hidden="1" customHeight="1">
      <c r="A62" s="45"/>
      <c r="B62" s="69" t="s">
        <v>125</v>
      </c>
      <c r="C62" s="44"/>
      <c r="D62" s="68"/>
      <c r="E62" s="67"/>
      <c r="F62" s="67"/>
      <c r="G62" s="40"/>
      <c r="H62" s="40"/>
      <c r="I62" s="20"/>
      <c r="J62" s="27"/>
      <c r="L62" s="21"/>
      <c r="M62" s="22"/>
      <c r="N62" s="23"/>
    </row>
    <row r="63" spans="1:14" ht="15.75" hidden="1" customHeight="1">
      <c r="A63" s="45"/>
      <c r="B63" s="89" t="s">
        <v>126</v>
      </c>
      <c r="C63" s="90" t="s">
        <v>106</v>
      </c>
      <c r="D63" s="41" t="s">
        <v>63</v>
      </c>
      <c r="E63" s="91">
        <v>1</v>
      </c>
      <c r="F63" s="92">
        <f>E63</f>
        <v>1</v>
      </c>
      <c r="G63" s="99">
        <v>323.38</v>
      </c>
      <c r="H63" s="93">
        <f t="shared" ref="H63" si="7">SUM(F63*G63/1000)</f>
        <v>0.32338</v>
      </c>
      <c r="I63" s="13">
        <v>0</v>
      </c>
      <c r="J63" s="27"/>
      <c r="L63" s="21"/>
      <c r="M63" s="22"/>
      <c r="N63" s="23"/>
    </row>
    <row r="64" spans="1:14" ht="15.75" hidden="1" customHeight="1">
      <c r="A64" s="45"/>
      <c r="B64" s="76" t="s">
        <v>43</v>
      </c>
      <c r="C64" s="17"/>
      <c r="D64" s="41"/>
      <c r="E64" s="16"/>
      <c r="F64" s="16"/>
      <c r="G64" s="33"/>
      <c r="H64" s="33"/>
      <c r="I64" s="19"/>
      <c r="J64" s="27"/>
      <c r="L64" s="21"/>
      <c r="M64" s="22"/>
      <c r="N64" s="23"/>
    </row>
    <row r="65" spans="1:21" ht="15.75" hidden="1" customHeight="1">
      <c r="A65" s="45">
        <v>17</v>
      </c>
      <c r="B65" s="15" t="s">
        <v>44</v>
      </c>
      <c r="C65" s="17" t="s">
        <v>106</v>
      </c>
      <c r="D65" s="41" t="s">
        <v>63</v>
      </c>
      <c r="E65" s="19">
        <v>10</v>
      </c>
      <c r="F65" s="92">
        <v>10</v>
      </c>
      <c r="G65" s="13">
        <v>276.74</v>
      </c>
      <c r="H65" s="100">
        <f t="shared" ref="H65:H72" si="8">SUM(F65*G65/1000)</f>
        <v>2.7674000000000003</v>
      </c>
      <c r="I65" s="13">
        <v>0</v>
      </c>
      <c r="J65" s="27"/>
      <c r="L65" s="21"/>
      <c r="M65" s="22"/>
      <c r="N65" s="23"/>
    </row>
    <row r="66" spans="1:21" ht="15.75" hidden="1" customHeight="1">
      <c r="A66" s="33">
        <v>29</v>
      </c>
      <c r="B66" s="15" t="s">
        <v>45</v>
      </c>
      <c r="C66" s="17" t="s">
        <v>106</v>
      </c>
      <c r="D66" s="41" t="s">
        <v>63</v>
      </c>
      <c r="E66" s="19">
        <v>3</v>
      </c>
      <c r="F66" s="92">
        <v>3</v>
      </c>
      <c r="G66" s="13">
        <v>94.89</v>
      </c>
      <c r="H66" s="100">
        <f t="shared" si="8"/>
        <v>0.28467000000000003</v>
      </c>
      <c r="I66" s="13">
        <v>0</v>
      </c>
      <c r="J66" s="27"/>
      <c r="L66" s="21"/>
      <c r="M66" s="22"/>
      <c r="N66" s="23"/>
    </row>
    <row r="67" spans="1:21" ht="15.75" hidden="1" customHeight="1">
      <c r="A67" s="33">
        <v>8</v>
      </c>
      <c r="B67" s="15" t="s">
        <v>46</v>
      </c>
      <c r="C67" s="17" t="s">
        <v>109</v>
      </c>
      <c r="D67" s="15" t="s">
        <v>51</v>
      </c>
      <c r="E67" s="91">
        <v>7265</v>
      </c>
      <c r="F67" s="13">
        <f>SUM(E67/100)</f>
        <v>72.650000000000006</v>
      </c>
      <c r="G67" s="13">
        <v>263.99</v>
      </c>
      <c r="H67" s="100">
        <f t="shared" si="8"/>
        <v>19.178873500000002</v>
      </c>
      <c r="I67" s="13">
        <v>0</v>
      </c>
      <c r="J67" s="27"/>
      <c r="L67" s="21"/>
      <c r="M67" s="22"/>
      <c r="N67" s="23"/>
    </row>
    <row r="68" spans="1:21" ht="15.75" hidden="1" customHeight="1">
      <c r="A68" s="33">
        <v>9</v>
      </c>
      <c r="B68" s="15" t="s">
        <v>47</v>
      </c>
      <c r="C68" s="17" t="s">
        <v>110</v>
      </c>
      <c r="D68" s="15" t="s">
        <v>51</v>
      </c>
      <c r="E68" s="91">
        <v>7265</v>
      </c>
      <c r="F68" s="13">
        <f>SUM(E68/1000)</f>
        <v>7.2649999999999997</v>
      </c>
      <c r="G68" s="13">
        <v>205.57</v>
      </c>
      <c r="H68" s="100">
        <f t="shared" si="8"/>
        <v>1.4934660500000001</v>
      </c>
      <c r="I68" s="13">
        <v>0</v>
      </c>
      <c r="J68" s="27"/>
      <c r="L68" s="21"/>
      <c r="M68" s="22"/>
      <c r="N68" s="23"/>
    </row>
    <row r="69" spans="1:21" ht="15.75" hidden="1" customHeight="1">
      <c r="A69" s="33">
        <v>10</v>
      </c>
      <c r="B69" s="15" t="s">
        <v>48</v>
      </c>
      <c r="C69" s="17" t="s">
        <v>73</v>
      </c>
      <c r="D69" s="15" t="s">
        <v>51</v>
      </c>
      <c r="E69" s="91">
        <v>1090</v>
      </c>
      <c r="F69" s="13">
        <f>SUM(E69/100)</f>
        <v>10.9</v>
      </c>
      <c r="G69" s="13">
        <v>2581.5300000000002</v>
      </c>
      <c r="H69" s="100">
        <f t="shared" si="8"/>
        <v>28.138677000000005</v>
      </c>
      <c r="I69" s="13">
        <v>0</v>
      </c>
      <c r="J69" s="27"/>
      <c r="L69" s="21"/>
    </row>
    <row r="70" spans="1:21" ht="15.75" hidden="1" customHeight="1">
      <c r="A70" s="33">
        <v>11</v>
      </c>
      <c r="B70" s="101" t="s">
        <v>111</v>
      </c>
      <c r="C70" s="17" t="s">
        <v>30</v>
      </c>
      <c r="D70" s="15"/>
      <c r="E70" s="91">
        <v>7.4</v>
      </c>
      <c r="F70" s="13">
        <f>SUM(E70)</f>
        <v>7.4</v>
      </c>
      <c r="G70" s="13">
        <v>47.45</v>
      </c>
      <c r="H70" s="100">
        <f t="shared" si="8"/>
        <v>0.35113000000000005</v>
      </c>
      <c r="I70" s="13">
        <v>0</v>
      </c>
    </row>
    <row r="71" spans="1:21" ht="15.75" hidden="1" customHeight="1">
      <c r="A71" s="33">
        <v>12</v>
      </c>
      <c r="B71" s="101" t="s">
        <v>155</v>
      </c>
      <c r="C71" s="17" t="s">
        <v>30</v>
      </c>
      <c r="D71" s="15"/>
      <c r="E71" s="91">
        <v>7.4</v>
      </c>
      <c r="F71" s="13">
        <f>SUM(E71)</f>
        <v>7.4</v>
      </c>
      <c r="G71" s="13">
        <v>44.27</v>
      </c>
      <c r="H71" s="100">
        <f t="shared" si="8"/>
        <v>0.327598</v>
      </c>
      <c r="I71" s="13">
        <v>0</v>
      </c>
    </row>
    <row r="72" spans="1:21" ht="15.75" hidden="1" customHeight="1">
      <c r="A72" s="33">
        <v>13</v>
      </c>
      <c r="B72" s="15" t="s">
        <v>54</v>
      </c>
      <c r="C72" s="17" t="s">
        <v>55</v>
      </c>
      <c r="D72" s="15" t="s">
        <v>51</v>
      </c>
      <c r="E72" s="19">
        <v>3</v>
      </c>
      <c r="F72" s="92">
        <f>SUM(E72)</f>
        <v>3</v>
      </c>
      <c r="G72" s="13">
        <v>62.07</v>
      </c>
      <c r="H72" s="100">
        <f t="shared" si="8"/>
        <v>0.18621000000000001</v>
      </c>
      <c r="I72" s="13">
        <v>0</v>
      </c>
    </row>
    <row r="73" spans="1:21" ht="15.75" hidden="1" customHeight="1">
      <c r="A73" s="57"/>
      <c r="B73" s="76" t="s">
        <v>112</v>
      </c>
      <c r="C73" s="76"/>
      <c r="D73" s="76"/>
      <c r="E73" s="76"/>
      <c r="F73" s="76"/>
      <c r="G73" s="76"/>
      <c r="H73" s="76"/>
      <c r="I73" s="19"/>
      <c r="J73" s="29"/>
      <c r="K73" s="29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ht="15.75" hidden="1" customHeight="1">
      <c r="A74" s="33">
        <v>14</v>
      </c>
      <c r="B74" s="102" t="s">
        <v>113</v>
      </c>
      <c r="C74" s="25"/>
      <c r="D74" s="24"/>
      <c r="E74" s="84"/>
      <c r="F74" s="103">
        <v>1</v>
      </c>
      <c r="G74" s="103">
        <v>12171.2</v>
      </c>
      <c r="H74" s="13">
        <f>G74*F74/1000</f>
        <v>12.171200000000001</v>
      </c>
      <c r="I74" s="13">
        <f>G74</f>
        <v>12171.2</v>
      </c>
      <c r="J74" s="3"/>
      <c r="K74" s="3"/>
      <c r="L74" s="3"/>
      <c r="M74" s="3"/>
      <c r="N74" s="3"/>
      <c r="O74" s="3"/>
      <c r="P74" s="3"/>
      <c r="Q74" s="3"/>
      <c r="S74" s="3"/>
      <c r="T74" s="3"/>
      <c r="U74" s="3"/>
    </row>
    <row r="75" spans="1:21" ht="15.75" hidden="1" customHeight="1">
      <c r="A75" s="33"/>
      <c r="B75" s="53" t="s">
        <v>68</v>
      </c>
      <c r="C75" s="53"/>
      <c r="D75" s="53"/>
      <c r="E75" s="19"/>
      <c r="F75" s="19"/>
      <c r="G75" s="33"/>
      <c r="H75" s="33"/>
      <c r="I75" s="19"/>
      <c r="J75" s="5"/>
      <c r="K75" s="5"/>
      <c r="L75" s="5"/>
      <c r="M75" s="5"/>
      <c r="N75" s="5"/>
      <c r="O75" s="5"/>
      <c r="P75" s="5"/>
      <c r="Q75" s="5"/>
      <c r="R75" s="168"/>
      <c r="S75" s="168"/>
      <c r="T75" s="168"/>
      <c r="U75" s="168"/>
    </row>
    <row r="76" spans="1:21" ht="15.75" hidden="1" customHeight="1">
      <c r="A76" s="33"/>
      <c r="B76" s="15" t="s">
        <v>127</v>
      </c>
      <c r="C76" s="17" t="s">
        <v>114</v>
      </c>
      <c r="D76" s="41" t="s">
        <v>63</v>
      </c>
      <c r="E76" s="19">
        <v>1</v>
      </c>
      <c r="F76" s="13">
        <f>E76</f>
        <v>1</v>
      </c>
      <c r="G76" s="13">
        <v>976.4</v>
      </c>
      <c r="H76" s="100">
        <f>F76*G76/1000</f>
        <v>0.97639999999999993</v>
      </c>
      <c r="I76" s="13">
        <v>0</v>
      </c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</row>
    <row r="77" spans="1:21" ht="15.75" hidden="1" customHeight="1">
      <c r="A77" s="33"/>
      <c r="B77" s="15" t="s">
        <v>115</v>
      </c>
      <c r="C77" s="17" t="s">
        <v>116</v>
      </c>
      <c r="D77" s="15"/>
      <c r="E77" s="19">
        <v>1</v>
      </c>
      <c r="F77" s="13">
        <v>1</v>
      </c>
      <c r="G77" s="13">
        <v>750</v>
      </c>
      <c r="H77" s="100">
        <f>F77*G77/1000</f>
        <v>0.75</v>
      </c>
      <c r="I77" s="13">
        <v>0</v>
      </c>
    </row>
    <row r="78" spans="1:21" ht="15.75" hidden="1" customHeight="1">
      <c r="A78" s="33"/>
      <c r="B78" s="15" t="s">
        <v>69</v>
      </c>
      <c r="C78" s="17" t="s">
        <v>71</v>
      </c>
      <c r="D78" s="41" t="s">
        <v>63</v>
      </c>
      <c r="E78" s="19">
        <v>3</v>
      </c>
      <c r="F78" s="13">
        <f>SUM(E78/100)</f>
        <v>0.03</v>
      </c>
      <c r="G78" s="13">
        <v>624.16999999999996</v>
      </c>
      <c r="H78" s="100">
        <f>F78*G78/1000</f>
        <v>1.8725099999999998E-2</v>
      </c>
      <c r="I78" s="13">
        <v>0</v>
      </c>
    </row>
    <row r="79" spans="1:21" ht="15.75" hidden="1" customHeight="1">
      <c r="A79" s="33"/>
      <c r="B79" s="15" t="s">
        <v>70</v>
      </c>
      <c r="C79" s="17" t="s">
        <v>28</v>
      </c>
      <c r="D79" s="41" t="s">
        <v>63</v>
      </c>
      <c r="E79" s="19">
        <v>1</v>
      </c>
      <c r="F79" s="13">
        <v>1</v>
      </c>
      <c r="G79" s="13">
        <v>1061.4100000000001</v>
      </c>
      <c r="H79" s="100">
        <f>F79*G79/1000</f>
        <v>1.0614100000000002</v>
      </c>
      <c r="I79" s="13">
        <v>0</v>
      </c>
    </row>
    <row r="80" spans="1:21" ht="15.75" hidden="1" customHeight="1">
      <c r="A80" s="33">
        <v>17</v>
      </c>
      <c r="B80" s="15" t="s">
        <v>128</v>
      </c>
      <c r="C80" s="17" t="s">
        <v>28</v>
      </c>
      <c r="D80" s="41" t="s">
        <v>63</v>
      </c>
      <c r="E80" s="19">
        <v>1</v>
      </c>
      <c r="F80" s="92">
        <f>SUM(E80)</f>
        <v>1</v>
      </c>
      <c r="G80" s="13">
        <v>446.12</v>
      </c>
      <c r="H80" s="100">
        <f t="shared" ref="H80" si="9">SUM(F80*G80/1000)</f>
        <v>0.44612000000000002</v>
      </c>
      <c r="I80" s="13">
        <v>0</v>
      </c>
    </row>
    <row r="81" spans="1:9" ht="15.75" hidden="1" customHeight="1">
      <c r="A81" s="33"/>
      <c r="B81" s="54" t="s">
        <v>72</v>
      </c>
      <c r="C81" s="42"/>
      <c r="D81" s="33"/>
      <c r="E81" s="19"/>
      <c r="F81" s="19"/>
      <c r="G81" s="40"/>
      <c r="H81" s="40"/>
      <c r="I81" s="19"/>
    </row>
    <row r="82" spans="1:9" ht="15.75" hidden="1" customHeight="1">
      <c r="A82" s="33">
        <v>39</v>
      </c>
      <c r="B82" s="56" t="s">
        <v>117</v>
      </c>
      <c r="C82" s="17" t="s">
        <v>73</v>
      </c>
      <c r="D82" s="15"/>
      <c r="E82" s="19"/>
      <c r="F82" s="13">
        <v>1.35</v>
      </c>
      <c r="G82" s="13">
        <v>3433.68</v>
      </c>
      <c r="H82" s="100">
        <f t="shared" ref="H82" si="10">SUM(F82*G82/1000)</f>
        <v>4.6354679999999995</v>
      </c>
      <c r="I82" s="13">
        <v>0</v>
      </c>
    </row>
    <row r="83" spans="1:9" ht="15.75" hidden="1" customHeight="1">
      <c r="A83" s="33"/>
      <c r="B83" s="76" t="s">
        <v>129</v>
      </c>
      <c r="C83" s="70"/>
      <c r="D83" s="35"/>
      <c r="E83" s="12"/>
      <c r="F83" s="12"/>
      <c r="G83" s="40"/>
      <c r="H83" s="40"/>
      <c r="I83" s="19"/>
    </row>
    <row r="84" spans="1:9" ht="31.5" hidden="1" customHeight="1">
      <c r="A84" s="33"/>
      <c r="B84" s="15" t="s">
        <v>130</v>
      </c>
      <c r="C84" s="17" t="s">
        <v>131</v>
      </c>
      <c r="D84" s="41" t="s">
        <v>63</v>
      </c>
      <c r="E84" s="19">
        <v>6</v>
      </c>
      <c r="F84" s="13">
        <f>E84</f>
        <v>6</v>
      </c>
      <c r="G84" s="13">
        <v>297.44</v>
      </c>
      <c r="H84" s="100">
        <f t="shared" ref="H84:H94" si="11">SUM(F84*G84/1000)</f>
        <v>1.7846399999999998</v>
      </c>
      <c r="I84" s="13">
        <v>0</v>
      </c>
    </row>
    <row r="85" spans="1:9" ht="15.75" hidden="1" customHeight="1">
      <c r="A85" s="33"/>
      <c r="B85" s="15" t="s">
        <v>132</v>
      </c>
      <c r="C85" s="17" t="s">
        <v>77</v>
      </c>
      <c r="D85" s="41" t="s">
        <v>63</v>
      </c>
      <c r="E85" s="19">
        <v>12</v>
      </c>
      <c r="F85" s="13">
        <f>E85</f>
        <v>12</v>
      </c>
      <c r="G85" s="13">
        <v>122.35</v>
      </c>
      <c r="H85" s="100">
        <f t="shared" si="11"/>
        <v>1.4681999999999997</v>
      </c>
      <c r="I85" s="13">
        <v>0</v>
      </c>
    </row>
    <row r="86" spans="1:9" ht="15.75" hidden="1" customHeight="1">
      <c r="A86" s="33"/>
      <c r="B86" s="15" t="s">
        <v>133</v>
      </c>
      <c r="C86" s="17" t="s">
        <v>134</v>
      </c>
      <c r="D86" s="41" t="s">
        <v>63</v>
      </c>
      <c r="E86" s="19">
        <v>9</v>
      </c>
      <c r="F86" s="13">
        <f>E86/3</f>
        <v>3</v>
      </c>
      <c r="G86" s="13">
        <v>1063.47</v>
      </c>
      <c r="H86" s="100">
        <f t="shared" si="11"/>
        <v>3.19041</v>
      </c>
      <c r="I86" s="13">
        <v>0</v>
      </c>
    </row>
    <row r="87" spans="1:9" ht="31.5" hidden="1" customHeight="1">
      <c r="A87" s="33"/>
      <c r="B87" s="15" t="s">
        <v>135</v>
      </c>
      <c r="C87" s="17" t="s">
        <v>136</v>
      </c>
      <c r="D87" s="41" t="s">
        <v>63</v>
      </c>
      <c r="E87" s="19">
        <v>10</v>
      </c>
      <c r="F87" s="13">
        <f>E87/10</f>
        <v>1</v>
      </c>
      <c r="G87" s="13">
        <v>297.99</v>
      </c>
      <c r="H87" s="100">
        <f t="shared" si="11"/>
        <v>0.29799000000000003</v>
      </c>
      <c r="I87" s="13">
        <v>0</v>
      </c>
    </row>
    <row r="88" spans="1:9" ht="31.5" hidden="1" customHeight="1">
      <c r="A88" s="33"/>
      <c r="B88" s="15" t="s">
        <v>137</v>
      </c>
      <c r="C88" s="17" t="s">
        <v>77</v>
      </c>
      <c r="D88" s="41" t="s">
        <v>63</v>
      </c>
      <c r="E88" s="19">
        <v>6</v>
      </c>
      <c r="F88" s="13">
        <f t="shared" ref="F88:F93" si="12">E88</f>
        <v>6</v>
      </c>
      <c r="G88" s="13">
        <v>1564.44</v>
      </c>
      <c r="H88" s="100">
        <f t="shared" si="11"/>
        <v>9.3866399999999999</v>
      </c>
      <c r="I88" s="13">
        <v>0</v>
      </c>
    </row>
    <row r="89" spans="1:9" ht="31.5" hidden="1" customHeight="1">
      <c r="A89" s="33"/>
      <c r="B89" s="15" t="s">
        <v>138</v>
      </c>
      <c r="C89" s="17" t="s">
        <v>77</v>
      </c>
      <c r="D89" s="41" t="s">
        <v>63</v>
      </c>
      <c r="E89" s="19">
        <v>6</v>
      </c>
      <c r="F89" s="13">
        <f t="shared" si="12"/>
        <v>6</v>
      </c>
      <c r="G89" s="13">
        <v>1906.89</v>
      </c>
      <c r="H89" s="100">
        <f t="shared" si="11"/>
        <v>11.44134</v>
      </c>
      <c r="I89" s="13">
        <v>0</v>
      </c>
    </row>
    <row r="90" spans="1:9" ht="31.5" hidden="1" customHeight="1">
      <c r="A90" s="33"/>
      <c r="B90" s="15" t="s">
        <v>139</v>
      </c>
      <c r="C90" s="17" t="s">
        <v>77</v>
      </c>
      <c r="D90" s="41" t="s">
        <v>63</v>
      </c>
      <c r="E90" s="19">
        <v>6</v>
      </c>
      <c r="F90" s="13">
        <f t="shared" si="12"/>
        <v>6</v>
      </c>
      <c r="G90" s="13">
        <v>664.35</v>
      </c>
      <c r="H90" s="100">
        <f t="shared" si="11"/>
        <v>3.9861000000000004</v>
      </c>
      <c r="I90" s="13">
        <v>0</v>
      </c>
    </row>
    <row r="91" spans="1:9" ht="31.5" hidden="1" customHeight="1">
      <c r="A91" s="33"/>
      <c r="B91" s="15" t="s">
        <v>140</v>
      </c>
      <c r="C91" s="17" t="s">
        <v>77</v>
      </c>
      <c r="D91" s="41" t="s">
        <v>63</v>
      </c>
      <c r="E91" s="19">
        <v>6</v>
      </c>
      <c r="F91" s="13">
        <f t="shared" si="12"/>
        <v>6</v>
      </c>
      <c r="G91" s="13">
        <v>778.85</v>
      </c>
      <c r="H91" s="100">
        <f t="shared" si="11"/>
        <v>4.6731000000000007</v>
      </c>
      <c r="I91" s="13">
        <v>0</v>
      </c>
    </row>
    <row r="92" spans="1:9" ht="15.75" hidden="1" customHeight="1">
      <c r="A92" s="33"/>
      <c r="B92" s="15" t="s">
        <v>141</v>
      </c>
      <c r="C92" s="17" t="s">
        <v>114</v>
      </c>
      <c r="D92" s="41" t="s">
        <v>63</v>
      </c>
      <c r="E92" s="19">
        <v>4</v>
      </c>
      <c r="F92" s="13">
        <f t="shared" si="12"/>
        <v>4</v>
      </c>
      <c r="G92" s="13">
        <v>498.11</v>
      </c>
      <c r="H92" s="100">
        <f t="shared" si="11"/>
        <v>1.99244</v>
      </c>
      <c r="I92" s="13">
        <v>0</v>
      </c>
    </row>
    <row r="93" spans="1:9" ht="31.5" hidden="1" customHeight="1">
      <c r="A93" s="33"/>
      <c r="B93" s="15" t="s">
        <v>142</v>
      </c>
      <c r="C93" s="17" t="s">
        <v>77</v>
      </c>
      <c r="D93" s="41" t="s">
        <v>63</v>
      </c>
      <c r="E93" s="19">
        <v>6</v>
      </c>
      <c r="F93" s="13">
        <f t="shared" si="12"/>
        <v>6</v>
      </c>
      <c r="G93" s="13">
        <v>1264.3399999999999</v>
      </c>
      <c r="H93" s="100">
        <f t="shared" si="11"/>
        <v>7.5860399999999988</v>
      </c>
      <c r="I93" s="13">
        <v>0</v>
      </c>
    </row>
    <row r="94" spans="1:9" ht="15.75" hidden="1" customHeight="1">
      <c r="A94" s="33"/>
      <c r="B94" s="15" t="s">
        <v>143</v>
      </c>
      <c r="C94" s="17" t="s">
        <v>27</v>
      </c>
      <c r="D94" s="15" t="s">
        <v>40</v>
      </c>
      <c r="E94" s="19">
        <v>823</v>
      </c>
      <c r="F94" s="13">
        <f>E94*2/1000</f>
        <v>1.6459999999999999</v>
      </c>
      <c r="G94" s="13">
        <v>1707.71</v>
      </c>
      <c r="H94" s="100">
        <f t="shared" si="11"/>
        <v>2.8108906600000001</v>
      </c>
      <c r="I94" s="13">
        <v>0</v>
      </c>
    </row>
    <row r="95" spans="1:9" ht="15.75" customHeight="1">
      <c r="A95" s="181" t="s">
        <v>166</v>
      </c>
      <c r="B95" s="182"/>
      <c r="C95" s="182"/>
      <c r="D95" s="182"/>
      <c r="E95" s="182"/>
      <c r="F95" s="182"/>
      <c r="G95" s="182"/>
      <c r="H95" s="182"/>
      <c r="I95" s="183"/>
    </row>
    <row r="96" spans="1:9" ht="15.75" customHeight="1">
      <c r="A96" s="33">
        <v>7</v>
      </c>
      <c r="B96" s="89" t="s">
        <v>118</v>
      </c>
      <c r="C96" s="17" t="s">
        <v>52</v>
      </c>
      <c r="D96" s="104"/>
      <c r="E96" s="13">
        <v>1832</v>
      </c>
      <c r="F96" s="13">
        <f>SUM(E96*12)</f>
        <v>21984</v>
      </c>
      <c r="G96" s="13">
        <v>2.95</v>
      </c>
      <c r="H96" s="100">
        <f>SUM(F96*G96/1000)</f>
        <v>64.852800000000002</v>
      </c>
      <c r="I96" s="13">
        <f>F96/12*G96</f>
        <v>5404.4000000000005</v>
      </c>
    </row>
    <row r="97" spans="1:9" ht="31.5" customHeight="1">
      <c r="A97" s="33">
        <v>8</v>
      </c>
      <c r="B97" s="15" t="s">
        <v>74</v>
      </c>
      <c r="C97" s="17" t="s">
        <v>156</v>
      </c>
      <c r="D97" s="104"/>
      <c r="E97" s="91">
        <v>1832</v>
      </c>
      <c r="F97" s="13">
        <f>E97*12</f>
        <v>21984</v>
      </c>
      <c r="G97" s="13">
        <v>3.05</v>
      </c>
      <c r="H97" s="100">
        <f>F97*G97/1000</f>
        <v>67.051199999999994</v>
      </c>
      <c r="I97" s="13">
        <f>F97/12*G97</f>
        <v>5587.5999999999995</v>
      </c>
    </row>
    <row r="98" spans="1:9" ht="15.75" customHeight="1">
      <c r="A98" s="57"/>
      <c r="B98" s="43" t="s">
        <v>76</v>
      </c>
      <c r="C98" s="45"/>
      <c r="D98" s="16"/>
      <c r="E98" s="16"/>
      <c r="F98" s="16"/>
      <c r="G98" s="19"/>
      <c r="H98" s="19"/>
      <c r="I98" s="36">
        <f>I97+I96+I41+I40+I39+I18+I17+I16</f>
        <v>19404.931453333331</v>
      </c>
    </row>
    <row r="99" spans="1:9" ht="15.75" customHeight="1">
      <c r="A99" s="184" t="s">
        <v>57</v>
      </c>
      <c r="B99" s="185"/>
      <c r="C99" s="185"/>
      <c r="D99" s="185"/>
      <c r="E99" s="185"/>
      <c r="F99" s="185"/>
      <c r="G99" s="185"/>
      <c r="H99" s="185"/>
      <c r="I99" s="186"/>
    </row>
    <row r="100" spans="1:9" ht="18" customHeight="1">
      <c r="A100" s="105">
        <v>9</v>
      </c>
      <c r="B100" s="108" t="s">
        <v>172</v>
      </c>
      <c r="C100" s="109" t="s">
        <v>173</v>
      </c>
      <c r="D100" s="108"/>
      <c r="E100" s="110"/>
      <c r="F100" s="111">
        <v>24</v>
      </c>
      <c r="G100" s="112">
        <v>1.4</v>
      </c>
      <c r="H100" s="113">
        <f>F100*G100/1000</f>
        <v>3.3599999999999991E-2</v>
      </c>
      <c r="I100" s="114">
        <f>G100*12</f>
        <v>16.799999999999997</v>
      </c>
    </row>
    <row r="101" spans="1:9" ht="27.75" customHeight="1">
      <c r="A101" s="105">
        <v>10</v>
      </c>
      <c r="B101" s="41" t="s">
        <v>175</v>
      </c>
      <c r="C101" s="42" t="s">
        <v>93</v>
      </c>
      <c r="D101" s="56"/>
      <c r="E101" s="13"/>
      <c r="F101" s="13"/>
      <c r="G101" s="115">
        <v>21369.24</v>
      </c>
      <c r="H101" s="100"/>
      <c r="I101" s="106">
        <f>G101*0.599*4/1000</f>
        <v>51.200699039999996</v>
      </c>
    </row>
    <row r="102" spans="1:9" ht="14.25" customHeight="1">
      <c r="A102" s="105">
        <v>11</v>
      </c>
      <c r="B102" s="107" t="s">
        <v>212</v>
      </c>
      <c r="C102" s="45" t="s">
        <v>85</v>
      </c>
      <c r="D102" s="41"/>
      <c r="E102" s="18"/>
      <c r="F102" s="40">
        <v>0.01</v>
      </c>
      <c r="G102" s="40">
        <v>48874.7</v>
      </c>
      <c r="H102" s="100"/>
      <c r="I102" s="106">
        <f>G102*0.01</f>
        <v>488.74699999999996</v>
      </c>
    </row>
    <row r="103" spans="1:9" ht="27.75" customHeight="1">
      <c r="A103" s="105">
        <v>12</v>
      </c>
      <c r="B103" s="116" t="s">
        <v>193</v>
      </c>
      <c r="C103" s="117" t="s">
        <v>36</v>
      </c>
      <c r="D103" s="41" t="s">
        <v>184</v>
      </c>
      <c r="E103" s="18"/>
      <c r="F103" s="40">
        <v>0.03</v>
      </c>
      <c r="G103" s="40">
        <v>4233.72</v>
      </c>
      <c r="H103" s="100"/>
      <c r="I103" s="106">
        <v>0</v>
      </c>
    </row>
    <row r="104" spans="1:9" ht="15.75" customHeight="1">
      <c r="A104" s="33"/>
      <c r="B104" s="50" t="s">
        <v>49</v>
      </c>
      <c r="C104" s="46"/>
      <c r="D104" s="58"/>
      <c r="E104" s="46">
        <v>1</v>
      </c>
      <c r="F104" s="46"/>
      <c r="G104" s="46"/>
      <c r="H104" s="46"/>
      <c r="I104" s="36">
        <f>SUM(I100:I103)</f>
        <v>556.74769903999993</v>
      </c>
    </row>
    <row r="105" spans="1:9" ht="15.75" customHeight="1">
      <c r="A105" s="33"/>
      <c r="B105" s="56" t="s">
        <v>75</v>
      </c>
      <c r="C105" s="16"/>
      <c r="D105" s="16"/>
      <c r="E105" s="47"/>
      <c r="F105" s="47"/>
      <c r="G105" s="48"/>
      <c r="H105" s="48"/>
      <c r="I105" s="18">
        <v>0</v>
      </c>
    </row>
    <row r="106" spans="1:9" ht="15.75" customHeight="1">
      <c r="A106" s="59"/>
      <c r="B106" s="51" t="s">
        <v>157</v>
      </c>
      <c r="C106" s="38"/>
      <c r="D106" s="38"/>
      <c r="E106" s="38"/>
      <c r="F106" s="38"/>
      <c r="G106" s="38"/>
      <c r="H106" s="38"/>
      <c r="I106" s="49">
        <f>I98+I104</f>
        <v>19961.67915237333</v>
      </c>
    </row>
    <row r="107" spans="1:9" ht="15.75" customHeight="1">
      <c r="A107" s="173" t="s">
        <v>213</v>
      </c>
      <c r="B107" s="173"/>
      <c r="C107" s="173"/>
      <c r="D107" s="173"/>
      <c r="E107" s="173"/>
      <c r="F107" s="173"/>
      <c r="G107" s="173"/>
      <c r="H107" s="173"/>
      <c r="I107" s="173"/>
    </row>
    <row r="108" spans="1:9" ht="15.75" customHeight="1">
      <c r="A108" s="77"/>
      <c r="B108" s="187" t="s">
        <v>214</v>
      </c>
      <c r="C108" s="187"/>
      <c r="D108" s="187"/>
      <c r="E108" s="187"/>
      <c r="F108" s="187"/>
      <c r="G108" s="187"/>
      <c r="H108" s="87"/>
      <c r="I108" s="3"/>
    </row>
    <row r="109" spans="1:9" ht="15.75" customHeight="1">
      <c r="A109" s="71"/>
      <c r="B109" s="161" t="s">
        <v>6</v>
      </c>
      <c r="C109" s="161"/>
      <c r="D109" s="161"/>
      <c r="E109" s="161"/>
      <c r="F109" s="161"/>
      <c r="G109" s="161"/>
      <c r="H109" s="28"/>
      <c r="I109" s="5"/>
    </row>
    <row r="110" spans="1:9" ht="15.75" customHeight="1">
      <c r="A110" s="9"/>
      <c r="B110" s="9"/>
      <c r="C110" s="9"/>
      <c r="D110" s="9"/>
      <c r="E110" s="9"/>
      <c r="F110" s="9"/>
      <c r="G110" s="9"/>
      <c r="H110" s="9"/>
      <c r="I110" s="9"/>
    </row>
    <row r="111" spans="1:9" ht="15.75" customHeight="1">
      <c r="A111" s="162" t="s">
        <v>7</v>
      </c>
      <c r="B111" s="162"/>
      <c r="C111" s="162"/>
      <c r="D111" s="162"/>
      <c r="E111" s="162"/>
      <c r="F111" s="162"/>
      <c r="G111" s="162"/>
      <c r="H111" s="162"/>
      <c r="I111" s="162"/>
    </row>
    <row r="112" spans="1:9" ht="15.75" customHeight="1">
      <c r="A112" s="162" t="s">
        <v>8</v>
      </c>
      <c r="B112" s="162"/>
      <c r="C112" s="162"/>
      <c r="D112" s="162"/>
      <c r="E112" s="162"/>
      <c r="F112" s="162"/>
      <c r="G112" s="162"/>
      <c r="H112" s="162"/>
      <c r="I112" s="162"/>
    </row>
    <row r="113" spans="1:9" ht="15.75" customHeight="1">
      <c r="A113" s="163" t="s">
        <v>58</v>
      </c>
      <c r="B113" s="163"/>
      <c r="C113" s="163"/>
      <c r="D113" s="163"/>
      <c r="E113" s="163"/>
      <c r="F113" s="163"/>
      <c r="G113" s="163"/>
      <c r="H113" s="163"/>
      <c r="I113" s="163"/>
    </row>
    <row r="114" spans="1:9" ht="15.75" customHeight="1">
      <c r="A114" s="10"/>
    </row>
    <row r="115" spans="1:9" ht="15.75" customHeight="1">
      <c r="A115" s="164" t="s">
        <v>9</v>
      </c>
      <c r="B115" s="164"/>
      <c r="C115" s="164"/>
      <c r="D115" s="164"/>
      <c r="E115" s="164"/>
      <c r="F115" s="164"/>
      <c r="G115" s="164"/>
      <c r="H115" s="164"/>
      <c r="I115" s="164"/>
    </row>
    <row r="116" spans="1:9" ht="15.75" customHeight="1">
      <c r="A116" s="4"/>
    </row>
    <row r="117" spans="1:9" ht="15.75" customHeight="1">
      <c r="B117" s="74" t="s">
        <v>10</v>
      </c>
      <c r="C117" s="165" t="s">
        <v>195</v>
      </c>
      <c r="D117" s="165"/>
      <c r="E117" s="165"/>
      <c r="F117" s="85"/>
      <c r="I117" s="73"/>
    </row>
    <row r="118" spans="1:9" ht="15.75" customHeight="1">
      <c r="A118" s="71"/>
      <c r="C118" s="161" t="s">
        <v>11</v>
      </c>
      <c r="D118" s="161"/>
      <c r="E118" s="161"/>
      <c r="F118" s="28"/>
      <c r="I118" s="72" t="s">
        <v>12</v>
      </c>
    </row>
    <row r="119" spans="1:9" ht="15.75" customHeight="1">
      <c r="A119" s="29"/>
      <c r="C119" s="11"/>
      <c r="D119" s="11"/>
      <c r="G119" s="11"/>
      <c r="H119" s="11"/>
    </row>
    <row r="120" spans="1:9" ht="15.75" customHeight="1">
      <c r="B120" s="74" t="s">
        <v>13</v>
      </c>
      <c r="C120" s="166"/>
      <c r="D120" s="166"/>
      <c r="E120" s="166"/>
      <c r="F120" s="86"/>
      <c r="I120" s="73"/>
    </row>
    <row r="121" spans="1:9" ht="15.75" customHeight="1">
      <c r="A121" s="71"/>
      <c r="C121" s="168" t="s">
        <v>11</v>
      </c>
      <c r="D121" s="168"/>
      <c r="E121" s="168"/>
      <c r="F121" s="71"/>
      <c r="I121" s="72" t="s">
        <v>12</v>
      </c>
    </row>
    <row r="122" spans="1:9" ht="15.75" customHeight="1">
      <c r="A122" s="4" t="s">
        <v>14</v>
      </c>
    </row>
    <row r="123" spans="1:9" ht="15.75" customHeight="1">
      <c r="A123" s="169" t="s">
        <v>15</v>
      </c>
      <c r="B123" s="169"/>
      <c r="C123" s="169"/>
      <c r="D123" s="169"/>
      <c r="E123" s="169"/>
      <c r="F123" s="169"/>
      <c r="G123" s="169"/>
      <c r="H123" s="169"/>
      <c r="I123" s="169"/>
    </row>
    <row r="124" spans="1:9" ht="45" customHeight="1">
      <c r="A124" s="167" t="s">
        <v>16</v>
      </c>
      <c r="B124" s="167"/>
      <c r="C124" s="167"/>
      <c r="D124" s="167"/>
      <c r="E124" s="167"/>
      <c r="F124" s="167"/>
      <c r="G124" s="167"/>
      <c r="H124" s="167"/>
      <c r="I124" s="167"/>
    </row>
    <row r="125" spans="1:9" ht="30" customHeight="1">
      <c r="A125" s="167" t="s">
        <v>17</v>
      </c>
      <c r="B125" s="167"/>
      <c r="C125" s="167"/>
      <c r="D125" s="167"/>
      <c r="E125" s="167"/>
      <c r="F125" s="167"/>
      <c r="G125" s="167"/>
      <c r="H125" s="167"/>
      <c r="I125" s="167"/>
    </row>
    <row r="126" spans="1:9" ht="30" customHeight="1">
      <c r="A126" s="167" t="s">
        <v>21</v>
      </c>
      <c r="B126" s="167"/>
      <c r="C126" s="167"/>
      <c r="D126" s="167"/>
      <c r="E126" s="167"/>
      <c r="F126" s="167"/>
      <c r="G126" s="167"/>
      <c r="H126" s="167"/>
      <c r="I126" s="167"/>
    </row>
    <row r="127" spans="1:9" ht="15" customHeight="1">
      <c r="A127" s="167" t="s">
        <v>20</v>
      </c>
      <c r="B127" s="167"/>
      <c r="C127" s="167"/>
      <c r="D127" s="167"/>
      <c r="E127" s="167"/>
      <c r="F127" s="167"/>
      <c r="G127" s="167"/>
      <c r="H127" s="167"/>
      <c r="I127" s="167"/>
    </row>
  </sheetData>
  <autoFilter ref="I12:I71"/>
  <mergeCells count="29">
    <mergeCell ref="A14:I14"/>
    <mergeCell ref="A15:I15"/>
    <mergeCell ref="A28:I28"/>
    <mergeCell ref="A44:I44"/>
    <mergeCell ref="A56:I56"/>
    <mergeCell ref="A3:I3"/>
    <mergeCell ref="A4:I4"/>
    <mergeCell ref="A5:I5"/>
    <mergeCell ref="A8:I8"/>
    <mergeCell ref="A10:I10"/>
    <mergeCell ref="R75:U75"/>
    <mergeCell ref="C121:E121"/>
    <mergeCell ref="A99:I99"/>
    <mergeCell ref="A107:I107"/>
    <mergeCell ref="B108:G108"/>
    <mergeCell ref="B109:G109"/>
    <mergeCell ref="A111:I111"/>
    <mergeCell ref="A112:I112"/>
    <mergeCell ref="A113:I113"/>
    <mergeCell ref="A115:I115"/>
    <mergeCell ref="C117:E117"/>
    <mergeCell ref="C118:E118"/>
    <mergeCell ref="C120:E120"/>
    <mergeCell ref="A95:I95"/>
    <mergeCell ref="A123:I123"/>
    <mergeCell ref="A124:I124"/>
    <mergeCell ref="A125:I125"/>
    <mergeCell ref="A126:I126"/>
    <mergeCell ref="A127:I127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U126"/>
  <sheetViews>
    <sheetView topLeftCell="A123" workbookViewId="0">
      <selection activeCell="G120" sqref="G12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174</v>
      </c>
      <c r="I1" s="30"/>
      <c r="J1" s="1"/>
      <c r="K1" s="1"/>
      <c r="L1" s="1"/>
      <c r="M1" s="1"/>
    </row>
    <row r="2" spans="1:13" ht="15.75" customHeight="1">
      <c r="A2" s="32" t="s">
        <v>59</v>
      </c>
      <c r="J2" s="2"/>
      <c r="K2" s="2"/>
      <c r="L2" s="2"/>
      <c r="M2" s="2"/>
    </row>
    <row r="3" spans="1:13" ht="15.75" customHeight="1">
      <c r="A3" s="174" t="s">
        <v>163</v>
      </c>
      <c r="B3" s="174"/>
      <c r="C3" s="174"/>
      <c r="D3" s="174"/>
      <c r="E3" s="174"/>
      <c r="F3" s="174"/>
      <c r="G3" s="174"/>
      <c r="H3" s="174"/>
      <c r="I3" s="174"/>
      <c r="J3" s="3"/>
      <c r="K3" s="3"/>
      <c r="L3" s="3"/>
    </row>
    <row r="4" spans="1:13" ht="31.5" customHeight="1">
      <c r="A4" s="175" t="s">
        <v>119</v>
      </c>
      <c r="B4" s="175"/>
      <c r="C4" s="175"/>
      <c r="D4" s="175"/>
      <c r="E4" s="175"/>
      <c r="F4" s="175"/>
      <c r="G4" s="175"/>
      <c r="H4" s="175"/>
      <c r="I4" s="175"/>
    </row>
    <row r="5" spans="1:13" ht="15.75" customHeight="1">
      <c r="A5" s="174" t="s">
        <v>215</v>
      </c>
      <c r="B5" s="178"/>
      <c r="C5" s="178"/>
      <c r="D5" s="178"/>
      <c r="E5" s="178"/>
      <c r="F5" s="178"/>
      <c r="G5" s="178"/>
      <c r="H5" s="178"/>
      <c r="I5" s="178"/>
      <c r="J5" s="2"/>
      <c r="K5" s="2"/>
      <c r="L5" s="2"/>
      <c r="M5" s="2"/>
    </row>
    <row r="6" spans="1:13" ht="15.75" customHeight="1">
      <c r="A6" s="2"/>
      <c r="B6" s="75"/>
      <c r="C6" s="75"/>
      <c r="D6" s="75"/>
      <c r="E6" s="75"/>
      <c r="F6" s="75"/>
      <c r="G6" s="75"/>
      <c r="H6" s="75"/>
      <c r="I6" s="34">
        <v>44347</v>
      </c>
      <c r="J6" s="2"/>
      <c r="K6" s="2"/>
      <c r="L6" s="2"/>
      <c r="M6" s="2"/>
    </row>
    <row r="7" spans="1:13" ht="15.75" customHeight="1">
      <c r="B7" s="74"/>
      <c r="C7" s="74"/>
      <c r="D7" s="74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76" t="s">
        <v>194</v>
      </c>
      <c r="B8" s="176"/>
      <c r="C8" s="176"/>
      <c r="D8" s="176"/>
      <c r="E8" s="176"/>
      <c r="F8" s="176"/>
      <c r="G8" s="176"/>
      <c r="H8" s="176"/>
      <c r="I8" s="17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77" t="s">
        <v>144</v>
      </c>
      <c r="B10" s="177"/>
      <c r="C10" s="177"/>
      <c r="D10" s="177"/>
      <c r="E10" s="177"/>
      <c r="F10" s="177"/>
      <c r="G10" s="177"/>
      <c r="H10" s="177"/>
      <c r="I10" s="177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79" t="s">
        <v>56</v>
      </c>
      <c r="B14" s="179"/>
      <c r="C14" s="179"/>
      <c r="D14" s="179"/>
      <c r="E14" s="179"/>
      <c r="F14" s="179"/>
      <c r="G14" s="179"/>
      <c r="H14" s="179"/>
      <c r="I14" s="179"/>
      <c r="J14" s="8"/>
      <c r="K14" s="8"/>
      <c r="L14" s="8"/>
      <c r="M14" s="8"/>
    </row>
    <row r="15" spans="1:13" ht="15.75" customHeight="1">
      <c r="A15" s="180" t="s">
        <v>4</v>
      </c>
      <c r="B15" s="180"/>
      <c r="C15" s="180"/>
      <c r="D15" s="180"/>
      <c r="E15" s="180"/>
      <c r="F15" s="180"/>
      <c r="G15" s="180"/>
      <c r="H15" s="180"/>
      <c r="I15" s="180"/>
      <c r="J15" s="8"/>
      <c r="K15" s="8"/>
      <c r="L15" s="8"/>
      <c r="M15" s="8"/>
    </row>
    <row r="16" spans="1:13" ht="15.75" customHeight="1">
      <c r="A16" s="33">
        <v>1</v>
      </c>
      <c r="B16" s="89" t="s">
        <v>81</v>
      </c>
      <c r="C16" s="90" t="s">
        <v>82</v>
      </c>
      <c r="D16" s="89" t="s">
        <v>178</v>
      </c>
      <c r="E16" s="91">
        <v>53.8</v>
      </c>
      <c r="F16" s="92">
        <f>SUM(E16*156/100)</f>
        <v>83.927999999999997</v>
      </c>
      <c r="G16" s="92">
        <v>218.21</v>
      </c>
      <c r="H16" s="93">
        <f t="shared" ref="H16:H26" si="0">SUM(F16*G16/1000)</f>
        <v>18.313928879999999</v>
      </c>
      <c r="I16" s="13">
        <f>F16/12*G16</f>
        <v>1526.16074</v>
      </c>
      <c r="J16" s="8"/>
      <c r="K16" s="8"/>
      <c r="L16" s="8"/>
      <c r="M16" s="8"/>
    </row>
    <row r="17" spans="1:13" ht="15.75" customHeight="1">
      <c r="A17" s="33">
        <v>2</v>
      </c>
      <c r="B17" s="89" t="s">
        <v>120</v>
      </c>
      <c r="C17" s="90" t="s">
        <v>82</v>
      </c>
      <c r="D17" s="89" t="s">
        <v>179</v>
      </c>
      <c r="E17" s="91">
        <v>107.6</v>
      </c>
      <c r="F17" s="92">
        <f>SUM(E17*104/100)</f>
        <v>111.904</v>
      </c>
      <c r="G17" s="92">
        <v>218.21</v>
      </c>
      <c r="H17" s="93">
        <f t="shared" si="0"/>
        <v>24.418571840000002</v>
      </c>
      <c r="I17" s="13">
        <f>F17/12*G17</f>
        <v>2034.8809866666668</v>
      </c>
      <c r="J17" s="26"/>
      <c r="K17" s="8"/>
      <c r="L17" s="8"/>
      <c r="M17" s="8"/>
    </row>
    <row r="18" spans="1:13" ht="15.75" customHeight="1">
      <c r="A18" s="33">
        <v>3</v>
      </c>
      <c r="B18" s="89" t="s">
        <v>83</v>
      </c>
      <c r="C18" s="90" t="s">
        <v>82</v>
      </c>
      <c r="D18" s="89" t="s">
        <v>181</v>
      </c>
      <c r="E18" s="91">
        <f>SUM(E16+E17)</f>
        <v>161.39999999999998</v>
      </c>
      <c r="F18" s="92">
        <f>SUM(E18*24/100)</f>
        <v>38.735999999999997</v>
      </c>
      <c r="G18" s="92">
        <v>627.77</v>
      </c>
      <c r="H18" s="93">
        <f t="shared" si="0"/>
        <v>24.31729872</v>
      </c>
      <c r="I18" s="13">
        <f>F18/12*G18</f>
        <v>2026.4415599999998</v>
      </c>
      <c r="J18" s="26"/>
      <c r="K18" s="8"/>
      <c r="L18" s="8"/>
      <c r="M18" s="8"/>
    </row>
    <row r="19" spans="1:13" ht="15.75" hidden="1" customHeight="1">
      <c r="A19" s="33">
        <v>4</v>
      </c>
      <c r="B19" s="89" t="s">
        <v>84</v>
      </c>
      <c r="C19" s="90" t="s">
        <v>85</v>
      </c>
      <c r="D19" s="89" t="s">
        <v>182</v>
      </c>
      <c r="E19" s="91">
        <v>15.3</v>
      </c>
      <c r="F19" s="92">
        <f>SUM(E19/10)</f>
        <v>1.53</v>
      </c>
      <c r="G19" s="92">
        <v>211.74</v>
      </c>
      <c r="H19" s="93">
        <f t="shared" si="0"/>
        <v>0.32396219999999998</v>
      </c>
      <c r="I19" s="13">
        <f>F19*G19</f>
        <v>323.9622</v>
      </c>
      <c r="J19" s="26"/>
      <c r="K19" s="8"/>
      <c r="L19" s="8"/>
      <c r="M19" s="8"/>
    </row>
    <row r="20" spans="1:13" ht="15.75" hidden="1" customHeight="1">
      <c r="A20" s="33">
        <v>5</v>
      </c>
      <c r="B20" s="89" t="s">
        <v>91</v>
      </c>
      <c r="C20" s="90" t="s">
        <v>50</v>
      </c>
      <c r="D20" s="89" t="s">
        <v>183</v>
      </c>
      <c r="E20" s="91">
        <v>4.5</v>
      </c>
      <c r="F20" s="92">
        <f>E20/100</f>
        <v>4.4999999999999998E-2</v>
      </c>
      <c r="G20" s="92">
        <v>484.94</v>
      </c>
      <c r="H20" s="93">
        <f>SUM(F20*G20/1000)</f>
        <v>2.1822299999999999E-2</v>
      </c>
      <c r="I20" s="13">
        <f>F20*G20</f>
        <v>21.822299999999998</v>
      </c>
      <c r="J20" s="26"/>
      <c r="K20" s="8"/>
      <c r="L20" s="8"/>
      <c r="M20" s="8"/>
    </row>
    <row r="21" spans="1:13" ht="15.75" hidden="1" customHeight="1">
      <c r="A21" s="33">
        <v>6</v>
      </c>
      <c r="B21" s="89" t="s">
        <v>87</v>
      </c>
      <c r="C21" s="90" t="s">
        <v>82</v>
      </c>
      <c r="D21" s="89" t="s">
        <v>184</v>
      </c>
      <c r="E21" s="91">
        <v>19.62</v>
      </c>
      <c r="F21" s="92">
        <f>SUM(E21*2/100)</f>
        <v>0.39240000000000003</v>
      </c>
      <c r="G21" s="92">
        <v>271.12</v>
      </c>
      <c r="H21" s="93">
        <f t="shared" si="0"/>
        <v>0.106387488</v>
      </c>
      <c r="I21" s="13">
        <f t="shared" ref="I21:I22" si="1">F21/2*G21</f>
        <v>53.193744000000002</v>
      </c>
      <c r="J21" s="26"/>
      <c r="K21" s="8"/>
      <c r="L21" s="8"/>
      <c r="M21" s="8"/>
    </row>
    <row r="22" spans="1:13" ht="15.75" hidden="1" customHeight="1">
      <c r="A22" s="33">
        <v>7</v>
      </c>
      <c r="B22" s="89" t="s">
        <v>88</v>
      </c>
      <c r="C22" s="90" t="s">
        <v>82</v>
      </c>
      <c r="D22" s="89" t="s">
        <v>184</v>
      </c>
      <c r="E22" s="91">
        <v>8.68</v>
      </c>
      <c r="F22" s="92">
        <f>SUM(E22*2/100)</f>
        <v>0.1736</v>
      </c>
      <c r="G22" s="92">
        <v>268.92</v>
      </c>
      <c r="H22" s="93">
        <f t="shared" si="0"/>
        <v>4.6684512000000004E-2</v>
      </c>
      <c r="I22" s="13">
        <f t="shared" si="1"/>
        <v>23.342256000000003</v>
      </c>
      <c r="J22" s="26"/>
      <c r="K22" s="8"/>
      <c r="L22" s="8"/>
      <c r="M22" s="8"/>
    </row>
    <row r="23" spans="1:13" ht="15.75" hidden="1" customHeight="1">
      <c r="A23" s="33">
        <v>8</v>
      </c>
      <c r="B23" s="89" t="s">
        <v>89</v>
      </c>
      <c r="C23" s="90" t="s">
        <v>50</v>
      </c>
      <c r="D23" s="89" t="s">
        <v>185</v>
      </c>
      <c r="E23" s="91">
        <v>215</v>
      </c>
      <c r="F23" s="92">
        <f>SUM(E23/100)</f>
        <v>2.15</v>
      </c>
      <c r="G23" s="92">
        <v>335.05</v>
      </c>
      <c r="H23" s="93">
        <f t="shared" si="0"/>
        <v>0.72035749999999998</v>
      </c>
      <c r="I23" s="13">
        <f>F23*G23</f>
        <v>720.35749999999996</v>
      </c>
      <c r="J23" s="26"/>
      <c r="K23" s="8"/>
      <c r="L23" s="8"/>
      <c r="M23" s="8"/>
    </row>
    <row r="24" spans="1:13" ht="15.75" hidden="1" customHeight="1">
      <c r="A24" s="33">
        <v>9</v>
      </c>
      <c r="B24" s="89" t="s">
        <v>90</v>
      </c>
      <c r="C24" s="90" t="s">
        <v>50</v>
      </c>
      <c r="D24" s="89" t="s">
        <v>185</v>
      </c>
      <c r="E24" s="94">
        <v>17.64</v>
      </c>
      <c r="F24" s="92">
        <f>SUM(E24/100)</f>
        <v>0.1764</v>
      </c>
      <c r="G24" s="92">
        <v>55.1</v>
      </c>
      <c r="H24" s="93">
        <f t="shared" si="0"/>
        <v>9.7196399999999999E-3</v>
      </c>
      <c r="I24" s="13">
        <f t="shared" ref="I24:I26" si="2">F24*G24</f>
        <v>9.7196400000000001</v>
      </c>
      <c r="J24" s="26"/>
      <c r="K24" s="8"/>
      <c r="L24" s="8"/>
      <c r="M24" s="8"/>
    </row>
    <row r="25" spans="1:13" ht="15.75" hidden="1" customHeight="1">
      <c r="A25" s="33">
        <v>10</v>
      </c>
      <c r="B25" s="89" t="s">
        <v>92</v>
      </c>
      <c r="C25" s="90" t="s">
        <v>50</v>
      </c>
      <c r="D25" s="89" t="s">
        <v>186</v>
      </c>
      <c r="E25" s="91">
        <v>14.4</v>
      </c>
      <c r="F25" s="92">
        <f>SUM(E25/100)</f>
        <v>0.14400000000000002</v>
      </c>
      <c r="G25" s="92">
        <v>648.04999999999995</v>
      </c>
      <c r="H25" s="93">
        <f>SUM(F25*G25/1000)</f>
        <v>9.3319200000000005E-2</v>
      </c>
      <c r="I25" s="13">
        <f t="shared" si="2"/>
        <v>93.319200000000009</v>
      </c>
      <c r="J25" s="26"/>
      <c r="K25" s="8"/>
      <c r="L25" s="8"/>
      <c r="M25" s="8"/>
    </row>
    <row r="26" spans="1:13" ht="15.75" hidden="1" customHeight="1">
      <c r="A26" s="33">
        <v>11</v>
      </c>
      <c r="B26" s="89" t="s">
        <v>122</v>
      </c>
      <c r="C26" s="90" t="s">
        <v>50</v>
      </c>
      <c r="D26" s="89" t="s">
        <v>183</v>
      </c>
      <c r="E26" s="91">
        <v>9.4499999999999993</v>
      </c>
      <c r="F26" s="92">
        <v>0.09</v>
      </c>
      <c r="G26" s="92">
        <v>268.92</v>
      </c>
      <c r="H26" s="93">
        <f t="shared" si="0"/>
        <v>2.42028E-2</v>
      </c>
      <c r="I26" s="13">
        <f t="shared" si="2"/>
        <v>24.2028</v>
      </c>
      <c r="J26" s="26"/>
      <c r="K26" s="8"/>
      <c r="L26" s="8"/>
      <c r="M26" s="8"/>
    </row>
    <row r="27" spans="1:13" ht="15.75" hidden="1" customHeight="1">
      <c r="A27" s="33">
        <v>4</v>
      </c>
      <c r="B27" s="89" t="s">
        <v>177</v>
      </c>
      <c r="C27" s="44" t="s">
        <v>173</v>
      </c>
      <c r="D27" s="120" t="s">
        <v>181</v>
      </c>
      <c r="E27" s="121">
        <v>2.5099999999999998</v>
      </c>
      <c r="F27" s="122">
        <f>E27*258</f>
        <v>647.57999999999993</v>
      </c>
      <c r="G27" s="122">
        <v>10.39</v>
      </c>
      <c r="H27" s="93">
        <f t="shared" ref="H27" si="3">SUM(F27*G27/1000)</f>
        <v>6.7283561999999995</v>
      </c>
      <c r="I27" s="13">
        <f>F27/12*G27</f>
        <v>560.69634999999994</v>
      </c>
      <c r="J27" s="26"/>
      <c r="K27" s="8"/>
      <c r="L27" s="8"/>
      <c r="M27" s="8"/>
    </row>
    <row r="28" spans="1:13" ht="15.75" customHeight="1">
      <c r="A28" s="180" t="s">
        <v>79</v>
      </c>
      <c r="B28" s="180"/>
      <c r="C28" s="180"/>
      <c r="D28" s="180"/>
      <c r="E28" s="180"/>
      <c r="F28" s="180"/>
      <c r="G28" s="180"/>
      <c r="H28" s="180"/>
      <c r="I28" s="180"/>
      <c r="J28" s="26"/>
      <c r="K28" s="8"/>
      <c r="L28" s="8"/>
      <c r="M28" s="8"/>
    </row>
    <row r="29" spans="1:13" ht="15.75" customHeight="1">
      <c r="A29" s="45"/>
      <c r="B29" s="55" t="s">
        <v>26</v>
      </c>
      <c r="C29" s="55"/>
      <c r="D29" s="55"/>
      <c r="E29" s="55"/>
      <c r="F29" s="55"/>
      <c r="G29" s="55"/>
      <c r="H29" s="55"/>
      <c r="I29" s="19"/>
      <c r="J29" s="26"/>
      <c r="K29" s="8"/>
      <c r="L29" s="8"/>
      <c r="M29" s="8"/>
    </row>
    <row r="30" spans="1:13" ht="15.75" customHeight="1">
      <c r="A30" s="45">
        <v>4</v>
      </c>
      <c r="B30" s="89" t="s">
        <v>150</v>
      </c>
      <c r="C30" s="90" t="s">
        <v>93</v>
      </c>
      <c r="D30" s="89" t="s">
        <v>179</v>
      </c>
      <c r="E30" s="92">
        <v>306.55</v>
      </c>
      <c r="F30" s="92">
        <f>SUM(E30*52/1000)</f>
        <v>15.9406</v>
      </c>
      <c r="G30" s="92">
        <v>193.97</v>
      </c>
      <c r="H30" s="93">
        <f t="shared" ref="H30:H35" si="4">SUM(F30*G30/1000)</f>
        <v>3.0919981819999998</v>
      </c>
      <c r="I30" s="13">
        <f>F30/6*G30</f>
        <v>515.33303033333334</v>
      </c>
      <c r="J30" s="26"/>
      <c r="K30" s="8"/>
      <c r="L30" s="8"/>
      <c r="M30" s="8"/>
    </row>
    <row r="31" spans="1:13" ht="31.5" customHeight="1">
      <c r="A31" s="45">
        <v>5</v>
      </c>
      <c r="B31" s="89" t="s">
        <v>95</v>
      </c>
      <c r="C31" s="90" t="s">
        <v>93</v>
      </c>
      <c r="D31" s="89" t="s">
        <v>178</v>
      </c>
      <c r="E31" s="92">
        <v>42.5</v>
      </c>
      <c r="F31" s="92">
        <f>SUM(E31*78/1000)</f>
        <v>3.3149999999999999</v>
      </c>
      <c r="G31" s="92">
        <v>321.82</v>
      </c>
      <c r="H31" s="93">
        <f t="shared" si="4"/>
        <v>1.0668333000000001</v>
      </c>
      <c r="I31" s="13">
        <f t="shared" ref="I31:I33" si="5">F31/6*G31</f>
        <v>177.80554999999998</v>
      </c>
      <c r="J31" s="26"/>
      <c r="K31" s="8"/>
      <c r="L31" s="8"/>
      <c r="M31" s="8"/>
    </row>
    <row r="32" spans="1:13" ht="15.75" customHeight="1">
      <c r="A32" s="45">
        <v>6</v>
      </c>
      <c r="B32" s="89" t="s">
        <v>149</v>
      </c>
      <c r="C32" s="90" t="s">
        <v>93</v>
      </c>
      <c r="D32" s="89" t="s">
        <v>183</v>
      </c>
      <c r="E32" s="92">
        <v>306.55</v>
      </c>
      <c r="F32" s="92">
        <f>SUM(E32/1000)</f>
        <v>0.30654999999999999</v>
      </c>
      <c r="G32" s="92">
        <v>3758.28</v>
      </c>
      <c r="H32" s="93">
        <f t="shared" si="4"/>
        <v>1.152100734</v>
      </c>
      <c r="I32" s="13">
        <f>F32*G32</f>
        <v>1152.1007340000001</v>
      </c>
      <c r="J32" s="26"/>
      <c r="K32" s="8"/>
      <c r="L32" s="8"/>
      <c r="M32" s="8"/>
    </row>
    <row r="33" spans="1:14" ht="15.75" customHeight="1">
      <c r="A33" s="45">
        <v>7</v>
      </c>
      <c r="B33" s="89" t="s">
        <v>123</v>
      </c>
      <c r="C33" s="90" t="s">
        <v>38</v>
      </c>
      <c r="D33" s="89" t="s">
        <v>187</v>
      </c>
      <c r="E33" s="92">
        <v>3</v>
      </c>
      <c r="F33" s="92">
        <f>E33*155/100</f>
        <v>4.6500000000000004</v>
      </c>
      <c r="G33" s="92">
        <v>1620.15</v>
      </c>
      <c r="H33" s="93">
        <f t="shared" si="4"/>
        <v>7.5336975000000015</v>
      </c>
      <c r="I33" s="13">
        <f t="shared" si="5"/>
        <v>1255.61625</v>
      </c>
      <c r="J33" s="26"/>
      <c r="K33" s="8"/>
      <c r="L33" s="8"/>
      <c r="M33" s="8"/>
    </row>
    <row r="34" spans="1:14" ht="15.75" hidden="1" customHeight="1">
      <c r="A34" s="45">
        <v>4</v>
      </c>
      <c r="B34" s="89" t="s">
        <v>61</v>
      </c>
      <c r="C34" s="90" t="s">
        <v>30</v>
      </c>
      <c r="D34" s="89" t="s">
        <v>63</v>
      </c>
      <c r="E34" s="91"/>
      <c r="F34" s="92">
        <v>2</v>
      </c>
      <c r="G34" s="92">
        <v>238.07</v>
      </c>
      <c r="H34" s="93">
        <f t="shared" si="4"/>
        <v>0.47614000000000001</v>
      </c>
      <c r="I34" s="13">
        <v>0</v>
      </c>
      <c r="J34" s="26"/>
      <c r="K34" s="8"/>
    </row>
    <row r="35" spans="1:14" ht="15.75" hidden="1" customHeight="1">
      <c r="A35" s="33">
        <v>8</v>
      </c>
      <c r="B35" s="89" t="s">
        <v>62</v>
      </c>
      <c r="C35" s="90" t="s">
        <v>29</v>
      </c>
      <c r="D35" s="89" t="s">
        <v>63</v>
      </c>
      <c r="E35" s="91"/>
      <c r="F35" s="92">
        <v>3</v>
      </c>
      <c r="G35" s="92">
        <v>1413.96</v>
      </c>
      <c r="H35" s="93">
        <f t="shared" si="4"/>
        <v>4.2418800000000001</v>
      </c>
      <c r="I35" s="13">
        <v>0</v>
      </c>
      <c r="J35" s="27"/>
    </row>
    <row r="36" spans="1:14" ht="15.75" hidden="1" customHeight="1">
      <c r="A36" s="45"/>
      <c r="B36" s="53" t="s">
        <v>5</v>
      </c>
      <c r="C36" s="53"/>
      <c r="D36" s="53"/>
      <c r="E36" s="13"/>
      <c r="F36" s="13"/>
      <c r="G36" s="14"/>
      <c r="H36" s="14"/>
      <c r="I36" s="19"/>
      <c r="J36" s="27"/>
    </row>
    <row r="37" spans="1:14" ht="15.75" hidden="1" customHeight="1">
      <c r="A37" s="37">
        <v>6</v>
      </c>
      <c r="B37" s="89" t="s">
        <v>25</v>
      </c>
      <c r="C37" s="90" t="s">
        <v>29</v>
      </c>
      <c r="D37" s="89"/>
      <c r="E37" s="91"/>
      <c r="F37" s="92">
        <v>2</v>
      </c>
      <c r="G37" s="92">
        <v>1900.37</v>
      </c>
      <c r="H37" s="93">
        <f t="shared" ref="H37:H42" si="6">SUM(F37*G37/1000)</f>
        <v>3.8007399999999998</v>
      </c>
      <c r="I37" s="13">
        <f t="shared" ref="I37:I42" si="7">F37/6*G37</f>
        <v>633.45666666666659</v>
      </c>
      <c r="J37" s="27"/>
    </row>
    <row r="38" spans="1:14" ht="15.75" hidden="1" customHeight="1">
      <c r="A38" s="37">
        <v>7</v>
      </c>
      <c r="B38" s="89" t="s">
        <v>64</v>
      </c>
      <c r="C38" s="90" t="s">
        <v>27</v>
      </c>
      <c r="D38" s="89" t="s">
        <v>98</v>
      </c>
      <c r="E38" s="92">
        <v>42.5</v>
      </c>
      <c r="F38" s="92">
        <f>SUM(E38*30/1000)</f>
        <v>1.2749999999999999</v>
      </c>
      <c r="G38" s="92">
        <v>2616.4899999999998</v>
      </c>
      <c r="H38" s="93">
        <f t="shared" si="6"/>
        <v>3.3360247499999995</v>
      </c>
      <c r="I38" s="13">
        <f t="shared" si="7"/>
        <v>556.00412499999993</v>
      </c>
      <c r="J38" s="27"/>
    </row>
    <row r="39" spans="1:14" ht="15.75" hidden="1" customHeight="1">
      <c r="A39" s="37">
        <v>8</v>
      </c>
      <c r="B39" s="89" t="s">
        <v>65</v>
      </c>
      <c r="C39" s="90" t="s">
        <v>27</v>
      </c>
      <c r="D39" s="89" t="s">
        <v>99</v>
      </c>
      <c r="E39" s="92">
        <v>42.5</v>
      </c>
      <c r="F39" s="92">
        <f>SUM(E39*155/1000)</f>
        <v>6.5875000000000004</v>
      </c>
      <c r="G39" s="92">
        <v>436.45</v>
      </c>
      <c r="H39" s="93">
        <f t="shared" si="6"/>
        <v>2.8751143749999999</v>
      </c>
      <c r="I39" s="13">
        <f t="shared" si="7"/>
        <v>479.18572916666665</v>
      </c>
      <c r="J39" s="27"/>
    </row>
    <row r="40" spans="1:14" ht="47.25" hidden="1" customHeight="1">
      <c r="A40" s="37">
        <v>9</v>
      </c>
      <c r="B40" s="89" t="s">
        <v>78</v>
      </c>
      <c r="C40" s="90" t="s">
        <v>93</v>
      </c>
      <c r="D40" s="89" t="s">
        <v>100</v>
      </c>
      <c r="E40" s="92">
        <v>42.5</v>
      </c>
      <c r="F40" s="92">
        <f>SUM(E40*35/1000)</f>
        <v>1.4875</v>
      </c>
      <c r="G40" s="92">
        <v>7221.21</v>
      </c>
      <c r="H40" s="93">
        <f t="shared" si="6"/>
        <v>10.741549875</v>
      </c>
      <c r="I40" s="13">
        <f t="shared" si="7"/>
        <v>1790.2583125000001</v>
      </c>
      <c r="J40" s="27"/>
    </row>
    <row r="41" spans="1:14" ht="15.75" hidden="1" customHeight="1">
      <c r="A41" s="37">
        <v>10</v>
      </c>
      <c r="B41" s="89" t="s">
        <v>101</v>
      </c>
      <c r="C41" s="90" t="s">
        <v>93</v>
      </c>
      <c r="D41" s="89" t="s">
        <v>102</v>
      </c>
      <c r="E41" s="92">
        <v>42.5</v>
      </c>
      <c r="F41" s="92">
        <f>SUM(E41*20/1000)</f>
        <v>0.85</v>
      </c>
      <c r="G41" s="92">
        <v>533.45000000000005</v>
      </c>
      <c r="H41" s="93">
        <f t="shared" si="6"/>
        <v>0.45343250000000002</v>
      </c>
      <c r="I41" s="13">
        <f t="shared" si="7"/>
        <v>75.572083333333339</v>
      </c>
      <c r="J41" s="27"/>
      <c r="L41" s="21"/>
      <c r="M41" s="22"/>
      <c r="N41" s="23"/>
    </row>
    <row r="42" spans="1:14" ht="15.75" hidden="1" customHeight="1">
      <c r="A42" s="37">
        <v>11</v>
      </c>
      <c r="B42" s="89" t="s">
        <v>66</v>
      </c>
      <c r="C42" s="90" t="s">
        <v>30</v>
      </c>
      <c r="D42" s="89"/>
      <c r="E42" s="91"/>
      <c r="F42" s="92">
        <v>0.5</v>
      </c>
      <c r="G42" s="92">
        <v>992.97</v>
      </c>
      <c r="H42" s="93">
        <f t="shared" si="6"/>
        <v>0.49648500000000001</v>
      </c>
      <c r="I42" s="13">
        <f t="shared" si="7"/>
        <v>82.747500000000002</v>
      </c>
      <c r="J42" s="27"/>
      <c r="L42" s="21"/>
      <c r="M42" s="22"/>
      <c r="N42" s="23"/>
    </row>
    <row r="43" spans="1:14" ht="15.75" customHeight="1">
      <c r="A43" s="170" t="s">
        <v>146</v>
      </c>
      <c r="B43" s="171"/>
      <c r="C43" s="171"/>
      <c r="D43" s="171"/>
      <c r="E43" s="171"/>
      <c r="F43" s="171"/>
      <c r="G43" s="171"/>
      <c r="H43" s="171"/>
      <c r="I43" s="172"/>
      <c r="J43" s="27"/>
      <c r="L43" s="21"/>
      <c r="M43" s="22"/>
      <c r="N43" s="23"/>
    </row>
    <row r="44" spans="1:14" ht="15.75" customHeight="1">
      <c r="A44" s="45">
        <v>8</v>
      </c>
      <c r="B44" s="89" t="s">
        <v>103</v>
      </c>
      <c r="C44" s="90" t="s">
        <v>93</v>
      </c>
      <c r="D44" s="89" t="s">
        <v>184</v>
      </c>
      <c r="E44" s="91">
        <v>1060.4000000000001</v>
      </c>
      <c r="F44" s="92">
        <f>SUM(E44*2/1000)</f>
        <v>2.1208</v>
      </c>
      <c r="G44" s="13">
        <v>1283.46</v>
      </c>
      <c r="H44" s="93">
        <f t="shared" ref="H44:H54" si="8">SUM(F44*G44/1000)</f>
        <v>2.721961968</v>
      </c>
      <c r="I44" s="13">
        <f t="shared" ref="I44:I47" si="9">F44/2*G44</f>
        <v>1360.980984</v>
      </c>
      <c r="J44" s="27"/>
      <c r="L44" s="21"/>
      <c r="M44" s="22"/>
      <c r="N44" s="23"/>
    </row>
    <row r="45" spans="1:14" ht="15.75" customHeight="1">
      <c r="A45" s="45">
        <v>9</v>
      </c>
      <c r="B45" s="89" t="s">
        <v>33</v>
      </c>
      <c r="C45" s="90" t="s">
        <v>93</v>
      </c>
      <c r="D45" s="89" t="s">
        <v>184</v>
      </c>
      <c r="E45" s="91">
        <v>19.8</v>
      </c>
      <c r="F45" s="92">
        <f>SUM(E45*2/1000)</f>
        <v>3.9600000000000003E-2</v>
      </c>
      <c r="G45" s="13">
        <v>721.04</v>
      </c>
      <c r="H45" s="93">
        <f t="shared" si="8"/>
        <v>2.8553184000000002E-2</v>
      </c>
      <c r="I45" s="13">
        <f t="shared" si="9"/>
        <v>14.276592000000001</v>
      </c>
      <c r="J45" s="27"/>
      <c r="L45" s="21"/>
      <c r="M45" s="22"/>
      <c r="N45" s="23"/>
    </row>
    <row r="46" spans="1:14" ht="15.75" customHeight="1">
      <c r="A46" s="45">
        <v>10</v>
      </c>
      <c r="B46" s="89" t="s">
        <v>34</v>
      </c>
      <c r="C46" s="90" t="s">
        <v>93</v>
      </c>
      <c r="D46" s="89" t="s">
        <v>184</v>
      </c>
      <c r="E46" s="91">
        <v>660.84</v>
      </c>
      <c r="F46" s="92">
        <f>SUM(E46*2/1000)</f>
        <v>1.32168</v>
      </c>
      <c r="G46" s="13">
        <v>1711.28</v>
      </c>
      <c r="H46" s="93">
        <f t="shared" si="8"/>
        <v>2.2617645503999997</v>
      </c>
      <c r="I46" s="13">
        <f t="shared" si="9"/>
        <v>1130.8822751999999</v>
      </c>
      <c r="J46" s="27"/>
      <c r="L46" s="21"/>
      <c r="M46" s="22"/>
      <c r="N46" s="23"/>
    </row>
    <row r="47" spans="1:14" ht="15.75" customHeight="1">
      <c r="A47" s="45">
        <v>11</v>
      </c>
      <c r="B47" s="89" t="s">
        <v>35</v>
      </c>
      <c r="C47" s="90" t="s">
        <v>93</v>
      </c>
      <c r="D47" s="89" t="s">
        <v>184</v>
      </c>
      <c r="E47" s="91">
        <v>1156.21</v>
      </c>
      <c r="F47" s="92">
        <f>SUM(E47*2/1000)</f>
        <v>2.3124199999999999</v>
      </c>
      <c r="G47" s="13">
        <v>1179.73</v>
      </c>
      <c r="H47" s="93">
        <f t="shared" si="8"/>
        <v>2.7280312466000001</v>
      </c>
      <c r="I47" s="13">
        <f t="shared" si="9"/>
        <v>1364.0156233</v>
      </c>
      <c r="J47" s="27"/>
      <c r="L47" s="21"/>
      <c r="M47" s="22"/>
      <c r="N47" s="23"/>
    </row>
    <row r="48" spans="1:14" ht="15.75" customHeight="1">
      <c r="A48" s="45">
        <v>12</v>
      </c>
      <c r="B48" s="89" t="s">
        <v>31</v>
      </c>
      <c r="C48" s="90" t="s">
        <v>32</v>
      </c>
      <c r="D48" s="89" t="s">
        <v>184</v>
      </c>
      <c r="E48" s="91">
        <v>15.38</v>
      </c>
      <c r="F48" s="92">
        <f>SUM(E48*2/100)</f>
        <v>0.30760000000000004</v>
      </c>
      <c r="G48" s="13">
        <v>90.61</v>
      </c>
      <c r="H48" s="93">
        <f t="shared" si="8"/>
        <v>2.7871636000000002E-2</v>
      </c>
      <c r="I48" s="13">
        <f>F48/2*G48</f>
        <v>13.935818000000001</v>
      </c>
      <c r="J48" s="27"/>
      <c r="L48" s="21"/>
      <c r="M48" s="22"/>
      <c r="N48" s="23"/>
    </row>
    <row r="49" spans="1:14" ht="15.75" customHeight="1">
      <c r="A49" s="45">
        <v>13</v>
      </c>
      <c r="B49" s="89" t="s">
        <v>53</v>
      </c>
      <c r="C49" s="90" t="s">
        <v>93</v>
      </c>
      <c r="D49" s="89" t="s">
        <v>184</v>
      </c>
      <c r="E49" s="91">
        <v>823</v>
      </c>
      <c r="F49" s="92">
        <f>SUM(E49*5/1000)</f>
        <v>4.1150000000000002</v>
      </c>
      <c r="G49" s="13">
        <v>1711.28</v>
      </c>
      <c r="H49" s="93">
        <f t="shared" si="8"/>
        <v>7.0419171999999994</v>
      </c>
      <c r="I49" s="13">
        <f>F49/5*G49</f>
        <v>1408.3834400000001</v>
      </c>
      <c r="J49" s="27"/>
      <c r="L49" s="21"/>
      <c r="M49" s="22"/>
      <c r="N49" s="23"/>
    </row>
    <row r="50" spans="1:14" ht="33.75" customHeight="1">
      <c r="A50" s="45">
        <v>14</v>
      </c>
      <c r="B50" s="89" t="s">
        <v>104</v>
      </c>
      <c r="C50" s="90" t="s">
        <v>93</v>
      </c>
      <c r="D50" s="89" t="s">
        <v>184</v>
      </c>
      <c r="E50" s="91">
        <v>823</v>
      </c>
      <c r="F50" s="92">
        <f>SUM(E50*2/1000)</f>
        <v>1.6459999999999999</v>
      </c>
      <c r="G50" s="13">
        <v>1510.06</v>
      </c>
      <c r="H50" s="93">
        <f t="shared" si="8"/>
        <v>2.48555876</v>
      </c>
      <c r="I50" s="13">
        <f>F50/2*G50</f>
        <v>1242.7793799999999</v>
      </c>
      <c r="J50" s="27"/>
      <c r="L50" s="21"/>
      <c r="M50" s="22"/>
      <c r="N50" s="23"/>
    </row>
    <row r="51" spans="1:14" ht="29.25" customHeight="1">
      <c r="A51" s="45">
        <v>15</v>
      </c>
      <c r="B51" s="89" t="s">
        <v>105</v>
      </c>
      <c r="C51" s="90" t="s">
        <v>36</v>
      </c>
      <c r="D51" s="89" t="s">
        <v>184</v>
      </c>
      <c r="E51" s="91">
        <v>9</v>
      </c>
      <c r="F51" s="92">
        <f>SUM(E51*2/100)</f>
        <v>0.18</v>
      </c>
      <c r="G51" s="13">
        <v>3850.4</v>
      </c>
      <c r="H51" s="93">
        <f t="shared" si="8"/>
        <v>0.69307200000000002</v>
      </c>
      <c r="I51" s="13">
        <f t="shared" ref="I51:I52" si="10">F51/2*G51</f>
        <v>346.536</v>
      </c>
      <c r="J51" s="27"/>
      <c r="L51" s="21"/>
      <c r="M51" s="22"/>
      <c r="N51" s="23"/>
    </row>
    <row r="52" spans="1:14" ht="18" customHeight="1">
      <c r="A52" s="45">
        <v>16</v>
      </c>
      <c r="B52" s="89" t="s">
        <v>37</v>
      </c>
      <c r="C52" s="90" t="s">
        <v>38</v>
      </c>
      <c r="D52" s="89" t="s">
        <v>184</v>
      </c>
      <c r="E52" s="91">
        <v>1</v>
      </c>
      <c r="F52" s="92">
        <v>0.02</v>
      </c>
      <c r="G52" s="13">
        <v>7033.13</v>
      </c>
      <c r="H52" s="93">
        <f t="shared" si="8"/>
        <v>0.1406626</v>
      </c>
      <c r="I52" s="13">
        <f t="shared" si="10"/>
        <v>70.331299999999999</v>
      </c>
      <c r="J52" s="27"/>
      <c r="L52" s="21"/>
      <c r="M52" s="22"/>
      <c r="N52" s="23"/>
    </row>
    <row r="53" spans="1:14" ht="15" hidden="1" customHeight="1">
      <c r="A53" s="45">
        <v>18</v>
      </c>
      <c r="B53" s="89" t="s">
        <v>124</v>
      </c>
      <c r="C53" s="90" t="s">
        <v>106</v>
      </c>
      <c r="D53" s="123">
        <v>43959</v>
      </c>
      <c r="E53" s="91">
        <v>36</v>
      </c>
      <c r="F53" s="92">
        <f>SUM(E53*3)</f>
        <v>108</v>
      </c>
      <c r="G53" s="13">
        <v>175.6</v>
      </c>
      <c r="H53" s="93">
        <f t="shared" si="8"/>
        <v>18.9648</v>
      </c>
      <c r="I53" s="13">
        <f>E53*G53</f>
        <v>6321.5999999999995</v>
      </c>
      <c r="J53" s="27"/>
      <c r="L53" s="21"/>
      <c r="M53" s="22"/>
      <c r="N53" s="23"/>
    </row>
    <row r="54" spans="1:14" ht="18" hidden="1" customHeight="1">
      <c r="A54" s="45">
        <v>19</v>
      </c>
      <c r="B54" s="89" t="s">
        <v>39</v>
      </c>
      <c r="C54" s="90" t="s">
        <v>106</v>
      </c>
      <c r="D54" s="123">
        <v>43959</v>
      </c>
      <c r="E54" s="91">
        <v>36</v>
      </c>
      <c r="F54" s="92">
        <f>SUM(E54)*3</f>
        <v>108</v>
      </c>
      <c r="G54" s="13">
        <v>81.73</v>
      </c>
      <c r="H54" s="93">
        <f t="shared" si="8"/>
        <v>8.8268400000000007</v>
      </c>
      <c r="I54" s="13">
        <f>E54*G54</f>
        <v>2942.28</v>
      </c>
      <c r="J54" s="27"/>
      <c r="L54" s="21"/>
      <c r="M54" s="22"/>
      <c r="N54" s="23"/>
    </row>
    <row r="55" spans="1:14" ht="15.75" customHeight="1">
      <c r="A55" s="170" t="s">
        <v>147</v>
      </c>
      <c r="B55" s="171"/>
      <c r="C55" s="171"/>
      <c r="D55" s="171"/>
      <c r="E55" s="171"/>
      <c r="F55" s="171"/>
      <c r="G55" s="171"/>
      <c r="H55" s="171"/>
      <c r="I55" s="172"/>
      <c r="J55" s="27"/>
      <c r="L55" s="21"/>
      <c r="M55" s="22"/>
      <c r="N55" s="23"/>
    </row>
    <row r="56" spans="1:14" ht="15.75" hidden="1" customHeight="1">
      <c r="A56" s="57"/>
      <c r="B56" s="52" t="s">
        <v>41</v>
      </c>
      <c r="C56" s="17"/>
      <c r="D56" s="16"/>
      <c r="E56" s="16"/>
      <c r="F56" s="16"/>
      <c r="G56" s="33"/>
      <c r="H56" s="33"/>
      <c r="I56" s="19"/>
      <c r="J56" s="27"/>
      <c r="L56" s="21"/>
      <c r="M56" s="22"/>
      <c r="N56" s="23"/>
    </row>
    <row r="57" spans="1:14" ht="23.25" hidden="1" customHeight="1">
      <c r="A57" s="45">
        <v>12</v>
      </c>
      <c r="B57" s="89" t="s">
        <v>152</v>
      </c>
      <c r="C57" s="90" t="s">
        <v>82</v>
      </c>
      <c r="D57" s="89" t="s">
        <v>107</v>
      </c>
      <c r="E57" s="91">
        <v>71.02</v>
      </c>
      <c r="F57" s="92">
        <f>SUM(E57*6/100)</f>
        <v>4.2611999999999997</v>
      </c>
      <c r="G57" s="13">
        <v>2306.62</v>
      </c>
      <c r="H57" s="93">
        <f>SUM(F57*G57/1000)</f>
        <v>9.8289691439999984</v>
      </c>
      <c r="I57" s="13">
        <f>F57/6*G57</f>
        <v>1638.1615239999999</v>
      </c>
      <c r="J57" s="27"/>
      <c r="L57" s="21"/>
      <c r="M57" s="22"/>
      <c r="N57" s="23"/>
    </row>
    <row r="58" spans="1:14" ht="19.5" hidden="1" customHeight="1">
      <c r="A58" s="45">
        <v>25</v>
      </c>
      <c r="B58" s="89" t="s">
        <v>108</v>
      </c>
      <c r="C58" s="90" t="s">
        <v>153</v>
      </c>
      <c r="D58" s="89" t="s">
        <v>63</v>
      </c>
      <c r="E58" s="97"/>
      <c r="F58" s="92">
        <v>2</v>
      </c>
      <c r="G58" s="92">
        <v>1501</v>
      </c>
      <c r="H58" s="93">
        <f>SUM(F58*G58/1000)</f>
        <v>3.0019999999999998</v>
      </c>
      <c r="I58" s="13">
        <f>G58*1.5</f>
        <v>2251.5</v>
      </c>
      <c r="J58" s="27"/>
      <c r="L58" s="21"/>
      <c r="M58" s="22"/>
      <c r="N58" s="23"/>
    </row>
    <row r="59" spans="1:14" ht="22.5" hidden="1" customHeight="1">
      <c r="A59" s="45"/>
      <c r="B59" s="76" t="s">
        <v>42</v>
      </c>
      <c r="C59" s="76"/>
      <c r="D59" s="76"/>
      <c r="E59" s="76"/>
      <c r="F59" s="76"/>
      <c r="G59" s="76"/>
      <c r="H59" s="76"/>
      <c r="I59" s="39"/>
      <c r="J59" s="27"/>
      <c r="L59" s="21"/>
      <c r="M59" s="22"/>
      <c r="N59" s="23"/>
    </row>
    <row r="60" spans="1:14" ht="24.75" hidden="1" customHeight="1">
      <c r="A60" s="45">
        <v>27</v>
      </c>
      <c r="B60" s="89" t="s">
        <v>154</v>
      </c>
      <c r="C60" s="90" t="s">
        <v>50</v>
      </c>
      <c r="D60" s="89" t="s">
        <v>51</v>
      </c>
      <c r="E60" s="91">
        <v>434.4</v>
      </c>
      <c r="F60" s="93">
        <f>SUM(E60/100)</f>
        <v>4.3439999999999994</v>
      </c>
      <c r="G60" s="13">
        <v>987.51</v>
      </c>
      <c r="H60" s="98">
        <f>F60*G60/1000</f>
        <v>4.2897434399999996</v>
      </c>
      <c r="I60" s="13">
        <v>0</v>
      </c>
      <c r="J60" s="27"/>
      <c r="L60" s="21"/>
      <c r="M60" s="22"/>
      <c r="N60" s="23"/>
    </row>
    <row r="61" spans="1:14" ht="29.25" hidden="1" customHeight="1">
      <c r="A61" s="45"/>
      <c r="B61" s="69" t="s">
        <v>125</v>
      </c>
      <c r="C61" s="44"/>
      <c r="D61" s="68"/>
      <c r="E61" s="67"/>
      <c r="F61" s="67"/>
      <c r="G61" s="40"/>
      <c r="H61" s="40"/>
      <c r="I61" s="20"/>
      <c r="J61" s="27"/>
      <c r="L61" s="21"/>
      <c r="M61" s="22"/>
      <c r="N61" s="23"/>
    </row>
    <row r="62" spans="1:14" ht="26.25" hidden="1" customHeight="1">
      <c r="A62" s="45"/>
      <c r="B62" s="89" t="s">
        <v>126</v>
      </c>
      <c r="C62" s="90" t="s">
        <v>106</v>
      </c>
      <c r="D62" s="41" t="s">
        <v>63</v>
      </c>
      <c r="E62" s="91">
        <v>1</v>
      </c>
      <c r="F62" s="92">
        <f>E62</f>
        <v>1</v>
      </c>
      <c r="G62" s="99">
        <v>323.38</v>
      </c>
      <c r="H62" s="93">
        <f t="shared" ref="H62" si="11">SUM(F62*G62/1000)</f>
        <v>0.32338</v>
      </c>
      <c r="I62" s="13">
        <v>0</v>
      </c>
      <c r="J62" s="27"/>
      <c r="L62" s="21"/>
      <c r="M62" s="22"/>
      <c r="N62" s="23"/>
    </row>
    <row r="63" spans="1:14" ht="15.75" hidden="1" customHeight="1">
      <c r="A63" s="45"/>
      <c r="B63" s="76" t="s">
        <v>43</v>
      </c>
      <c r="C63" s="17"/>
      <c r="D63" s="41"/>
      <c r="E63" s="16"/>
      <c r="F63" s="16"/>
      <c r="G63" s="33"/>
      <c r="H63" s="33"/>
      <c r="I63" s="19"/>
      <c r="J63" s="27"/>
      <c r="L63" s="21"/>
      <c r="M63" s="22"/>
      <c r="N63" s="23"/>
    </row>
    <row r="64" spans="1:14" ht="15.75" hidden="1" customHeight="1">
      <c r="A64" s="45">
        <v>17</v>
      </c>
      <c r="B64" s="15" t="s">
        <v>44</v>
      </c>
      <c r="C64" s="17" t="s">
        <v>106</v>
      </c>
      <c r="D64" s="41" t="s">
        <v>63</v>
      </c>
      <c r="E64" s="19">
        <v>10</v>
      </c>
      <c r="F64" s="92">
        <v>10</v>
      </c>
      <c r="G64" s="13">
        <v>276.74</v>
      </c>
      <c r="H64" s="100">
        <f t="shared" ref="H64:H71" si="12">SUM(F64*G64/1000)</f>
        <v>2.7674000000000003</v>
      </c>
      <c r="I64" s="13">
        <v>0</v>
      </c>
      <c r="J64" s="27"/>
      <c r="L64" s="21"/>
      <c r="M64" s="22"/>
      <c r="N64" s="23"/>
    </row>
    <row r="65" spans="1:21" ht="15.75" hidden="1" customHeight="1">
      <c r="A65" s="33">
        <v>29</v>
      </c>
      <c r="B65" s="15" t="s">
        <v>45</v>
      </c>
      <c r="C65" s="17" t="s">
        <v>106</v>
      </c>
      <c r="D65" s="41" t="s">
        <v>63</v>
      </c>
      <c r="E65" s="19">
        <v>3</v>
      </c>
      <c r="F65" s="92">
        <v>3</v>
      </c>
      <c r="G65" s="13">
        <v>94.89</v>
      </c>
      <c r="H65" s="100">
        <f t="shared" si="12"/>
        <v>0.28467000000000003</v>
      </c>
      <c r="I65" s="13">
        <v>0</v>
      </c>
      <c r="J65" s="27"/>
      <c r="L65" s="21"/>
      <c r="M65" s="22"/>
      <c r="N65" s="23"/>
    </row>
    <row r="66" spans="1:21" ht="15.75" hidden="1" customHeight="1">
      <c r="A66" s="33">
        <v>29</v>
      </c>
      <c r="B66" s="15" t="s">
        <v>46</v>
      </c>
      <c r="C66" s="17" t="s">
        <v>109</v>
      </c>
      <c r="D66" s="15" t="s">
        <v>51</v>
      </c>
      <c r="E66" s="91">
        <v>7265</v>
      </c>
      <c r="F66" s="13">
        <f>SUM(E66/100)</f>
        <v>72.650000000000006</v>
      </c>
      <c r="G66" s="13">
        <v>263.99</v>
      </c>
      <c r="H66" s="100">
        <f t="shared" si="12"/>
        <v>19.178873500000002</v>
      </c>
      <c r="I66" s="13">
        <f>F66*G66</f>
        <v>19178.873500000002</v>
      </c>
      <c r="J66" s="27"/>
      <c r="L66" s="21"/>
      <c r="M66" s="22"/>
      <c r="N66" s="23"/>
    </row>
    <row r="67" spans="1:21" ht="15.75" hidden="1" customHeight="1">
      <c r="A67" s="33">
        <v>30</v>
      </c>
      <c r="B67" s="15" t="s">
        <v>47</v>
      </c>
      <c r="C67" s="17" t="s">
        <v>110</v>
      </c>
      <c r="D67" s="15" t="s">
        <v>51</v>
      </c>
      <c r="E67" s="91">
        <v>7265</v>
      </c>
      <c r="F67" s="13">
        <f>SUM(E67/1000)</f>
        <v>7.2649999999999997</v>
      </c>
      <c r="G67" s="13">
        <v>205.57</v>
      </c>
      <c r="H67" s="100">
        <f t="shared" si="12"/>
        <v>1.4934660500000001</v>
      </c>
      <c r="I67" s="13">
        <f t="shared" ref="I67:I70" si="13">F67*G67</f>
        <v>1493.46605</v>
      </c>
      <c r="J67" s="27"/>
      <c r="L67" s="21"/>
      <c r="M67" s="22"/>
      <c r="N67" s="23"/>
    </row>
    <row r="68" spans="1:21" ht="15.75" hidden="1" customHeight="1">
      <c r="A68" s="33">
        <v>31</v>
      </c>
      <c r="B68" s="15" t="s">
        <v>48</v>
      </c>
      <c r="C68" s="17" t="s">
        <v>73</v>
      </c>
      <c r="D68" s="15" t="s">
        <v>51</v>
      </c>
      <c r="E68" s="91">
        <v>1090</v>
      </c>
      <c r="F68" s="13">
        <f>SUM(E68/100)</f>
        <v>10.9</v>
      </c>
      <c r="G68" s="13">
        <v>2581.5300000000002</v>
      </c>
      <c r="H68" s="100">
        <f t="shared" si="12"/>
        <v>28.138677000000005</v>
      </c>
      <c r="I68" s="13">
        <f t="shared" si="13"/>
        <v>28138.677000000003</v>
      </c>
      <c r="J68" s="27"/>
      <c r="L68" s="21"/>
    </row>
    <row r="69" spans="1:21" ht="15.75" hidden="1" customHeight="1">
      <c r="A69" s="33">
        <v>32</v>
      </c>
      <c r="B69" s="101" t="s">
        <v>111</v>
      </c>
      <c r="C69" s="17" t="s">
        <v>30</v>
      </c>
      <c r="D69" s="15"/>
      <c r="E69" s="91">
        <v>7.4</v>
      </c>
      <c r="F69" s="13">
        <f>SUM(E69)</f>
        <v>7.4</v>
      </c>
      <c r="G69" s="13">
        <v>47.45</v>
      </c>
      <c r="H69" s="100">
        <f t="shared" si="12"/>
        <v>0.35113000000000005</v>
      </c>
      <c r="I69" s="13">
        <f t="shared" si="13"/>
        <v>351.13000000000005</v>
      </c>
    </row>
    <row r="70" spans="1:21" ht="15.75" hidden="1" customHeight="1">
      <c r="A70" s="33">
        <v>33</v>
      </c>
      <c r="B70" s="101" t="s">
        <v>155</v>
      </c>
      <c r="C70" s="17" t="s">
        <v>30</v>
      </c>
      <c r="D70" s="15"/>
      <c r="E70" s="91">
        <v>7.4</v>
      </c>
      <c r="F70" s="13">
        <f>SUM(E70)</f>
        <v>7.4</v>
      </c>
      <c r="G70" s="13">
        <v>44.27</v>
      </c>
      <c r="H70" s="100">
        <f t="shared" si="12"/>
        <v>0.327598</v>
      </c>
      <c r="I70" s="13">
        <f t="shared" si="13"/>
        <v>327.59800000000001</v>
      </c>
    </row>
    <row r="71" spans="1:21" ht="27.75" hidden="1" customHeight="1">
      <c r="A71" s="33">
        <v>13</v>
      </c>
      <c r="B71" s="15" t="s">
        <v>54</v>
      </c>
      <c r="C71" s="17" t="s">
        <v>55</v>
      </c>
      <c r="D71" s="15" t="s">
        <v>51</v>
      </c>
      <c r="E71" s="19">
        <v>3</v>
      </c>
      <c r="F71" s="92">
        <f>SUM(E71)</f>
        <v>3</v>
      </c>
      <c r="G71" s="13">
        <v>62.07</v>
      </c>
      <c r="H71" s="100">
        <f t="shared" si="12"/>
        <v>0.18621000000000001</v>
      </c>
      <c r="I71" s="13">
        <v>0</v>
      </c>
    </row>
    <row r="72" spans="1:21" ht="29.25" hidden="1" customHeight="1">
      <c r="A72" s="57"/>
      <c r="B72" s="76" t="s">
        <v>112</v>
      </c>
      <c r="C72" s="76"/>
      <c r="D72" s="76"/>
      <c r="E72" s="76"/>
      <c r="F72" s="76"/>
      <c r="G72" s="76"/>
      <c r="H72" s="76"/>
      <c r="I72" s="19"/>
      <c r="J72" s="29"/>
      <c r="K72" s="29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ht="24.75" hidden="1" customHeight="1">
      <c r="A73" s="33">
        <v>14</v>
      </c>
      <c r="B73" s="102" t="s">
        <v>113</v>
      </c>
      <c r="C73" s="25"/>
      <c r="D73" s="24"/>
      <c r="E73" s="84"/>
      <c r="F73" s="103">
        <v>1</v>
      </c>
      <c r="G73" s="103">
        <v>12171.2</v>
      </c>
      <c r="H73" s="13">
        <f>G73*F73/1000</f>
        <v>12.171200000000001</v>
      </c>
      <c r="I73" s="13">
        <f>G73</f>
        <v>12171.2</v>
      </c>
      <c r="J73" s="3"/>
      <c r="K73" s="3"/>
      <c r="L73" s="3"/>
      <c r="M73" s="3"/>
      <c r="N73" s="3"/>
      <c r="O73" s="3"/>
      <c r="P73" s="3"/>
      <c r="Q73" s="3"/>
      <c r="S73" s="3"/>
      <c r="T73" s="3"/>
      <c r="U73" s="3"/>
    </row>
    <row r="74" spans="1:21" ht="27" hidden="1" customHeight="1">
      <c r="A74" s="33"/>
      <c r="B74" s="53" t="s">
        <v>68</v>
      </c>
      <c r="C74" s="53"/>
      <c r="D74" s="53"/>
      <c r="E74" s="19"/>
      <c r="F74" s="19"/>
      <c r="G74" s="33"/>
      <c r="H74" s="33"/>
      <c r="I74" s="19"/>
      <c r="J74" s="5"/>
      <c r="K74" s="5"/>
      <c r="L74" s="5"/>
      <c r="M74" s="5"/>
      <c r="N74" s="5"/>
      <c r="O74" s="5"/>
      <c r="P74" s="5"/>
      <c r="Q74" s="5"/>
      <c r="R74" s="168"/>
      <c r="S74" s="168"/>
      <c r="T74" s="168"/>
      <c r="U74" s="168"/>
    </row>
    <row r="75" spans="1:21" ht="23.25" hidden="1" customHeight="1">
      <c r="A75" s="33"/>
      <c r="B75" s="15" t="s">
        <v>127</v>
      </c>
      <c r="C75" s="17" t="s">
        <v>114</v>
      </c>
      <c r="D75" s="41" t="s">
        <v>63</v>
      </c>
      <c r="E75" s="19">
        <v>1</v>
      </c>
      <c r="F75" s="13">
        <f>E75</f>
        <v>1</v>
      </c>
      <c r="G75" s="13">
        <v>976.4</v>
      </c>
      <c r="H75" s="100">
        <f>F75*G75/1000</f>
        <v>0.97639999999999993</v>
      </c>
      <c r="I75" s="13">
        <v>0</v>
      </c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</row>
    <row r="76" spans="1:21" ht="24.75" hidden="1" customHeight="1">
      <c r="A76" s="33"/>
      <c r="B76" s="15" t="s">
        <v>115</v>
      </c>
      <c r="C76" s="17" t="s">
        <v>116</v>
      </c>
      <c r="D76" s="15"/>
      <c r="E76" s="19">
        <v>1</v>
      </c>
      <c r="F76" s="13">
        <v>1</v>
      </c>
      <c r="G76" s="13">
        <v>750</v>
      </c>
      <c r="H76" s="100">
        <f>F76*G76/1000</f>
        <v>0.75</v>
      </c>
      <c r="I76" s="13">
        <v>0</v>
      </c>
    </row>
    <row r="77" spans="1:21" ht="30" hidden="1" customHeight="1">
      <c r="A77" s="33"/>
      <c r="B77" s="15" t="s">
        <v>69</v>
      </c>
      <c r="C77" s="17" t="s">
        <v>71</v>
      </c>
      <c r="D77" s="41" t="s">
        <v>63</v>
      </c>
      <c r="E77" s="19">
        <v>3</v>
      </c>
      <c r="F77" s="13">
        <f>SUM(E77/100)</f>
        <v>0.03</v>
      </c>
      <c r="G77" s="13">
        <v>624.16999999999996</v>
      </c>
      <c r="H77" s="100">
        <f>F77*G77/1000</f>
        <v>1.8725099999999998E-2</v>
      </c>
      <c r="I77" s="13">
        <v>0</v>
      </c>
    </row>
    <row r="78" spans="1:21" ht="27" hidden="1" customHeight="1">
      <c r="A78" s="33"/>
      <c r="B78" s="15" t="s">
        <v>70</v>
      </c>
      <c r="C78" s="17" t="s">
        <v>28</v>
      </c>
      <c r="D78" s="41" t="s">
        <v>63</v>
      </c>
      <c r="E78" s="19">
        <v>1</v>
      </c>
      <c r="F78" s="13">
        <v>1</v>
      </c>
      <c r="G78" s="13">
        <v>1061.4100000000001</v>
      </c>
      <c r="H78" s="100">
        <f>F78*G78/1000</f>
        <v>1.0614100000000002</v>
      </c>
      <c r="I78" s="13">
        <v>0</v>
      </c>
    </row>
    <row r="79" spans="1:21" ht="27.75" hidden="1" customHeight="1">
      <c r="A79" s="33">
        <v>17</v>
      </c>
      <c r="B79" s="15" t="s">
        <v>128</v>
      </c>
      <c r="C79" s="17" t="s">
        <v>28</v>
      </c>
      <c r="D79" s="41" t="s">
        <v>63</v>
      </c>
      <c r="E79" s="19">
        <v>1</v>
      </c>
      <c r="F79" s="92">
        <f>SUM(E79)</f>
        <v>1</v>
      </c>
      <c r="G79" s="13">
        <v>446.12</v>
      </c>
      <c r="H79" s="100">
        <f t="shared" ref="H79" si="14">SUM(F79*G79/1000)</f>
        <v>0.44612000000000002</v>
      </c>
      <c r="I79" s="13">
        <v>0</v>
      </c>
    </row>
    <row r="80" spans="1:21" ht="21" hidden="1" customHeight="1">
      <c r="A80" s="33"/>
      <c r="B80" s="54" t="s">
        <v>72</v>
      </c>
      <c r="C80" s="42"/>
      <c r="D80" s="33"/>
      <c r="E80" s="19"/>
      <c r="F80" s="19"/>
      <c r="G80" s="40"/>
      <c r="H80" s="40"/>
      <c r="I80" s="19"/>
    </row>
    <row r="81" spans="1:9" ht="17.25" hidden="1" customHeight="1">
      <c r="A81" s="33">
        <v>39</v>
      </c>
      <c r="B81" s="56" t="s">
        <v>117</v>
      </c>
      <c r="C81" s="17" t="s">
        <v>73</v>
      </c>
      <c r="D81" s="15"/>
      <c r="E81" s="19"/>
      <c r="F81" s="13">
        <v>1.35</v>
      </c>
      <c r="G81" s="13">
        <v>3433.68</v>
      </c>
      <c r="H81" s="100">
        <f t="shared" ref="H81" si="15">SUM(F81*G81/1000)</f>
        <v>4.6354679999999995</v>
      </c>
      <c r="I81" s="13">
        <v>0</v>
      </c>
    </row>
    <row r="82" spans="1:9" ht="15.75" customHeight="1">
      <c r="A82" s="33"/>
      <c r="B82" s="76" t="s">
        <v>129</v>
      </c>
      <c r="C82" s="70"/>
      <c r="D82" s="35"/>
      <c r="E82" s="12"/>
      <c r="F82" s="12"/>
      <c r="G82" s="40"/>
      <c r="H82" s="40"/>
      <c r="I82" s="19"/>
    </row>
    <row r="83" spans="1:9" ht="31.5" hidden="1" customHeight="1">
      <c r="A83" s="33"/>
      <c r="B83" s="15" t="s">
        <v>130</v>
      </c>
      <c r="C83" s="17" t="s">
        <v>131</v>
      </c>
      <c r="D83" s="41" t="s">
        <v>63</v>
      </c>
      <c r="E83" s="19">
        <v>6</v>
      </c>
      <c r="F83" s="13">
        <f>E83</f>
        <v>6</v>
      </c>
      <c r="G83" s="13">
        <v>297.44</v>
      </c>
      <c r="H83" s="100">
        <f t="shared" ref="H83:H93" si="16">SUM(F83*G83/1000)</f>
        <v>1.7846399999999998</v>
      </c>
      <c r="I83" s="13">
        <v>0</v>
      </c>
    </row>
    <row r="84" spans="1:9" ht="20.25" hidden="1" customHeight="1">
      <c r="A84" s="33">
        <v>28</v>
      </c>
      <c r="B84" s="15" t="s">
        <v>132</v>
      </c>
      <c r="C84" s="17" t="s">
        <v>77</v>
      </c>
      <c r="D84" s="41"/>
      <c r="E84" s="19">
        <v>12</v>
      </c>
      <c r="F84" s="13">
        <f>E84</f>
        <v>12</v>
      </c>
      <c r="G84" s="13">
        <v>122.35</v>
      </c>
      <c r="H84" s="100">
        <f t="shared" si="16"/>
        <v>1.4681999999999997</v>
      </c>
      <c r="I84" s="13">
        <f>G84*12</f>
        <v>1468.1999999999998</v>
      </c>
    </row>
    <row r="85" spans="1:9" ht="27.75" hidden="1" customHeight="1">
      <c r="A85" s="33"/>
      <c r="B85" s="15" t="s">
        <v>133</v>
      </c>
      <c r="C85" s="17" t="s">
        <v>134</v>
      </c>
      <c r="D85" s="41" t="s">
        <v>63</v>
      </c>
      <c r="E85" s="19">
        <v>9</v>
      </c>
      <c r="F85" s="13">
        <f>E85/3</f>
        <v>3</v>
      </c>
      <c r="G85" s="13">
        <v>1063.47</v>
      </c>
      <c r="H85" s="100">
        <f t="shared" si="16"/>
        <v>3.19041</v>
      </c>
      <c r="I85" s="13">
        <v>0</v>
      </c>
    </row>
    <row r="86" spans="1:9" ht="25.5" hidden="1" customHeight="1">
      <c r="A86" s="33"/>
      <c r="B86" s="15" t="s">
        <v>135</v>
      </c>
      <c r="C86" s="17" t="s">
        <v>136</v>
      </c>
      <c r="D86" s="41" t="s">
        <v>63</v>
      </c>
      <c r="E86" s="19">
        <v>10</v>
      </c>
      <c r="F86" s="13">
        <f>E86/10</f>
        <v>1</v>
      </c>
      <c r="G86" s="13">
        <v>297.99</v>
      </c>
      <c r="H86" s="100">
        <f t="shared" si="16"/>
        <v>0.29799000000000003</v>
      </c>
      <c r="I86" s="13">
        <v>0</v>
      </c>
    </row>
    <row r="87" spans="1:9" ht="23.25" hidden="1" customHeight="1">
      <c r="A87" s="33"/>
      <c r="B87" s="15" t="s">
        <v>137</v>
      </c>
      <c r="C87" s="17" t="s">
        <v>77</v>
      </c>
      <c r="D87" s="41" t="s">
        <v>63</v>
      </c>
      <c r="E87" s="19">
        <v>6</v>
      </c>
      <c r="F87" s="13">
        <f t="shared" ref="F87:F92" si="17">E87</f>
        <v>6</v>
      </c>
      <c r="G87" s="13">
        <v>1564.44</v>
      </c>
      <c r="H87" s="100">
        <f t="shared" si="16"/>
        <v>9.3866399999999999</v>
      </c>
      <c r="I87" s="13">
        <v>0</v>
      </c>
    </row>
    <row r="88" spans="1:9" ht="21" hidden="1" customHeight="1">
      <c r="A88" s="33"/>
      <c r="B88" s="15" t="s">
        <v>138</v>
      </c>
      <c r="C88" s="17" t="s">
        <v>77</v>
      </c>
      <c r="D88" s="41" t="s">
        <v>63</v>
      </c>
      <c r="E88" s="19">
        <v>6</v>
      </c>
      <c r="F88" s="13">
        <f t="shared" si="17"/>
        <v>6</v>
      </c>
      <c r="G88" s="13">
        <v>1906.89</v>
      </c>
      <c r="H88" s="100">
        <f t="shared" si="16"/>
        <v>11.44134</v>
      </c>
      <c r="I88" s="13">
        <v>0</v>
      </c>
    </row>
    <row r="89" spans="1:9" ht="19.5" hidden="1" customHeight="1">
      <c r="A89" s="33"/>
      <c r="B89" s="15" t="s">
        <v>139</v>
      </c>
      <c r="C89" s="17" t="s">
        <v>77</v>
      </c>
      <c r="D89" s="41" t="s">
        <v>63</v>
      </c>
      <c r="E89" s="19">
        <v>6</v>
      </c>
      <c r="F89" s="13">
        <f t="shared" si="17"/>
        <v>6</v>
      </c>
      <c r="G89" s="13">
        <v>664.35</v>
      </c>
      <c r="H89" s="100">
        <f t="shared" si="16"/>
        <v>3.9861000000000004</v>
      </c>
      <c r="I89" s="13">
        <v>0</v>
      </c>
    </row>
    <row r="90" spans="1:9" ht="19.5" hidden="1" customHeight="1">
      <c r="A90" s="33"/>
      <c r="B90" s="15" t="s">
        <v>140</v>
      </c>
      <c r="C90" s="17" t="s">
        <v>77</v>
      </c>
      <c r="D90" s="41" t="s">
        <v>63</v>
      </c>
      <c r="E90" s="19">
        <v>6</v>
      </c>
      <c r="F90" s="13">
        <f t="shared" si="17"/>
        <v>6</v>
      </c>
      <c r="G90" s="13">
        <v>778.85</v>
      </c>
      <c r="H90" s="100">
        <f t="shared" si="16"/>
        <v>4.6731000000000007</v>
      </c>
      <c r="I90" s="13">
        <v>0</v>
      </c>
    </row>
    <row r="91" spans="1:9" ht="18.75" hidden="1" customHeight="1">
      <c r="A91" s="33"/>
      <c r="B91" s="15" t="s">
        <v>141</v>
      </c>
      <c r="C91" s="17" t="s">
        <v>114</v>
      </c>
      <c r="D91" s="41" t="s">
        <v>63</v>
      </c>
      <c r="E91" s="19">
        <v>4</v>
      </c>
      <c r="F91" s="13">
        <f t="shared" si="17"/>
        <v>4</v>
      </c>
      <c r="G91" s="13">
        <v>498.11</v>
      </c>
      <c r="H91" s="100">
        <f t="shared" si="16"/>
        <v>1.99244</v>
      </c>
      <c r="I91" s="13">
        <v>0</v>
      </c>
    </row>
    <row r="92" spans="1:9" ht="18" hidden="1" customHeight="1">
      <c r="A92" s="33"/>
      <c r="B92" s="15" t="s">
        <v>142</v>
      </c>
      <c r="C92" s="17" t="s">
        <v>77</v>
      </c>
      <c r="D92" s="41" t="s">
        <v>63</v>
      </c>
      <c r="E92" s="19">
        <v>6</v>
      </c>
      <c r="F92" s="13">
        <f t="shared" si="17"/>
        <v>6</v>
      </c>
      <c r="G92" s="13">
        <v>1264.3399999999999</v>
      </c>
      <c r="H92" s="100">
        <f t="shared" si="16"/>
        <v>7.5860399999999988</v>
      </c>
      <c r="I92" s="13">
        <v>0</v>
      </c>
    </row>
    <row r="93" spans="1:9" ht="15.75" customHeight="1">
      <c r="A93" s="33">
        <v>17</v>
      </c>
      <c r="B93" s="15" t="s">
        <v>143</v>
      </c>
      <c r="C93" s="17" t="s">
        <v>27</v>
      </c>
      <c r="D93" s="15" t="s">
        <v>184</v>
      </c>
      <c r="E93" s="19">
        <v>823</v>
      </c>
      <c r="F93" s="13">
        <f>E93*2/1000</f>
        <v>1.6459999999999999</v>
      </c>
      <c r="G93" s="13">
        <v>1707.71</v>
      </c>
      <c r="H93" s="100">
        <f t="shared" si="16"/>
        <v>2.8108906600000001</v>
      </c>
      <c r="I93" s="13">
        <f>F93/2*G93</f>
        <v>1405.44533</v>
      </c>
    </row>
    <row r="94" spans="1:9" ht="15.75" customHeight="1">
      <c r="A94" s="181" t="s">
        <v>148</v>
      </c>
      <c r="B94" s="182"/>
      <c r="C94" s="182"/>
      <c r="D94" s="182"/>
      <c r="E94" s="182"/>
      <c r="F94" s="182"/>
      <c r="G94" s="182"/>
      <c r="H94" s="182"/>
      <c r="I94" s="183"/>
    </row>
    <row r="95" spans="1:9" ht="15.75" customHeight="1">
      <c r="A95" s="33">
        <v>18</v>
      </c>
      <c r="B95" s="89" t="s">
        <v>118</v>
      </c>
      <c r="C95" s="17" t="s">
        <v>52</v>
      </c>
      <c r="D95" s="104"/>
      <c r="E95" s="13">
        <v>1832</v>
      </c>
      <c r="F95" s="13">
        <f>SUM(E95*12)</f>
        <v>21984</v>
      </c>
      <c r="G95" s="13">
        <v>2.95</v>
      </c>
      <c r="H95" s="100">
        <f>SUM(F95*G95/1000)</f>
        <v>64.852800000000002</v>
      </c>
      <c r="I95" s="13">
        <f>F95/12*G95</f>
        <v>5404.4000000000005</v>
      </c>
    </row>
    <row r="96" spans="1:9" ht="31.5" customHeight="1">
      <c r="A96" s="33">
        <v>19</v>
      </c>
      <c r="B96" s="15" t="s">
        <v>74</v>
      </c>
      <c r="C96" s="17" t="s">
        <v>156</v>
      </c>
      <c r="D96" s="104"/>
      <c r="E96" s="91">
        <v>1832</v>
      </c>
      <c r="F96" s="13">
        <f>E96*12</f>
        <v>21984</v>
      </c>
      <c r="G96" s="13">
        <v>3.05</v>
      </c>
      <c r="H96" s="100">
        <f>F96*G96/1000</f>
        <v>67.051199999999994</v>
      </c>
      <c r="I96" s="13">
        <f>F96/12*G96</f>
        <v>5587.5999999999995</v>
      </c>
    </row>
    <row r="97" spans="1:9" ht="15.75" customHeight="1">
      <c r="A97" s="57"/>
      <c r="B97" s="43" t="s">
        <v>76</v>
      </c>
      <c r="C97" s="45"/>
      <c r="D97" s="16"/>
      <c r="E97" s="16"/>
      <c r="F97" s="16"/>
      <c r="G97" s="19"/>
      <c r="H97" s="19"/>
      <c r="I97" s="36">
        <f>I96+I95+I93+I52+I51+I50+I49+I48+I47+I46+I45+I44+I33+I32+I31+I30+I18+I17+I16</f>
        <v>28037.905593500003</v>
      </c>
    </row>
    <row r="98" spans="1:9" ht="15.75" customHeight="1">
      <c r="A98" s="184" t="s">
        <v>57</v>
      </c>
      <c r="B98" s="185"/>
      <c r="C98" s="185"/>
      <c r="D98" s="185"/>
      <c r="E98" s="185"/>
      <c r="F98" s="185"/>
      <c r="G98" s="185"/>
      <c r="H98" s="185"/>
      <c r="I98" s="186"/>
    </row>
    <row r="99" spans="1:9" ht="15.75" customHeight="1">
      <c r="A99" s="105">
        <v>20</v>
      </c>
      <c r="B99" s="108" t="s">
        <v>172</v>
      </c>
      <c r="C99" s="109" t="s">
        <v>173</v>
      </c>
      <c r="D99" s="108"/>
      <c r="E99" s="110"/>
      <c r="F99" s="111">
        <v>24</v>
      </c>
      <c r="G99" s="112">
        <v>1.4</v>
      </c>
      <c r="H99" s="113">
        <f>F99*G99/1000</f>
        <v>3.3599999999999991E-2</v>
      </c>
      <c r="I99" s="114">
        <f>G99*12</f>
        <v>16.799999999999997</v>
      </c>
    </row>
    <row r="100" spans="1:9" ht="15.75" customHeight="1">
      <c r="A100" s="105">
        <v>21</v>
      </c>
      <c r="B100" s="116" t="s">
        <v>216</v>
      </c>
      <c r="C100" s="117" t="s">
        <v>27</v>
      </c>
      <c r="D100" s="41"/>
      <c r="E100" s="18"/>
      <c r="F100" s="124">
        <v>3.2320000000000002</v>
      </c>
      <c r="G100" s="40">
        <v>241.69</v>
      </c>
      <c r="H100" s="112"/>
      <c r="I100" s="114">
        <f>G100*3.232</f>
        <v>781.14208000000008</v>
      </c>
    </row>
    <row r="101" spans="1:9" ht="15.75" customHeight="1">
      <c r="A101" s="105">
        <v>22</v>
      </c>
      <c r="B101" s="116" t="s">
        <v>192</v>
      </c>
      <c r="C101" s="117" t="s">
        <v>106</v>
      </c>
      <c r="D101" s="41" t="s">
        <v>203</v>
      </c>
      <c r="E101" s="18"/>
      <c r="F101" s="40">
        <v>2</v>
      </c>
      <c r="G101" s="40">
        <v>218.81</v>
      </c>
      <c r="H101" s="112"/>
      <c r="I101" s="114">
        <v>0</v>
      </c>
    </row>
    <row r="102" spans="1:9" ht="15.75" customHeight="1">
      <c r="A102" s="105">
        <v>23</v>
      </c>
      <c r="B102" s="116" t="s">
        <v>191</v>
      </c>
      <c r="C102" s="117" t="s">
        <v>106</v>
      </c>
      <c r="D102" s="41" t="s">
        <v>203</v>
      </c>
      <c r="E102" s="18"/>
      <c r="F102" s="40">
        <v>2</v>
      </c>
      <c r="G102" s="40">
        <v>101.85</v>
      </c>
      <c r="H102" s="112"/>
      <c r="I102" s="114">
        <v>0</v>
      </c>
    </row>
    <row r="103" spans="1:9" ht="15.75" customHeight="1">
      <c r="A103" s="33"/>
      <c r="B103" s="50" t="s">
        <v>49</v>
      </c>
      <c r="C103" s="46"/>
      <c r="D103" s="58"/>
      <c r="E103" s="46">
        <v>1</v>
      </c>
      <c r="F103" s="46"/>
      <c r="G103" s="46"/>
      <c r="H103" s="46"/>
      <c r="I103" s="36">
        <f>SUM(I99:I102)</f>
        <v>797.94208000000003</v>
      </c>
    </row>
    <row r="104" spans="1:9" ht="15.75" customHeight="1">
      <c r="A104" s="33"/>
      <c r="B104" s="56" t="s">
        <v>75</v>
      </c>
      <c r="C104" s="16"/>
      <c r="D104" s="16"/>
      <c r="E104" s="47"/>
      <c r="F104" s="47"/>
      <c r="G104" s="48"/>
      <c r="H104" s="48"/>
      <c r="I104" s="18">
        <v>0</v>
      </c>
    </row>
    <row r="105" spans="1:9" ht="15.75" customHeight="1">
      <c r="A105" s="59"/>
      <c r="B105" s="51" t="s">
        <v>157</v>
      </c>
      <c r="C105" s="38"/>
      <c r="D105" s="38"/>
      <c r="E105" s="38"/>
      <c r="F105" s="38"/>
      <c r="G105" s="38"/>
      <c r="H105" s="38"/>
      <c r="I105" s="49">
        <f>I97+I103</f>
        <v>28835.847673500004</v>
      </c>
    </row>
    <row r="106" spans="1:9" ht="15.75" customHeight="1">
      <c r="A106" s="173" t="s">
        <v>217</v>
      </c>
      <c r="B106" s="173"/>
      <c r="C106" s="173"/>
      <c r="D106" s="173"/>
      <c r="E106" s="173"/>
      <c r="F106" s="173"/>
      <c r="G106" s="173"/>
      <c r="H106" s="173"/>
      <c r="I106" s="173"/>
    </row>
    <row r="107" spans="1:9" ht="15.75" customHeight="1">
      <c r="A107" s="77"/>
      <c r="B107" s="187" t="s">
        <v>218</v>
      </c>
      <c r="C107" s="187"/>
      <c r="D107" s="187"/>
      <c r="E107" s="187"/>
      <c r="F107" s="187"/>
      <c r="G107" s="187"/>
      <c r="H107" s="87"/>
      <c r="I107" s="3"/>
    </row>
    <row r="108" spans="1:9" ht="15.75" customHeight="1">
      <c r="A108" s="71"/>
      <c r="B108" s="161" t="s">
        <v>6</v>
      </c>
      <c r="C108" s="161"/>
      <c r="D108" s="161"/>
      <c r="E108" s="161"/>
      <c r="F108" s="161"/>
      <c r="G108" s="161"/>
      <c r="H108" s="28"/>
      <c r="I108" s="5"/>
    </row>
    <row r="109" spans="1:9" ht="15.75" customHeight="1">
      <c r="A109" s="9"/>
      <c r="B109" s="9"/>
      <c r="C109" s="9"/>
      <c r="D109" s="9"/>
      <c r="E109" s="9"/>
      <c r="F109" s="9"/>
      <c r="G109" s="9"/>
      <c r="H109" s="9"/>
      <c r="I109" s="9"/>
    </row>
    <row r="110" spans="1:9" ht="15.75" customHeight="1">
      <c r="A110" s="162" t="s">
        <v>7</v>
      </c>
      <c r="B110" s="162"/>
      <c r="C110" s="162"/>
      <c r="D110" s="162"/>
      <c r="E110" s="162"/>
      <c r="F110" s="162"/>
      <c r="G110" s="162"/>
      <c r="H110" s="162"/>
      <c r="I110" s="162"/>
    </row>
    <row r="111" spans="1:9" ht="15.75" customHeight="1">
      <c r="A111" s="162" t="s">
        <v>8</v>
      </c>
      <c r="B111" s="162"/>
      <c r="C111" s="162"/>
      <c r="D111" s="162"/>
      <c r="E111" s="162"/>
      <c r="F111" s="162"/>
      <c r="G111" s="162"/>
      <c r="H111" s="162"/>
      <c r="I111" s="162"/>
    </row>
    <row r="112" spans="1:9" ht="15.75" customHeight="1">
      <c r="A112" s="163" t="s">
        <v>58</v>
      </c>
      <c r="B112" s="163"/>
      <c r="C112" s="163"/>
      <c r="D112" s="163"/>
      <c r="E112" s="163"/>
      <c r="F112" s="163"/>
      <c r="G112" s="163"/>
      <c r="H112" s="163"/>
      <c r="I112" s="163"/>
    </row>
    <row r="113" spans="1:9" ht="15.75" customHeight="1">
      <c r="A113" s="10"/>
    </row>
    <row r="114" spans="1:9" ht="15.75" customHeight="1">
      <c r="A114" s="164" t="s">
        <v>9</v>
      </c>
      <c r="B114" s="164"/>
      <c r="C114" s="164"/>
      <c r="D114" s="164"/>
      <c r="E114" s="164"/>
      <c r="F114" s="164"/>
      <c r="G114" s="164"/>
      <c r="H114" s="164"/>
      <c r="I114" s="164"/>
    </row>
    <row r="115" spans="1:9" ht="15.75" customHeight="1">
      <c r="A115" s="4"/>
    </row>
    <row r="116" spans="1:9" ht="15.75" customHeight="1">
      <c r="B116" s="74" t="s">
        <v>10</v>
      </c>
      <c r="C116" s="165" t="s">
        <v>195</v>
      </c>
      <c r="D116" s="165"/>
      <c r="E116" s="165"/>
      <c r="F116" s="85"/>
      <c r="I116" s="73"/>
    </row>
    <row r="117" spans="1:9" ht="15.75" customHeight="1">
      <c r="A117" s="71"/>
      <c r="C117" s="161" t="s">
        <v>11</v>
      </c>
      <c r="D117" s="161"/>
      <c r="E117" s="161"/>
      <c r="F117" s="28"/>
      <c r="I117" s="72" t="s">
        <v>12</v>
      </c>
    </row>
    <row r="118" spans="1:9" ht="15.75" customHeight="1">
      <c r="A118" s="29"/>
      <c r="C118" s="11"/>
      <c r="D118" s="11"/>
      <c r="G118" s="11"/>
      <c r="H118" s="11"/>
    </row>
    <row r="119" spans="1:9" ht="15.75" customHeight="1">
      <c r="B119" s="74" t="s">
        <v>13</v>
      </c>
      <c r="C119" s="166"/>
      <c r="D119" s="166"/>
      <c r="E119" s="166"/>
      <c r="F119" s="86"/>
      <c r="I119" s="73"/>
    </row>
    <row r="120" spans="1:9" ht="15.75" customHeight="1">
      <c r="A120" s="71"/>
      <c r="C120" s="168" t="s">
        <v>11</v>
      </c>
      <c r="D120" s="168"/>
      <c r="E120" s="168"/>
      <c r="F120" s="71"/>
      <c r="I120" s="72" t="s">
        <v>12</v>
      </c>
    </row>
    <row r="121" spans="1:9" ht="15.75" customHeight="1">
      <c r="A121" s="4" t="s">
        <v>14</v>
      </c>
    </row>
    <row r="122" spans="1:9" ht="15.75" customHeight="1">
      <c r="A122" s="169" t="s">
        <v>15</v>
      </c>
      <c r="B122" s="169"/>
      <c r="C122" s="169"/>
      <c r="D122" s="169"/>
      <c r="E122" s="169"/>
      <c r="F122" s="169"/>
      <c r="G122" s="169"/>
      <c r="H122" s="169"/>
      <c r="I122" s="169"/>
    </row>
    <row r="123" spans="1:9" ht="45" customHeight="1">
      <c r="A123" s="167" t="s">
        <v>16</v>
      </c>
      <c r="B123" s="167"/>
      <c r="C123" s="167"/>
      <c r="D123" s="167"/>
      <c r="E123" s="167"/>
      <c r="F123" s="167"/>
      <c r="G123" s="167"/>
      <c r="H123" s="167"/>
      <c r="I123" s="167"/>
    </row>
    <row r="124" spans="1:9" ht="30" customHeight="1">
      <c r="A124" s="167" t="s">
        <v>17</v>
      </c>
      <c r="B124" s="167"/>
      <c r="C124" s="167"/>
      <c r="D124" s="167"/>
      <c r="E124" s="167"/>
      <c r="F124" s="167"/>
      <c r="G124" s="167"/>
      <c r="H124" s="167"/>
      <c r="I124" s="167"/>
    </row>
    <row r="125" spans="1:9" ht="30" customHeight="1">
      <c r="A125" s="167" t="s">
        <v>21</v>
      </c>
      <c r="B125" s="167"/>
      <c r="C125" s="167"/>
      <c r="D125" s="167"/>
      <c r="E125" s="167"/>
      <c r="F125" s="167"/>
      <c r="G125" s="167"/>
      <c r="H125" s="167"/>
      <c r="I125" s="167"/>
    </row>
    <row r="126" spans="1:9" ht="15" customHeight="1">
      <c r="A126" s="167" t="s">
        <v>20</v>
      </c>
      <c r="B126" s="167"/>
      <c r="C126" s="167"/>
      <c r="D126" s="167"/>
      <c r="E126" s="167"/>
      <c r="F126" s="167"/>
      <c r="G126" s="167"/>
      <c r="H126" s="167"/>
      <c r="I126" s="167"/>
    </row>
  </sheetData>
  <autoFilter ref="I12:I70"/>
  <mergeCells count="29">
    <mergeCell ref="A14:I14"/>
    <mergeCell ref="A15:I15"/>
    <mergeCell ref="A28:I28"/>
    <mergeCell ref="A43:I43"/>
    <mergeCell ref="A55:I55"/>
    <mergeCell ref="A3:I3"/>
    <mergeCell ref="A4:I4"/>
    <mergeCell ref="A5:I5"/>
    <mergeCell ref="A8:I8"/>
    <mergeCell ref="A10:I10"/>
    <mergeCell ref="R74:U74"/>
    <mergeCell ref="C120:E120"/>
    <mergeCell ref="A98:I98"/>
    <mergeCell ref="A106:I106"/>
    <mergeCell ref="B107:G107"/>
    <mergeCell ref="B108:G108"/>
    <mergeCell ref="A110:I110"/>
    <mergeCell ref="A111:I111"/>
    <mergeCell ref="A112:I112"/>
    <mergeCell ref="A114:I114"/>
    <mergeCell ref="C116:E116"/>
    <mergeCell ref="C117:E117"/>
    <mergeCell ref="C119:E119"/>
    <mergeCell ref="A94:I94"/>
    <mergeCell ref="A122:I122"/>
    <mergeCell ref="A123:I123"/>
    <mergeCell ref="A124:I124"/>
    <mergeCell ref="A125:I125"/>
    <mergeCell ref="A126:I126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U124"/>
  <sheetViews>
    <sheetView topLeftCell="A22" workbookViewId="0">
      <selection activeCell="B61" sqref="B61:I6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9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174</v>
      </c>
      <c r="I1" s="30"/>
      <c r="J1" s="1"/>
      <c r="K1" s="1"/>
      <c r="L1" s="1"/>
      <c r="M1" s="1"/>
    </row>
    <row r="2" spans="1:13" ht="15.75" customHeight="1">
      <c r="A2" s="32" t="s">
        <v>59</v>
      </c>
      <c r="J2" s="2"/>
      <c r="K2" s="2"/>
      <c r="L2" s="2"/>
      <c r="M2" s="2"/>
    </row>
    <row r="3" spans="1:13" ht="15.75" customHeight="1">
      <c r="A3" s="174" t="s">
        <v>164</v>
      </c>
      <c r="B3" s="174"/>
      <c r="C3" s="174"/>
      <c r="D3" s="174"/>
      <c r="E3" s="174"/>
      <c r="F3" s="174"/>
      <c r="G3" s="174"/>
      <c r="H3" s="174"/>
      <c r="I3" s="174"/>
      <c r="J3" s="3"/>
      <c r="K3" s="3"/>
      <c r="L3" s="3"/>
    </row>
    <row r="4" spans="1:13" ht="31.5" customHeight="1">
      <c r="A4" s="175" t="s">
        <v>119</v>
      </c>
      <c r="B4" s="175"/>
      <c r="C4" s="175"/>
      <c r="D4" s="175"/>
      <c r="E4" s="175"/>
      <c r="F4" s="175"/>
      <c r="G4" s="175"/>
      <c r="H4" s="175"/>
      <c r="I4" s="175"/>
    </row>
    <row r="5" spans="1:13" ht="15.75" customHeight="1">
      <c r="A5" s="174" t="s">
        <v>219</v>
      </c>
      <c r="B5" s="178"/>
      <c r="C5" s="178"/>
      <c r="D5" s="178"/>
      <c r="E5" s="178"/>
      <c r="F5" s="178"/>
      <c r="G5" s="178"/>
      <c r="H5" s="178"/>
      <c r="I5" s="178"/>
      <c r="J5" s="2"/>
      <c r="K5" s="2"/>
      <c r="L5" s="2"/>
      <c r="M5" s="2"/>
    </row>
    <row r="6" spans="1:13" ht="15.75" customHeight="1">
      <c r="A6" s="2"/>
      <c r="B6" s="75"/>
      <c r="C6" s="75"/>
      <c r="D6" s="75"/>
      <c r="E6" s="75"/>
      <c r="F6" s="75"/>
      <c r="G6" s="75"/>
      <c r="H6" s="75"/>
      <c r="I6" s="34">
        <v>44377</v>
      </c>
      <c r="J6" s="2"/>
      <c r="K6" s="2"/>
      <c r="L6" s="2"/>
      <c r="M6" s="2"/>
    </row>
    <row r="7" spans="1:13" ht="15.75" customHeight="1">
      <c r="B7" s="74"/>
      <c r="C7" s="74"/>
      <c r="D7" s="74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76" t="s">
        <v>220</v>
      </c>
      <c r="B8" s="176"/>
      <c r="C8" s="176"/>
      <c r="D8" s="176"/>
      <c r="E8" s="176"/>
      <c r="F8" s="176"/>
      <c r="G8" s="176"/>
      <c r="H8" s="176"/>
      <c r="I8" s="17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77" t="s">
        <v>144</v>
      </c>
      <c r="B10" s="177"/>
      <c r="C10" s="177"/>
      <c r="D10" s="177"/>
      <c r="E10" s="177"/>
      <c r="F10" s="177"/>
      <c r="G10" s="177"/>
      <c r="H10" s="177"/>
      <c r="I10" s="177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79" t="s">
        <v>56</v>
      </c>
      <c r="B14" s="179"/>
      <c r="C14" s="179"/>
      <c r="D14" s="179"/>
      <c r="E14" s="179"/>
      <c r="F14" s="179"/>
      <c r="G14" s="179"/>
      <c r="H14" s="179"/>
      <c r="I14" s="179"/>
      <c r="J14" s="8"/>
      <c r="K14" s="8"/>
      <c r="L14" s="8"/>
      <c r="M14" s="8"/>
    </row>
    <row r="15" spans="1:13" ht="15.75" customHeight="1">
      <c r="A15" s="180" t="s">
        <v>4</v>
      </c>
      <c r="B15" s="180"/>
      <c r="C15" s="180"/>
      <c r="D15" s="180"/>
      <c r="E15" s="180"/>
      <c r="F15" s="180"/>
      <c r="G15" s="180"/>
      <c r="H15" s="180"/>
      <c r="I15" s="180"/>
      <c r="J15" s="8"/>
      <c r="K15" s="8"/>
      <c r="L15" s="8"/>
      <c r="M15" s="8"/>
    </row>
    <row r="16" spans="1:13" ht="15.75" customHeight="1">
      <c r="A16" s="33">
        <v>1</v>
      </c>
      <c r="B16" s="120" t="s">
        <v>81</v>
      </c>
      <c r="C16" s="44" t="s">
        <v>82</v>
      </c>
      <c r="D16" s="120" t="s">
        <v>178</v>
      </c>
      <c r="E16" s="132">
        <v>53.8</v>
      </c>
      <c r="F16" s="122">
        <f>SUM(E16*156/100)</f>
        <v>83.927999999999997</v>
      </c>
      <c r="G16" s="122">
        <v>481.7</v>
      </c>
      <c r="H16" s="93">
        <f t="shared" ref="H16:H26" si="0">SUM(F16*G16/1000)</f>
        <v>40.4281176</v>
      </c>
      <c r="I16" s="13">
        <f>F16/12*G16</f>
        <v>3369.0097999999998</v>
      </c>
      <c r="J16" s="8"/>
      <c r="K16" s="8"/>
      <c r="L16" s="8"/>
      <c r="M16" s="8"/>
    </row>
    <row r="17" spans="1:13" ht="15.75" customHeight="1">
      <c r="A17" s="33">
        <v>2</v>
      </c>
      <c r="B17" s="120" t="s">
        <v>120</v>
      </c>
      <c r="C17" s="44" t="s">
        <v>82</v>
      </c>
      <c r="D17" s="120" t="s">
        <v>179</v>
      </c>
      <c r="E17" s="132">
        <v>107.6</v>
      </c>
      <c r="F17" s="122">
        <f>SUM(E17*104/100)</f>
        <v>111.904</v>
      </c>
      <c r="G17" s="122">
        <v>380.58</v>
      </c>
      <c r="H17" s="93">
        <f t="shared" si="0"/>
        <v>42.588424320000001</v>
      </c>
      <c r="I17" s="13">
        <f>F17/12*G17</f>
        <v>3549.0353599999999</v>
      </c>
      <c r="J17" s="26"/>
      <c r="K17" s="8"/>
      <c r="L17" s="8"/>
      <c r="M17" s="8"/>
    </row>
    <row r="18" spans="1:13" ht="15.75" customHeight="1">
      <c r="A18" s="33">
        <v>3</v>
      </c>
      <c r="B18" s="120" t="s">
        <v>83</v>
      </c>
      <c r="C18" s="44" t="s">
        <v>82</v>
      </c>
      <c r="D18" s="120" t="s">
        <v>180</v>
      </c>
      <c r="E18" s="132">
        <f>SUM(E16+E17)</f>
        <v>161.39999999999998</v>
      </c>
      <c r="F18" s="122">
        <f>SUM(E18*18/100)</f>
        <v>29.052</v>
      </c>
      <c r="G18" s="122">
        <v>889.97</v>
      </c>
      <c r="H18" s="93">
        <f t="shared" si="0"/>
        <v>25.855408439999998</v>
      </c>
      <c r="I18" s="13">
        <f>F18/18*2*G18</f>
        <v>2872.8231599999999</v>
      </c>
      <c r="J18" s="26"/>
      <c r="K18" s="8"/>
      <c r="L18" s="8"/>
      <c r="M18" s="8"/>
    </row>
    <row r="19" spans="1:13" ht="15.75" customHeight="1">
      <c r="A19" s="33">
        <v>4</v>
      </c>
      <c r="B19" s="120" t="s">
        <v>84</v>
      </c>
      <c r="C19" s="44" t="s">
        <v>82</v>
      </c>
      <c r="D19" s="120" t="s">
        <v>186</v>
      </c>
      <c r="E19" s="132">
        <v>15.3</v>
      </c>
      <c r="F19" s="122">
        <f>SUM(E19/100)</f>
        <v>0.153</v>
      </c>
      <c r="G19" s="122">
        <v>1965.89</v>
      </c>
      <c r="H19" s="93">
        <f t="shared" si="0"/>
        <v>0.30078117000000004</v>
      </c>
      <c r="I19" s="13">
        <f>F19*G19</f>
        <v>300.78117000000003</v>
      </c>
      <c r="J19" s="26"/>
      <c r="K19" s="8"/>
      <c r="L19" s="8"/>
      <c r="M19" s="8"/>
    </row>
    <row r="20" spans="1:13" ht="15.75" customHeight="1">
      <c r="A20" s="33">
        <v>5</v>
      </c>
      <c r="B20" s="120" t="s">
        <v>91</v>
      </c>
      <c r="C20" s="44" t="s">
        <v>50</v>
      </c>
      <c r="D20" s="120" t="s">
        <v>184</v>
      </c>
      <c r="E20" s="132">
        <v>4.5</v>
      </c>
      <c r="F20" s="122">
        <f>E20/100*12</f>
        <v>0.54</v>
      </c>
      <c r="G20" s="122">
        <v>1037.97</v>
      </c>
      <c r="H20" s="93">
        <f>SUM(F20*G20/1000)</f>
        <v>0.56050380000000011</v>
      </c>
      <c r="I20" s="13">
        <f>F20*G20/12</f>
        <v>46.708650000000006</v>
      </c>
      <c r="J20" s="26"/>
      <c r="K20" s="8"/>
      <c r="L20" s="8"/>
      <c r="M20" s="8"/>
    </row>
    <row r="21" spans="1:13" ht="15.75" customHeight="1">
      <c r="A21" s="33">
        <v>6</v>
      </c>
      <c r="B21" s="120" t="s">
        <v>87</v>
      </c>
      <c r="C21" s="44" t="s">
        <v>82</v>
      </c>
      <c r="D21" s="120" t="s">
        <v>183</v>
      </c>
      <c r="E21" s="132">
        <v>19.62</v>
      </c>
      <c r="F21" s="122">
        <f>SUM(E21*12/100)</f>
        <v>2.3544</v>
      </c>
      <c r="G21" s="122">
        <v>848.17</v>
      </c>
      <c r="H21" s="93">
        <f t="shared" si="0"/>
        <v>1.996931448</v>
      </c>
      <c r="I21" s="13">
        <f>F21*G21/12</f>
        <v>166.410954</v>
      </c>
      <c r="J21" s="26"/>
      <c r="K21" s="8"/>
      <c r="L21" s="8"/>
      <c r="M21" s="8"/>
    </row>
    <row r="22" spans="1:13" ht="15.75" customHeight="1">
      <c r="A22" s="33">
        <v>7</v>
      </c>
      <c r="B22" s="120" t="s">
        <v>88</v>
      </c>
      <c r="C22" s="44" t="s">
        <v>82</v>
      </c>
      <c r="D22" s="120" t="s">
        <v>183</v>
      </c>
      <c r="E22" s="132">
        <v>8.68</v>
      </c>
      <c r="F22" s="122">
        <f>SUM(E22*12/100)</f>
        <v>1.0415999999999999</v>
      </c>
      <c r="G22" s="122">
        <v>523.94000000000005</v>
      </c>
      <c r="H22" s="93">
        <f t="shared" si="0"/>
        <v>0.54573590400000005</v>
      </c>
      <c r="I22" s="13">
        <f>F22*G22/12</f>
        <v>45.477992</v>
      </c>
      <c r="J22" s="26"/>
      <c r="K22" s="8"/>
      <c r="L22" s="8"/>
      <c r="M22" s="8"/>
    </row>
    <row r="23" spans="1:13" ht="15.75" hidden="1" customHeight="1">
      <c r="A23" s="33">
        <v>8</v>
      </c>
      <c r="B23" s="127" t="s">
        <v>89</v>
      </c>
      <c r="C23" s="128" t="s">
        <v>50</v>
      </c>
      <c r="D23" s="127" t="s">
        <v>86</v>
      </c>
      <c r="E23" s="129">
        <v>215</v>
      </c>
      <c r="F23" s="130">
        <f>SUM(E23/100)</f>
        <v>2.15</v>
      </c>
      <c r="G23" s="130">
        <v>1045.18</v>
      </c>
      <c r="H23" s="93">
        <f t="shared" si="0"/>
        <v>2.2471370000000004</v>
      </c>
      <c r="I23" s="13">
        <f>F23*G23</f>
        <v>2247.1370000000002</v>
      </c>
      <c r="J23" s="26"/>
      <c r="K23" s="8"/>
      <c r="L23" s="8"/>
      <c r="M23" s="8"/>
    </row>
    <row r="24" spans="1:13" ht="15.75" hidden="1" customHeight="1">
      <c r="A24" s="33">
        <v>9</v>
      </c>
      <c r="B24" s="127" t="s">
        <v>90</v>
      </c>
      <c r="C24" s="128" t="s">
        <v>50</v>
      </c>
      <c r="D24" s="127" t="s">
        <v>86</v>
      </c>
      <c r="E24" s="131">
        <v>17.64</v>
      </c>
      <c r="F24" s="130">
        <f>SUM(E24/100)</f>
        <v>0.1764</v>
      </c>
      <c r="G24" s="130">
        <v>1045.18</v>
      </c>
      <c r="H24" s="93">
        <f t="shared" si="0"/>
        <v>0.184369752</v>
      </c>
      <c r="I24" s="13">
        <f t="shared" ref="I24:I26" si="1">F24*G24</f>
        <v>184.36975200000001</v>
      </c>
      <c r="J24" s="26"/>
      <c r="K24" s="8"/>
      <c r="L24" s="8"/>
      <c r="M24" s="8"/>
    </row>
    <row r="25" spans="1:13" ht="15.75" hidden="1" customHeight="1">
      <c r="A25" s="33">
        <v>10</v>
      </c>
      <c r="B25" s="127" t="s">
        <v>92</v>
      </c>
      <c r="C25" s="128" t="s">
        <v>50</v>
      </c>
      <c r="D25" s="127" t="s">
        <v>86</v>
      </c>
      <c r="E25" s="129">
        <v>14.4</v>
      </c>
      <c r="F25" s="130">
        <f>SUM(E25/100)</f>
        <v>0.14400000000000002</v>
      </c>
      <c r="G25" s="130">
        <v>959.59</v>
      </c>
      <c r="H25" s="93">
        <f>SUM(F25*G25/1000)</f>
        <v>0.13818096000000002</v>
      </c>
      <c r="I25" s="13">
        <f t="shared" si="1"/>
        <v>138.18096000000003</v>
      </c>
      <c r="J25" s="26"/>
      <c r="K25" s="8"/>
      <c r="L25" s="8"/>
      <c r="M25" s="8"/>
    </row>
    <row r="26" spans="1:13" ht="15.75" hidden="1" customHeight="1">
      <c r="A26" s="33">
        <v>11</v>
      </c>
      <c r="B26" s="127" t="s">
        <v>122</v>
      </c>
      <c r="C26" s="128" t="s">
        <v>50</v>
      </c>
      <c r="D26" s="127" t="s">
        <v>51</v>
      </c>
      <c r="E26" s="129">
        <v>9.4499999999999993</v>
      </c>
      <c r="F26" s="130">
        <v>0.09</v>
      </c>
      <c r="G26" s="130">
        <v>645.02</v>
      </c>
      <c r="H26" s="93">
        <f t="shared" si="0"/>
        <v>5.8051799999999994E-2</v>
      </c>
      <c r="I26" s="13">
        <f t="shared" si="1"/>
        <v>58.051799999999993</v>
      </c>
      <c r="J26" s="26"/>
      <c r="K26" s="8"/>
      <c r="L26" s="8"/>
      <c r="M26" s="8"/>
    </row>
    <row r="27" spans="1:13" ht="15.75" hidden="1" customHeight="1">
      <c r="A27" s="33">
        <v>12</v>
      </c>
      <c r="B27" s="89" t="s">
        <v>177</v>
      </c>
      <c r="C27" s="44" t="s">
        <v>173</v>
      </c>
      <c r="D27" s="120" t="s">
        <v>181</v>
      </c>
      <c r="E27" s="121">
        <v>2.5099999999999998</v>
      </c>
      <c r="F27" s="122">
        <f>E27*258</f>
        <v>647.57999999999993</v>
      </c>
      <c r="G27" s="122">
        <v>10.39</v>
      </c>
      <c r="H27" s="93">
        <f t="shared" ref="H27" si="2">SUM(F27*G27/1000)</f>
        <v>6.7283561999999995</v>
      </c>
      <c r="I27" s="13">
        <f>F27/12*G27</f>
        <v>560.69634999999994</v>
      </c>
      <c r="J27" s="26"/>
      <c r="K27" s="8"/>
      <c r="L27" s="8"/>
      <c r="M27" s="8"/>
    </row>
    <row r="28" spans="1:13" ht="15.75" customHeight="1">
      <c r="A28" s="180" t="s">
        <v>79</v>
      </c>
      <c r="B28" s="180"/>
      <c r="C28" s="180"/>
      <c r="D28" s="180"/>
      <c r="E28" s="180"/>
      <c r="F28" s="180"/>
      <c r="G28" s="180"/>
      <c r="H28" s="180"/>
      <c r="I28" s="180"/>
      <c r="J28" s="26"/>
      <c r="K28" s="8"/>
      <c r="L28" s="8"/>
      <c r="M28" s="8"/>
    </row>
    <row r="29" spans="1:13" ht="15.75" customHeight="1">
      <c r="A29" s="45"/>
      <c r="B29" s="55" t="s">
        <v>26</v>
      </c>
      <c r="C29" s="55"/>
      <c r="D29" s="55"/>
      <c r="E29" s="55"/>
      <c r="F29" s="55"/>
      <c r="G29" s="55"/>
      <c r="H29" s="55"/>
      <c r="I29" s="19"/>
      <c r="J29" s="26"/>
      <c r="K29" s="8"/>
      <c r="L29" s="8"/>
      <c r="M29" s="8"/>
    </row>
    <row r="30" spans="1:13" ht="15.75" customHeight="1">
      <c r="A30" s="45">
        <v>8</v>
      </c>
      <c r="B30" s="120" t="s">
        <v>150</v>
      </c>
      <c r="C30" s="44" t="s">
        <v>52</v>
      </c>
      <c r="D30" s="120" t="s">
        <v>222</v>
      </c>
      <c r="E30" s="122">
        <v>303.39999999999998</v>
      </c>
      <c r="F30" s="122">
        <f>SUM(E30*24)</f>
        <v>7281.5999999999995</v>
      </c>
      <c r="G30" s="122">
        <v>4.67</v>
      </c>
      <c r="H30" s="93">
        <f t="shared" ref="H30:H35" si="3">SUM(F30*G30/1000)</f>
        <v>34.005071999999998</v>
      </c>
      <c r="I30" s="13">
        <f>F30/6*G30</f>
        <v>5667.5119999999997</v>
      </c>
      <c r="J30" s="26"/>
      <c r="K30" s="8"/>
      <c r="L30" s="8"/>
      <c r="M30" s="8"/>
    </row>
    <row r="31" spans="1:13" ht="31.5" customHeight="1">
      <c r="A31" s="45">
        <v>9</v>
      </c>
      <c r="B31" s="120" t="s">
        <v>221</v>
      </c>
      <c r="C31" s="44" t="s">
        <v>93</v>
      </c>
      <c r="D31" s="120" t="s">
        <v>223</v>
      </c>
      <c r="E31" s="122">
        <v>42.5</v>
      </c>
      <c r="F31" s="122">
        <f>SUM(E31*72/1000)</f>
        <v>3.06</v>
      </c>
      <c r="G31" s="122">
        <v>537.1</v>
      </c>
      <c r="H31" s="93">
        <f t="shared" si="3"/>
        <v>1.643526</v>
      </c>
      <c r="I31" s="13">
        <f t="shared" ref="I31:I33" si="4">F31/6*G31</f>
        <v>273.92099999999999</v>
      </c>
      <c r="J31" s="26"/>
      <c r="K31" s="8"/>
      <c r="L31" s="8"/>
      <c r="M31" s="8"/>
    </row>
    <row r="32" spans="1:13" ht="15.75" hidden="1" customHeight="1">
      <c r="A32" s="45">
        <v>16</v>
      </c>
      <c r="B32" s="120" t="s">
        <v>149</v>
      </c>
      <c r="C32" s="44" t="s">
        <v>52</v>
      </c>
      <c r="D32" s="120" t="s">
        <v>51</v>
      </c>
      <c r="E32" s="122">
        <v>632.4</v>
      </c>
      <c r="F32" s="122">
        <f>SUM(E32)</f>
        <v>632.4</v>
      </c>
      <c r="G32" s="122">
        <v>7.07</v>
      </c>
      <c r="H32" s="93">
        <f t="shared" si="3"/>
        <v>4.4710679999999998</v>
      </c>
      <c r="I32" s="13">
        <f>F32*G32</f>
        <v>4471.0680000000002</v>
      </c>
      <c r="J32" s="26"/>
      <c r="K32" s="8"/>
      <c r="L32" s="8"/>
      <c r="M32" s="8"/>
    </row>
    <row r="33" spans="1:14" ht="15.75" customHeight="1">
      <c r="A33" s="45">
        <v>10</v>
      </c>
      <c r="B33" s="120" t="s">
        <v>123</v>
      </c>
      <c r="C33" s="44" t="s">
        <v>38</v>
      </c>
      <c r="D33" s="120" t="s">
        <v>224</v>
      </c>
      <c r="E33" s="122">
        <v>3</v>
      </c>
      <c r="F33" s="122">
        <f>E33*156/100</f>
        <v>4.68</v>
      </c>
      <c r="G33" s="122">
        <v>2018.82</v>
      </c>
      <c r="H33" s="93">
        <f t="shared" si="3"/>
        <v>9.4480775999999995</v>
      </c>
      <c r="I33" s="13">
        <f t="shared" si="4"/>
        <v>1574.6795999999997</v>
      </c>
      <c r="J33" s="26"/>
      <c r="K33" s="8"/>
      <c r="L33" s="8"/>
      <c r="M33" s="8"/>
    </row>
    <row r="34" spans="1:14" ht="15.75" hidden="1" customHeight="1">
      <c r="A34" s="45">
        <v>4</v>
      </c>
      <c r="B34" s="89" t="s">
        <v>61</v>
      </c>
      <c r="C34" s="90" t="s">
        <v>30</v>
      </c>
      <c r="D34" s="89" t="s">
        <v>63</v>
      </c>
      <c r="E34" s="91"/>
      <c r="F34" s="92">
        <v>2</v>
      </c>
      <c r="G34" s="92">
        <v>238.07</v>
      </c>
      <c r="H34" s="93">
        <f t="shared" si="3"/>
        <v>0.47614000000000001</v>
      </c>
      <c r="I34" s="13">
        <v>0</v>
      </c>
      <c r="J34" s="26"/>
      <c r="K34" s="8"/>
    </row>
    <row r="35" spans="1:14" ht="15.75" hidden="1" customHeight="1">
      <c r="A35" s="33">
        <v>8</v>
      </c>
      <c r="B35" s="89" t="s">
        <v>62</v>
      </c>
      <c r="C35" s="90" t="s">
        <v>29</v>
      </c>
      <c r="D35" s="89" t="s">
        <v>63</v>
      </c>
      <c r="E35" s="91"/>
      <c r="F35" s="92">
        <v>3</v>
      </c>
      <c r="G35" s="92">
        <v>1413.96</v>
      </c>
      <c r="H35" s="93">
        <f t="shared" si="3"/>
        <v>4.2418800000000001</v>
      </c>
      <c r="I35" s="13">
        <v>0</v>
      </c>
      <c r="J35" s="27"/>
    </row>
    <row r="36" spans="1:14" ht="15.75" hidden="1" customHeight="1">
      <c r="A36" s="45"/>
      <c r="B36" s="53" t="s">
        <v>5</v>
      </c>
      <c r="C36" s="53"/>
      <c r="D36" s="53"/>
      <c r="E36" s="13"/>
      <c r="F36" s="13"/>
      <c r="G36" s="14"/>
      <c r="H36" s="14"/>
      <c r="I36" s="19"/>
      <c r="J36" s="27"/>
    </row>
    <row r="37" spans="1:14" ht="15.75" hidden="1" customHeight="1">
      <c r="A37" s="37">
        <v>6</v>
      </c>
      <c r="B37" s="89" t="s">
        <v>25</v>
      </c>
      <c r="C37" s="90" t="s">
        <v>29</v>
      </c>
      <c r="D37" s="89"/>
      <c r="E37" s="91"/>
      <c r="F37" s="92">
        <v>2</v>
      </c>
      <c r="G37" s="92">
        <v>1900.37</v>
      </c>
      <c r="H37" s="93">
        <f t="shared" ref="H37:H42" si="5">SUM(F37*G37/1000)</f>
        <v>3.8007399999999998</v>
      </c>
      <c r="I37" s="13">
        <f t="shared" ref="I37:I42" si="6">F37/6*G37</f>
        <v>633.45666666666659</v>
      </c>
      <c r="J37" s="27"/>
    </row>
    <row r="38" spans="1:14" ht="15.75" hidden="1" customHeight="1">
      <c r="A38" s="37">
        <v>7</v>
      </c>
      <c r="B38" s="89" t="s">
        <v>64</v>
      </c>
      <c r="C38" s="90" t="s">
        <v>27</v>
      </c>
      <c r="D38" s="89" t="s">
        <v>98</v>
      </c>
      <c r="E38" s="92">
        <v>42.5</v>
      </c>
      <c r="F38" s="92">
        <f>SUM(E38*30/1000)</f>
        <v>1.2749999999999999</v>
      </c>
      <c r="G38" s="92">
        <v>2616.4899999999998</v>
      </c>
      <c r="H38" s="93">
        <f t="shared" si="5"/>
        <v>3.3360247499999995</v>
      </c>
      <c r="I38" s="13">
        <f t="shared" si="6"/>
        <v>556.00412499999993</v>
      </c>
      <c r="J38" s="27"/>
    </row>
    <row r="39" spans="1:14" ht="15.75" hidden="1" customHeight="1">
      <c r="A39" s="37">
        <v>8</v>
      </c>
      <c r="B39" s="89" t="s">
        <v>65</v>
      </c>
      <c r="C39" s="90" t="s">
        <v>27</v>
      </c>
      <c r="D39" s="89" t="s">
        <v>99</v>
      </c>
      <c r="E39" s="92">
        <v>42.5</v>
      </c>
      <c r="F39" s="92">
        <f>SUM(E39*155/1000)</f>
        <v>6.5875000000000004</v>
      </c>
      <c r="G39" s="92">
        <v>436.45</v>
      </c>
      <c r="H39" s="93">
        <f t="shared" si="5"/>
        <v>2.8751143749999999</v>
      </c>
      <c r="I39" s="13">
        <f t="shared" si="6"/>
        <v>479.18572916666665</v>
      </c>
      <c r="J39" s="27"/>
    </row>
    <row r="40" spans="1:14" ht="47.25" hidden="1" customHeight="1">
      <c r="A40" s="37">
        <v>9</v>
      </c>
      <c r="B40" s="89" t="s">
        <v>78</v>
      </c>
      <c r="C40" s="90" t="s">
        <v>93</v>
      </c>
      <c r="D40" s="89" t="s">
        <v>100</v>
      </c>
      <c r="E40" s="92">
        <v>42.5</v>
      </c>
      <c r="F40" s="92">
        <f>SUM(E40*35/1000)</f>
        <v>1.4875</v>
      </c>
      <c r="G40" s="92">
        <v>7221.21</v>
      </c>
      <c r="H40" s="93">
        <f t="shared" si="5"/>
        <v>10.741549875</v>
      </c>
      <c r="I40" s="13">
        <f t="shared" si="6"/>
        <v>1790.2583125000001</v>
      </c>
      <c r="J40" s="27"/>
    </row>
    <row r="41" spans="1:14" ht="15.75" hidden="1" customHeight="1">
      <c r="A41" s="37">
        <v>10</v>
      </c>
      <c r="B41" s="89" t="s">
        <v>101</v>
      </c>
      <c r="C41" s="90" t="s">
        <v>93</v>
      </c>
      <c r="D41" s="89" t="s">
        <v>102</v>
      </c>
      <c r="E41" s="92">
        <v>42.5</v>
      </c>
      <c r="F41" s="92">
        <f>SUM(E41*20/1000)</f>
        <v>0.85</v>
      </c>
      <c r="G41" s="92">
        <v>533.45000000000005</v>
      </c>
      <c r="H41" s="93">
        <f t="shared" si="5"/>
        <v>0.45343250000000002</v>
      </c>
      <c r="I41" s="13">
        <f t="shared" si="6"/>
        <v>75.572083333333339</v>
      </c>
      <c r="J41" s="27"/>
      <c r="L41" s="21"/>
      <c r="M41" s="22"/>
      <c r="N41" s="23"/>
    </row>
    <row r="42" spans="1:14" ht="15.75" hidden="1" customHeight="1">
      <c r="A42" s="37">
        <v>11</v>
      </c>
      <c r="B42" s="89" t="s">
        <v>66</v>
      </c>
      <c r="C42" s="90" t="s">
        <v>30</v>
      </c>
      <c r="D42" s="89"/>
      <c r="E42" s="91"/>
      <c r="F42" s="92">
        <v>0.5</v>
      </c>
      <c r="G42" s="92">
        <v>992.97</v>
      </c>
      <c r="H42" s="93">
        <f t="shared" si="5"/>
        <v>0.49648500000000001</v>
      </c>
      <c r="I42" s="13">
        <f t="shared" si="6"/>
        <v>82.747500000000002</v>
      </c>
      <c r="J42" s="27"/>
      <c r="L42" s="21"/>
      <c r="M42" s="22"/>
      <c r="N42" s="23"/>
    </row>
    <row r="43" spans="1:14" ht="15.75" customHeight="1">
      <c r="A43" s="170" t="s">
        <v>146</v>
      </c>
      <c r="B43" s="171"/>
      <c r="C43" s="171"/>
      <c r="D43" s="171"/>
      <c r="E43" s="171"/>
      <c r="F43" s="171"/>
      <c r="G43" s="171"/>
      <c r="H43" s="171"/>
      <c r="I43" s="172"/>
      <c r="J43" s="27"/>
      <c r="L43" s="21"/>
      <c r="M43" s="22"/>
      <c r="N43" s="23"/>
    </row>
    <row r="44" spans="1:14" ht="15.75" hidden="1" customHeight="1">
      <c r="A44" s="45">
        <v>19</v>
      </c>
      <c r="B44" s="89" t="s">
        <v>103</v>
      </c>
      <c r="C44" s="90" t="s">
        <v>93</v>
      </c>
      <c r="D44" s="89" t="s">
        <v>40</v>
      </c>
      <c r="E44" s="91">
        <v>1060.4000000000001</v>
      </c>
      <c r="F44" s="92">
        <f>SUM(E44*2/1000)</f>
        <v>2.1208</v>
      </c>
      <c r="G44" s="13">
        <v>1283.46</v>
      </c>
      <c r="H44" s="93">
        <f t="shared" ref="H44:H54" si="7">SUM(F44*G44/1000)</f>
        <v>2.721961968</v>
      </c>
      <c r="I44" s="13">
        <f t="shared" ref="I44:I47" si="8">F44/2*G44</f>
        <v>1360.980984</v>
      </c>
      <c r="J44" s="27"/>
      <c r="L44" s="21"/>
      <c r="M44" s="22"/>
      <c r="N44" s="23"/>
    </row>
    <row r="45" spans="1:14" ht="15.75" hidden="1" customHeight="1">
      <c r="A45" s="45">
        <v>20</v>
      </c>
      <c r="B45" s="89" t="s">
        <v>33</v>
      </c>
      <c r="C45" s="90" t="s">
        <v>93</v>
      </c>
      <c r="D45" s="89" t="s">
        <v>40</v>
      </c>
      <c r="E45" s="91">
        <v>19.8</v>
      </c>
      <c r="F45" s="92">
        <f>SUM(E45*2/1000)</f>
        <v>3.9600000000000003E-2</v>
      </c>
      <c r="G45" s="13">
        <v>721.04</v>
      </c>
      <c r="H45" s="93">
        <f t="shared" si="7"/>
        <v>2.8553184000000002E-2</v>
      </c>
      <c r="I45" s="13">
        <f t="shared" si="8"/>
        <v>14.276592000000001</v>
      </c>
      <c r="J45" s="27"/>
      <c r="L45" s="21"/>
      <c r="M45" s="22"/>
      <c r="N45" s="23"/>
    </row>
    <row r="46" spans="1:14" ht="15.75" hidden="1" customHeight="1">
      <c r="A46" s="45">
        <v>21</v>
      </c>
      <c r="B46" s="89" t="s">
        <v>34</v>
      </c>
      <c r="C46" s="90" t="s">
        <v>93</v>
      </c>
      <c r="D46" s="89" t="s">
        <v>40</v>
      </c>
      <c r="E46" s="91">
        <v>660.84</v>
      </c>
      <c r="F46" s="92">
        <f>SUM(E46*2/1000)</f>
        <v>1.32168</v>
      </c>
      <c r="G46" s="13">
        <v>1711.28</v>
      </c>
      <c r="H46" s="93">
        <f t="shared" si="7"/>
        <v>2.2617645503999997</v>
      </c>
      <c r="I46" s="13">
        <f t="shared" si="8"/>
        <v>1130.8822751999999</v>
      </c>
      <c r="J46" s="27"/>
      <c r="L46" s="21"/>
      <c r="M46" s="22"/>
      <c r="N46" s="23"/>
    </row>
    <row r="47" spans="1:14" ht="15.75" hidden="1" customHeight="1">
      <c r="A47" s="45">
        <v>22</v>
      </c>
      <c r="B47" s="89" t="s">
        <v>35</v>
      </c>
      <c r="C47" s="90" t="s">
        <v>93</v>
      </c>
      <c r="D47" s="89" t="s">
        <v>40</v>
      </c>
      <c r="E47" s="91">
        <v>1156.21</v>
      </c>
      <c r="F47" s="92">
        <f>SUM(E47*2/1000)</f>
        <v>2.3124199999999999</v>
      </c>
      <c r="G47" s="13">
        <v>1179.73</v>
      </c>
      <c r="H47" s="93">
        <f t="shared" si="7"/>
        <v>2.7280312466000001</v>
      </c>
      <c r="I47" s="13">
        <f t="shared" si="8"/>
        <v>1364.0156233</v>
      </c>
      <c r="J47" s="27"/>
      <c r="L47" s="21"/>
      <c r="M47" s="22"/>
      <c r="N47" s="23"/>
    </row>
    <row r="48" spans="1:14" ht="15.75" hidden="1" customHeight="1">
      <c r="A48" s="45">
        <v>23</v>
      </c>
      <c r="B48" s="89" t="s">
        <v>31</v>
      </c>
      <c r="C48" s="90" t="s">
        <v>32</v>
      </c>
      <c r="D48" s="89" t="s">
        <v>40</v>
      </c>
      <c r="E48" s="91">
        <v>15.38</v>
      </c>
      <c r="F48" s="92">
        <f>SUM(E48*2/100)</f>
        <v>0.30760000000000004</v>
      </c>
      <c r="G48" s="13">
        <v>90.61</v>
      </c>
      <c r="H48" s="93">
        <f t="shared" si="7"/>
        <v>2.7871636000000002E-2</v>
      </c>
      <c r="I48" s="13">
        <f>F48/2*G48</f>
        <v>13.935818000000001</v>
      </c>
      <c r="J48" s="27"/>
      <c r="L48" s="21"/>
      <c r="M48" s="22"/>
      <c r="N48" s="23"/>
    </row>
    <row r="49" spans="1:14" ht="15.75" hidden="1" customHeight="1">
      <c r="A49" s="45">
        <v>24</v>
      </c>
      <c r="B49" s="89" t="s">
        <v>53</v>
      </c>
      <c r="C49" s="90" t="s">
        <v>93</v>
      </c>
      <c r="D49" s="89" t="s">
        <v>151</v>
      </c>
      <c r="E49" s="91">
        <v>823</v>
      </c>
      <c r="F49" s="92">
        <f>SUM(E49*5/1000)</f>
        <v>4.1150000000000002</v>
      </c>
      <c r="G49" s="13">
        <v>1711.28</v>
      </c>
      <c r="H49" s="93">
        <f t="shared" si="7"/>
        <v>7.0419171999999994</v>
      </c>
      <c r="I49" s="13">
        <f>F49/5*G49</f>
        <v>1408.3834400000001</v>
      </c>
      <c r="J49" s="27"/>
      <c r="L49" s="21"/>
      <c r="M49" s="22"/>
      <c r="N49" s="23"/>
    </row>
    <row r="50" spans="1:14" ht="31.5" hidden="1" customHeight="1">
      <c r="A50" s="45">
        <v>25</v>
      </c>
      <c r="B50" s="89" t="s">
        <v>104</v>
      </c>
      <c r="C50" s="90" t="s">
        <v>93</v>
      </c>
      <c r="D50" s="89" t="s">
        <v>40</v>
      </c>
      <c r="E50" s="91">
        <v>823</v>
      </c>
      <c r="F50" s="92">
        <f>SUM(E50*2/1000)</f>
        <v>1.6459999999999999</v>
      </c>
      <c r="G50" s="13">
        <v>1510.06</v>
      </c>
      <c r="H50" s="93">
        <f t="shared" si="7"/>
        <v>2.48555876</v>
      </c>
      <c r="I50" s="13">
        <f>F50/2*G50</f>
        <v>1242.7793799999999</v>
      </c>
      <c r="J50" s="27"/>
      <c r="L50" s="21"/>
      <c r="M50" s="22"/>
      <c r="N50" s="23"/>
    </row>
    <row r="51" spans="1:14" ht="31.5" hidden="1" customHeight="1">
      <c r="A51" s="45">
        <v>26</v>
      </c>
      <c r="B51" s="89" t="s">
        <v>105</v>
      </c>
      <c r="C51" s="90" t="s">
        <v>36</v>
      </c>
      <c r="D51" s="89" t="s">
        <v>40</v>
      </c>
      <c r="E51" s="91">
        <v>9</v>
      </c>
      <c r="F51" s="92">
        <f>SUM(E51*2/100)</f>
        <v>0.18</v>
      </c>
      <c r="G51" s="13">
        <v>3850.4</v>
      </c>
      <c r="H51" s="93">
        <f t="shared" si="7"/>
        <v>0.69307200000000002</v>
      </c>
      <c r="I51" s="13">
        <f t="shared" ref="I51:I52" si="9">F51/2*G51</f>
        <v>346.536</v>
      </c>
      <c r="J51" s="27"/>
      <c r="L51" s="21"/>
      <c r="M51" s="22"/>
      <c r="N51" s="23"/>
    </row>
    <row r="52" spans="1:14" ht="15.75" hidden="1" customHeight="1">
      <c r="A52" s="45">
        <v>27</v>
      </c>
      <c r="B52" s="89" t="s">
        <v>37</v>
      </c>
      <c r="C52" s="90" t="s">
        <v>38</v>
      </c>
      <c r="D52" s="89" t="s">
        <v>40</v>
      </c>
      <c r="E52" s="91">
        <v>1</v>
      </c>
      <c r="F52" s="92">
        <v>0.02</v>
      </c>
      <c r="G52" s="13">
        <v>7033.13</v>
      </c>
      <c r="H52" s="93">
        <f t="shared" si="7"/>
        <v>0.1406626</v>
      </c>
      <c r="I52" s="13">
        <f t="shared" si="9"/>
        <v>70.331299999999999</v>
      </c>
      <c r="J52" s="27"/>
      <c r="L52" s="21"/>
      <c r="M52" s="22"/>
      <c r="N52" s="23"/>
    </row>
    <row r="53" spans="1:14" ht="15.75" customHeight="1">
      <c r="A53" s="45">
        <v>11</v>
      </c>
      <c r="B53" s="120" t="s">
        <v>124</v>
      </c>
      <c r="C53" s="44" t="s">
        <v>106</v>
      </c>
      <c r="D53" s="133">
        <v>44229</v>
      </c>
      <c r="E53" s="132">
        <v>30</v>
      </c>
      <c r="F53" s="122">
        <f>SUM(E53*3)</f>
        <v>90</v>
      </c>
      <c r="G53" s="134">
        <v>218.81</v>
      </c>
      <c r="H53" s="93">
        <f t="shared" si="7"/>
        <v>19.692900000000002</v>
      </c>
      <c r="I53" s="13">
        <f>E53*G53</f>
        <v>6564.3</v>
      </c>
      <c r="J53" s="27"/>
      <c r="L53" s="21"/>
      <c r="M53" s="22"/>
      <c r="N53" s="23"/>
    </row>
    <row r="54" spans="1:14" ht="15.75" customHeight="1">
      <c r="A54" s="45">
        <v>12</v>
      </c>
      <c r="B54" s="120" t="s">
        <v>39</v>
      </c>
      <c r="C54" s="44" t="s">
        <v>106</v>
      </c>
      <c r="D54" s="133">
        <v>44349</v>
      </c>
      <c r="E54" s="132">
        <v>60</v>
      </c>
      <c r="F54" s="122">
        <f>SUM(E54)*3</f>
        <v>180</v>
      </c>
      <c r="G54" s="134">
        <v>101.85</v>
      </c>
      <c r="H54" s="93">
        <f t="shared" si="7"/>
        <v>18.332999999999998</v>
      </c>
      <c r="I54" s="13">
        <f>E54*G54</f>
        <v>6111</v>
      </c>
      <c r="J54" s="27"/>
      <c r="L54" s="21"/>
      <c r="M54" s="22"/>
      <c r="N54" s="23"/>
    </row>
    <row r="55" spans="1:14" ht="15.75" customHeight="1">
      <c r="A55" s="170" t="s">
        <v>147</v>
      </c>
      <c r="B55" s="171"/>
      <c r="C55" s="171"/>
      <c r="D55" s="171"/>
      <c r="E55" s="171"/>
      <c r="F55" s="171"/>
      <c r="G55" s="171"/>
      <c r="H55" s="171"/>
      <c r="I55" s="172"/>
      <c r="J55" s="27"/>
      <c r="L55" s="21"/>
      <c r="M55" s="22"/>
      <c r="N55" s="23"/>
    </row>
    <row r="56" spans="1:14" ht="15.75" hidden="1" customHeight="1">
      <c r="A56" s="57"/>
      <c r="B56" s="52" t="s">
        <v>41</v>
      </c>
      <c r="C56" s="17"/>
      <c r="D56" s="16"/>
      <c r="E56" s="16"/>
      <c r="F56" s="16"/>
      <c r="G56" s="33"/>
      <c r="H56" s="33"/>
      <c r="I56" s="19"/>
      <c r="J56" s="27"/>
      <c r="L56" s="21"/>
      <c r="M56" s="22"/>
      <c r="N56" s="23"/>
    </row>
    <row r="57" spans="1:14" ht="31.5" hidden="1" customHeight="1">
      <c r="A57" s="45">
        <v>12</v>
      </c>
      <c r="B57" s="89" t="s">
        <v>152</v>
      </c>
      <c r="C57" s="90" t="s">
        <v>82</v>
      </c>
      <c r="D57" s="89" t="s">
        <v>107</v>
      </c>
      <c r="E57" s="91">
        <v>71.02</v>
      </c>
      <c r="F57" s="92">
        <f>SUM(E57*6/100)</f>
        <v>4.2611999999999997</v>
      </c>
      <c r="G57" s="13">
        <v>2306.62</v>
      </c>
      <c r="H57" s="93">
        <f>SUM(F57*G57/1000)</f>
        <v>9.8289691439999984</v>
      </c>
      <c r="I57" s="13">
        <f>F57/6*G57</f>
        <v>1638.1615239999999</v>
      </c>
      <c r="J57" s="27"/>
      <c r="L57" s="21"/>
      <c r="M57" s="22"/>
      <c r="N57" s="23"/>
    </row>
    <row r="58" spans="1:14" ht="15.75" hidden="1" customHeight="1">
      <c r="A58" s="45"/>
      <c r="B58" s="89" t="s">
        <v>108</v>
      </c>
      <c r="C58" s="90" t="s">
        <v>153</v>
      </c>
      <c r="D58" s="89" t="s">
        <v>63</v>
      </c>
      <c r="E58" s="97"/>
      <c r="F58" s="92">
        <v>2</v>
      </c>
      <c r="G58" s="92">
        <v>1501</v>
      </c>
      <c r="H58" s="93">
        <f>SUM(F58*G58/1000)</f>
        <v>3.0019999999999998</v>
      </c>
      <c r="I58" s="13">
        <v>0</v>
      </c>
      <c r="J58" s="27"/>
      <c r="L58" s="21"/>
      <c r="M58" s="22"/>
      <c r="N58" s="23"/>
    </row>
    <row r="59" spans="1:14" ht="15.75" customHeight="1">
      <c r="A59" s="45"/>
      <c r="B59" s="76" t="s">
        <v>42</v>
      </c>
      <c r="C59" s="76"/>
      <c r="D59" s="76"/>
      <c r="E59" s="76"/>
      <c r="F59" s="76"/>
      <c r="G59" s="76"/>
      <c r="H59" s="76"/>
      <c r="I59" s="39"/>
      <c r="J59" s="27"/>
      <c r="L59" s="21"/>
      <c r="M59" s="22"/>
      <c r="N59" s="23"/>
    </row>
    <row r="60" spans="1:14" ht="15.75" hidden="1" customHeight="1">
      <c r="A60" s="45">
        <v>27</v>
      </c>
      <c r="B60" s="89" t="s">
        <v>154</v>
      </c>
      <c r="C60" s="90" t="s">
        <v>50</v>
      </c>
      <c r="D60" s="89" t="s">
        <v>51</v>
      </c>
      <c r="E60" s="91">
        <v>434.4</v>
      </c>
      <c r="F60" s="93">
        <f>SUM(E60/100)</f>
        <v>4.3439999999999994</v>
      </c>
      <c r="G60" s="13">
        <v>987.51</v>
      </c>
      <c r="H60" s="98">
        <f>F60*G60/1000</f>
        <v>4.2897434399999996</v>
      </c>
      <c r="I60" s="13">
        <v>0</v>
      </c>
      <c r="J60" s="27"/>
      <c r="L60" s="21"/>
      <c r="M60" s="22"/>
      <c r="N60" s="23"/>
    </row>
    <row r="61" spans="1:14" ht="15.75" customHeight="1">
      <c r="A61" s="45">
        <v>13</v>
      </c>
      <c r="B61" s="120" t="s">
        <v>172</v>
      </c>
      <c r="C61" s="44" t="s">
        <v>173</v>
      </c>
      <c r="D61" s="120" t="s">
        <v>184</v>
      </c>
      <c r="E61" s="132">
        <v>12</v>
      </c>
      <c r="F61" s="138">
        <f>E61*12</f>
        <v>144</v>
      </c>
      <c r="G61" s="40">
        <v>1.4</v>
      </c>
      <c r="H61" s="112"/>
      <c r="I61" s="13">
        <f>G61*F61/12</f>
        <v>16.8</v>
      </c>
      <c r="J61" s="27"/>
      <c r="L61" s="21"/>
      <c r="M61" s="22"/>
      <c r="N61" s="23"/>
    </row>
    <row r="62" spans="1:14" ht="21.75" customHeight="1">
      <c r="A62" s="45"/>
      <c r="B62" s="125" t="s">
        <v>43</v>
      </c>
      <c r="C62" s="17"/>
      <c r="D62" s="41"/>
      <c r="E62" s="16"/>
      <c r="F62" s="16"/>
      <c r="G62" s="33"/>
      <c r="H62" s="33"/>
      <c r="I62" s="19"/>
      <c r="J62" s="27"/>
      <c r="L62" s="21"/>
      <c r="M62" s="22"/>
      <c r="N62" s="23"/>
    </row>
    <row r="63" spans="1:14" ht="16.5" hidden="1" customHeight="1">
      <c r="A63" s="45">
        <v>17</v>
      </c>
      <c r="B63" s="15" t="s">
        <v>44</v>
      </c>
      <c r="C63" s="17" t="s">
        <v>106</v>
      </c>
      <c r="D63" s="41" t="s">
        <v>63</v>
      </c>
      <c r="E63" s="19">
        <v>10</v>
      </c>
      <c r="F63" s="92">
        <v>10</v>
      </c>
      <c r="G63" s="13">
        <v>276.74</v>
      </c>
      <c r="H63" s="100">
        <f t="shared" ref="H63:H70" si="10">SUM(F63*G63/1000)</f>
        <v>2.7674000000000003</v>
      </c>
      <c r="I63" s="13">
        <v>0</v>
      </c>
      <c r="J63" s="27"/>
      <c r="L63" s="21"/>
      <c r="M63" s="22"/>
      <c r="N63" s="23"/>
    </row>
    <row r="64" spans="1:14" ht="15.75" hidden="1" customHeight="1">
      <c r="A64" s="33">
        <v>29</v>
      </c>
      <c r="B64" s="15" t="s">
        <v>45</v>
      </c>
      <c r="C64" s="17" t="s">
        <v>106</v>
      </c>
      <c r="D64" s="41" t="s">
        <v>63</v>
      </c>
      <c r="E64" s="19">
        <v>3</v>
      </c>
      <c r="F64" s="92">
        <v>3</v>
      </c>
      <c r="G64" s="13">
        <v>94.89</v>
      </c>
      <c r="H64" s="100">
        <f t="shared" si="10"/>
        <v>0.28467000000000003</v>
      </c>
      <c r="I64" s="13">
        <v>0</v>
      </c>
      <c r="J64" s="27"/>
      <c r="L64" s="21"/>
      <c r="M64" s="22"/>
      <c r="N64" s="23"/>
    </row>
    <row r="65" spans="1:21" ht="18.75" customHeight="1">
      <c r="A65" s="33">
        <v>14</v>
      </c>
      <c r="B65" s="139" t="s">
        <v>46</v>
      </c>
      <c r="C65" s="140" t="s">
        <v>109</v>
      </c>
      <c r="D65" s="41" t="s">
        <v>51</v>
      </c>
      <c r="E65" s="132">
        <v>7265</v>
      </c>
      <c r="F65" s="134">
        <f>SUM(E65/100)</f>
        <v>72.650000000000006</v>
      </c>
      <c r="G65" s="40">
        <v>328.95</v>
      </c>
      <c r="H65" s="100">
        <f t="shared" si="10"/>
        <v>23.898217500000001</v>
      </c>
      <c r="I65" s="13">
        <f>F65*G65</f>
        <v>23898.217500000002</v>
      </c>
      <c r="J65" s="27"/>
      <c r="L65" s="21"/>
      <c r="M65" s="22"/>
      <c r="N65" s="23"/>
    </row>
    <row r="66" spans="1:21" ht="17.25" customHeight="1">
      <c r="A66" s="33">
        <v>15</v>
      </c>
      <c r="B66" s="139" t="s">
        <v>47</v>
      </c>
      <c r="C66" s="42" t="s">
        <v>110</v>
      </c>
      <c r="D66" s="41" t="s">
        <v>51</v>
      </c>
      <c r="E66" s="132">
        <v>7265</v>
      </c>
      <c r="F66" s="40">
        <f>SUM(E66/1000)</f>
        <v>7.2649999999999997</v>
      </c>
      <c r="G66" s="40">
        <v>256.16000000000003</v>
      </c>
      <c r="H66" s="100">
        <f t="shared" si="10"/>
        <v>1.8610024000000001</v>
      </c>
      <c r="I66" s="13">
        <f t="shared" ref="I66:I69" si="11">F66*G66</f>
        <v>1861.0024000000001</v>
      </c>
      <c r="J66" s="27"/>
      <c r="L66" s="21"/>
      <c r="M66" s="22"/>
      <c r="N66" s="23"/>
    </row>
    <row r="67" spans="1:21" ht="22.5" customHeight="1">
      <c r="A67" s="33">
        <v>16</v>
      </c>
      <c r="B67" s="139" t="s">
        <v>48</v>
      </c>
      <c r="C67" s="42" t="s">
        <v>73</v>
      </c>
      <c r="D67" s="41" t="s">
        <v>51</v>
      </c>
      <c r="E67" s="132">
        <v>1090</v>
      </c>
      <c r="F67" s="40">
        <f>SUM(E67/100)</f>
        <v>10.9</v>
      </c>
      <c r="G67" s="40">
        <v>3216.78</v>
      </c>
      <c r="H67" s="100">
        <f t="shared" si="10"/>
        <v>35.062902000000001</v>
      </c>
      <c r="I67" s="13">
        <f t="shared" si="11"/>
        <v>35062.902000000002</v>
      </c>
      <c r="J67" s="27"/>
      <c r="L67" s="21"/>
    </row>
    <row r="68" spans="1:21" ht="18" customHeight="1">
      <c r="A68" s="33">
        <v>17</v>
      </c>
      <c r="B68" s="141" t="s">
        <v>111</v>
      </c>
      <c r="C68" s="42" t="s">
        <v>30</v>
      </c>
      <c r="D68" s="41"/>
      <c r="E68" s="132">
        <v>7.4</v>
      </c>
      <c r="F68" s="40">
        <f>SUM(E68)</f>
        <v>7.4</v>
      </c>
      <c r="G68" s="40">
        <v>53.56</v>
      </c>
      <c r="H68" s="100">
        <f t="shared" si="10"/>
        <v>0.39634400000000003</v>
      </c>
      <c r="I68" s="13">
        <f t="shared" si="11"/>
        <v>396.34400000000005</v>
      </c>
    </row>
    <row r="69" spans="1:21" ht="21.75" customHeight="1">
      <c r="A69" s="33">
        <v>18</v>
      </c>
      <c r="B69" s="141" t="s">
        <v>155</v>
      </c>
      <c r="C69" s="42" t="s">
        <v>30</v>
      </c>
      <c r="D69" s="41"/>
      <c r="E69" s="132">
        <v>7.4</v>
      </c>
      <c r="F69" s="40">
        <f>SUM(E69)</f>
        <v>7.4</v>
      </c>
      <c r="G69" s="40">
        <v>58.1</v>
      </c>
      <c r="H69" s="100">
        <f t="shared" si="10"/>
        <v>0.42994000000000004</v>
      </c>
      <c r="I69" s="13">
        <f t="shared" si="11"/>
        <v>429.94000000000005</v>
      </c>
    </row>
    <row r="70" spans="1:21" ht="12.75" hidden="1" customHeight="1">
      <c r="A70" s="33">
        <v>12</v>
      </c>
      <c r="B70" s="135" t="s">
        <v>54</v>
      </c>
      <c r="C70" s="136" t="s">
        <v>55</v>
      </c>
      <c r="D70" s="135" t="s">
        <v>51</v>
      </c>
      <c r="E70" s="137">
        <v>2</v>
      </c>
      <c r="F70" s="130">
        <f>SUM(E70)</f>
        <v>2</v>
      </c>
      <c r="G70" s="115">
        <v>77.34</v>
      </c>
      <c r="H70" s="100">
        <f t="shared" si="10"/>
        <v>0.15468000000000001</v>
      </c>
      <c r="I70" s="13">
        <f>G70*F70</f>
        <v>154.68</v>
      </c>
    </row>
    <row r="71" spans="1:21" ht="23.25" hidden="1" customHeight="1">
      <c r="A71" s="57"/>
      <c r="B71" s="76" t="s">
        <v>112</v>
      </c>
      <c r="C71" s="76"/>
      <c r="D71" s="76"/>
      <c r="E71" s="76"/>
      <c r="F71" s="76"/>
      <c r="G71" s="76"/>
      <c r="H71" s="76"/>
      <c r="I71" s="19"/>
      <c r="J71" s="29"/>
      <c r="K71" s="29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1" ht="27.75" hidden="1" customHeight="1">
      <c r="A72" s="33">
        <v>14</v>
      </c>
      <c r="B72" s="102" t="s">
        <v>113</v>
      </c>
      <c r="C72" s="25"/>
      <c r="D72" s="24"/>
      <c r="E72" s="84"/>
      <c r="F72" s="103">
        <v>1</v>
      </c>
      <c r="G72" s="103">
        <v>12171.2</v>
      </c>
      <c r="H72" s="13">
        <f>G72*F72/1000</f>
        <v>12.171200000000001</v>
      </c>
      <c r="I72" s="13">
        <f>G72</f>
        <v>12171.2</v>
      </c>
      <c r="J72" s="3"/>
      <c r="K72" s="3"/>
      <c r="L72" s="3"/>
      <c r="M72" s="3"/>
      <c r="N72" s="3"/>
      <c r="O72" s="3"/>
      <c r="P72" s="3"/>
      <c r="Q72" s="3"/>
      <c r="S72" s="3"/>
      <c r="T72" s="3"/>
      <c r="U72" s="3"/>
    </row>
    <row r="73" spans="1:21" ht="23.25" hidden="1" customHeight="1">
      <c r="A73" s="33"/>
      <c r="B73" s="53" t="s">
        <v>68</v>
      </c>
      <c r="C73" s="53"/>
      <c r="D73" s="53"/>
      <c r="E73" s="19"/>
      <c r="F73" s="19"/>
      <c r="G73" s="33"/>
      <c r="H73" s="33"/>
      <c r="I73" s="19"/>
      <c r="J73" s="5"/>
      <c r="K73" s="5"/>
      <c r="L73" s="5"/>
      <c r="M73" s="5"/>
      <c r="N73" s="5"/>
      <c r="O73" s="5"/>
      <c r="P73" s="5"/>
      <c r="Q73" s="5"/>
      <c r="R73" s="168"/>
      <c r="S73" s="168"/>
      <c r="T73" s="168"/>
      <c r="U73" s="168"/>
    </row>
    <row r="74" spans="1:21" ht="25.5" hidden="1" customHeight="1">
      <c r="A74" s="33"/>
      <c r="B74" s="15" t="s">
        <v>127</v>
      </c>
      <c r="C74" s="17" t="s">
        <v>114</v>
      </c>
      <c r="D74" s="41" t="s">
        <v>63</v>
      </c>
      <c r="E74" s="19">
        <v>1</v>
      </c>
      <c r="F74" s="13">
        <f>E74</f>
        <v>1</v>
      </c>
      <c r="G74" s="13">
        <v>976.4</v>
      </c>
      <c r="H74" s="100">
        <f>F74*G74/1000</f>
        <v>0.97639999999999993</v>
      </c>
      <c r="I74" s="13">
        <v>0</v>
      </c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</row>
    <row r="75" spans="1:21" ht="24" hidden="1" customHeight="1">
      <c r="A75" s="33"/>
      <c r="B75" s="15" t="s">
        <v>115</v>
      </c>
      <c r="C75" s="17" t="s">
        <v>116</v>
      </c>
      <c r="D75" s="15"/>
      <c r="E75" s="19">
        <v>1</v>
      </c>
      <c r="F75" s="13">
        <v>1</v>
      </c>
      <c r="G75" s="13">
        <v>750</v>
      </c>
      <c r="H75" s="100">
        <f>F75*G75/1000</f>
        <v>0.75</v>
      </c>
      <c r="I75" s="13">
        <v>0</v>
      </c>
    </row>
    <row r="76" spans="1:21" ht="20.25" hidden="1" customHeight="1">
      <c r="A76" s="33"/>
      <c r="B76" s="15" t="s">
        <v>69</v>
      </c>
      <c r="C76" s="17" t="s">
        <v>71</v>
      </c>
      <c r="D76" s="41" t="s">
        <v>63</v>
      </c>
      <c r="E76" s="19">
        <v>3</v>
      </c>
      <c r="F76" s="13">
        <f>SUM(E76/100)</f>
        <v>0.03</v>
      </c>
      <c r="G76" s="13">
        <v>624.16999999999996</v>
      </c>
      <c r="H76" s="100">
        <f>F76*G76/1000</f>
        <v>1.8725099999999998E-2</v>
      </c>
      <c r="I76" s="13">
        <v>0</v>
      </c>
    </row>
    <row r="77" spans="1:21" ht="21" hidden="1" customHeight="1">
      <c r="A77" s="33"/>
      <c r="B77" s="15" t="s">
        <v>70</v>
      </c>
      <c r="C77" s="17" t="s">
        <v>28</v>
      </c>
      <c r="D77" s="41" t="s">
        <v>63</v>
      </c>
      <c r="E77" s="19">
        <v>1</v>
      </c>
      <c r="F77" s="13">
        <v>1</v>
      </c>
      <c r="G77" s="13">
        <v>1061.4100000000001</v>
      </c>
      <c r="H77" s="100">
        <f>F77*G77/1000</f>
        <v>1.0614100000000002</v>
      </c>
      <c r="I77" s="13">
        <v>0</v>
      </c>
    </row>
    <row r="78" spans="1:21" ht="21.75" hidden="1" customHeight="1">
      <c r="A78" s="33">
        <v>17</v>
      </c>
      <c r="B78" s="15" t="s">
        <v>128</v>
      </c>
      <c r="C78" s="17" t="s">
        <v>28</v>
      </c>
      <c r="D78" s="41" t="s">
        <v>63</v>
      </c>
      <c r="E78" s="19">
        <v>1</v>
      </c>
      <c r="F78" s="92">
        <f>SUM(E78)</f>
        <v>1</v>
      </c>
      <c r="G78" s="13">
        <v>446.12</v>
      </c>
      <c r="H78" s="100">
        <f t="shared" ref="H78" si="12">SUM(F78*G78/1000)</f>
        <v>0.44612000000000002</v>
      </c>
      <c r="I78" s="13">
        <v>0</v>
      </c>
    </row>
    <row r="79" spans="1:21" ht="23.25" hidden="1" customHeight="1">
      <c r="A79" s="33"/>
      <c r="B79" s="54" t="s">
        <v>72</v>
      </c>
      <c r="C79" s="42"/>
      <c r="D79" s="33"/>
      <c r="E79" s="19"/>
      <c r="F79" s="19"/>
      <c r="G79" s="40"/>
      <c r="H79" s="40"/>
      <c r="I79" s="19"/>
    </row>
    <row r="80" spans="1:21" ht="27.75" hidden="1" customHeight="1">
      <c r="A80" s="33">
        <v>39</v>
      </c>
      <c r="B80" s="56" t="s">
        <v>117</v>
      </c>
      <c r="C80" s="17" t="s">
        <v>73</v>
      </c>
      <c r="D80" s="15"/>
      <c r="E80" s="19"/>
      <c r="F80" s="13">
        <v>1.35</v>
      </c>
      <c r="G80" s="13">
        <v>3433.68</v>
      </c>
      <c r="H80" s="100">
        <f t="shared" ref="H80" si="13">SUM(F80*G80/1000)</f>
        <v>4.6354679999999995</v>
      </c>
      <c r="I80" s="13">
        <v>0</v>
      </c>
    </row>
    <row r="81" spans="1:9" ht="30" customHeight="1">
      <c r="A81" s="33"/>
      <c r="B81" s="76" t="s">
        <v>129</v>
      </c>
      <c r="C81" s="70"/>
      <c r="D81" s="35"/>
      <c r="E81" s="12"/>
      <c r="F81" s="12"/>
      <c r="G81" s="40"/>
      <c r="H81" s="40"/>
      <c r="I81" s="19"/>
    </row>
    <row r="82" spans="1:9" ht="28.5" customHeight="1">
      <c r="A82" s="33">
        <v>19</v>
      </c>
      <c r="B82" s="15" t="s">
        <v>225</v>
      </c>
      <c r="C82" s="33" t="s">
        <v>226</v>
      </c>
      <c r="D82" s="15"/>
      <c r="E82" s="19">
        <v>1832</v>
      </c>
      <c r="F82" s="13">
        <f>E82*12</f>
        <v>21984</v>
      </c>
      <c r="G82" s="13">
        <v>2.7</v>
      </c>
      <c r="H82" s="100">
        <f t="shared" ref="H82:H89" si="14">SUM(F82*G82/1000)</f>
        <v>59.3568</v>
      </c>
      <c r="I82" s="13">
        <f>G82*F82/12</f>
        <v>4946.4000000000005</v>
      </c>
    </row>
    <row r="83" spans="1:9" ht="21.75" hidden="1" customHeight="1">
      <c r="A83" s="33"/>
      <c r="B83" s="15" t="s">
        <v>137</v>
      </c>
      <c r="C83" s="17" t="s">
        <v>77</v>
      </c>
      <c r="D83" s="41" t="s">
        <v>63</v>
      </c>
      <c r="E83" s="19">
        <v>6</v>
      </c>
      <c r="F83" s="13">
        <f t="shared" ref="F83:F88" si="15">E83</f>
        <v>6</v>
      </c>
      <c r="G83" s="13">
        <v>1564.44</v>
      </c>
      <c r="H83" s="100">
        <f t="shared" si="14"/>
        <v>9.3866399999999999</v>
      </c>
      <c r="I83" s="13">
        <v>0</v>
      </c>
    </row>
    <row r="84" spans="1:9" ht="30" hidden="1" customHeight="1">
      <c r="A84" s="33"/>
      <c r="B84" s="15" t="s">
        <v>138</v>
      </c>
      <c r="C84" s="17" t="s">
        <v>77</v>
      </c>
      <c r="D84" s="41" t="s">
        <v>63</v>
      </c>
      <c r="E84" s="19">
        <v>6</v>
      </c>
      <c r="F84" s="13">
        <f t="shared" si="15"/>
        <v>6</v>
      </c>
      <c r="G84" s="13">
        <v>1906.89</v>
      </c>
      <c r="H84" s="100">
        <f t="shared" si="14"/>
        <v>11.44134</v>
      </c>
      <c r="I84" s="13">
        <v>0</v>
      </c>
    </row>
    <row r="85" spans="1:9" ht="29.25" hidden="1" customHeight="1">
      <c r="A85" s="33"/>
      <c r="B85" s="15" t="s">
        <v>139</v>
      </c>
      <c r="C85" s="17" t="s">
        <v>77</v>
      </c>
      <c r="D85" s="41" t="s">
        <v>63</v>
      </c>
      <c r="E85" s="19">
        <v>6</v>
      </c>
      <c r="F85" s="13">
        <f t="shared" si="15"/>
        <v>6</v>
      </c>
      <c r="G85" s="13">
        <v>664.35</v>
      </c>
      <c r="H85" s="100">
        <f t="shared" si="14"/>
        <v>3.9861000000000004</v>
      </c>
      <c r="I85" s="13">
        <v>0</v>
      </c>
    </row>
    <row r="86" spans="1:9" ht="33" hidden="1" customHeight="1">
      <c r="A86" s="33"/>
      <c r="B86" s="15" t="s">
        <v>140</v>
      </c>
      <c r="C86" s="17" t="s">
        <v>77</v>
      </c>
      <c r="D86" s="41" t="s">
        <v>63</v>
      </c>
      <c r="E86" s="19">
        <v>6</v>
      </c>
      <c r="F86" s="13">
        <f t="shared" si="15"/>
        <v>6</v>
      </c>
      <c r="G86" s="13">
        <v>778.85</v>
      </c>
      <c r="H86" s="100">
        <f t="shared" si="14"/>
        <v>4.6731000000000007</v>
      </c>
      <c r="I86" s="13">
        <v>0</v>
      </c>
    </row>
    <row r="87" spans="1:9" ht="27" hidden="1" customHeight="1">
      <c r="A87" s="33"/>
      <c r="B87" s="15" t="s">
        <v>141</v>
      </c>
      <c r="C87" s="17" t="s">
        <v>114</v>
      </c>
      <c r="D87" s="41" t="s">
        <v>63</v>
      </c>
      <c r="E87" s="19">
        <v>4</v>
      </c>
      <c r="F87" s="13">
        <f t="shared" si="15"/>
        <v>4</v>
      </c>
      <c r="G87" s="13">
        <v>498.11</v>
      </c>
      <c r="H87" s="100">
        <f t="shared" si="14"/>
        <v>1.99244</v>
      </c>
      <c r="I87" s="13">
        <v>0</v>
      </c>
    </row>
    <row r="88" spans="1:9" ht="27" hidden="1" customHeight="1">
      <c r="A88" s="33"/>
      <c r="B88" s="15" t="s">
        <v>142</v>
      </c>
      <c r="C88" s="17" t="s">
        <v>77</v>
      </c>
      <c r="D88" s="41" t="s">
        <v>63</v>
      </c>
      <c r="E88" s="19">
        <v>6</v>
      </c>
      <c r="F88" s="13">
        <f t="shared" si="15"/>
        <v>6</v>
      </c>
      <c r="G88" s="13">
        <v>1264.3399999999999</v>
      </c>
      <c r="H88" s="100">
        <f t="shared" si="14"/>
        <v>7.5860399999999988</v>
      </c>
      <c r="I88" s="13">
        <v>0</v>
      </c>
    </row>
    <row r="89" spans="1:9" ht="27.75" hidden="1" customHeight="1">
      <c r="A89" s="33">
        <v>33</v>
      </c>
      <c r="B89" s="15" t="s">
        <v>143</v>
      </c>
      <c r="C89" s="17" t="s">
        <v>27</v>
      </c>
      <c r="D89" s="15" t="s">
        <v>40</v>
      </c>
      <c r="E89" s="19">
        <v>823</v>
      </c>
      <c r="F89" s="13">
        <f>E89*2/1000</f>
        <v>1.6459999999999999</v>
      </c>
      <c r="G89" s="13">
        <v>1707.71</v>
      </c>
      <c r="H89" s="100">
        <f t="shared" si="14"/>
        <v>2.8108906600000001</v>
      </c>
      <c r="I89" s="13">
        <f>F89/2*G89</f>
        <v>1405.44533</v>
      </c>
    </row>
    <row r="90" spans="1:9" ht="15.75" customHeight="1">
      <c r="A90" s="181" t="s">
        <v>148</v>
      </c>
      <c r="B90" s="182"/>
      <c r="C90" s="182"/>
      <c r="D90" s="182"/>
      <c r="E90" s="182"/>
      <c r="F90" s="182"/>
      <c r="G90" s="182"/>
      <c r="H90" s="182"/>
      <c r="I90" s="183"/>
    </row>
    <row r="91" spans="1:9" ht="15.75" customHeight="1">
      <c r="A91" s="33">
        <v>20</v>
      </c>
      <c r="B91" s="120" t="s">
        <v>118</v>
      </c>
      <c r="C91" s="42" t="s">
        <v>52</v>
      </c>
      <c r="D91" s="142"/>
      <c r="E91" s="40">
        <v>1832</v>
      </c>
      <c r="F91" s="40">
        <f>SUM(E91*12)</f>
        <v>21984</v>
      </c>
      <c r="G91" s="40">
        <v>3.93</v>
      </c>
      <c r="H91" s="100">
        <f>SUM(F91*G91/1000)</f>
        <v>86.397120000000015</v>
      </c>
      <c r="I91" s="13">
        <f>F91/12*G91</f>
        <v>7199.76</v>
      </c>
    </row>
    <row r="92" spans="1:9" ht="31.5" customHeight="1">
      <c r="A92" s="33">
        <v>21</v>
      </c>
      <c r="B92" s="41" t="s">
        <v>227</v>
      </c>
      <c r="C92" s="42" t="s">
        <v>156</v>
      </c>
      <c r="D92" s="143"/>
      <c r="E92" s="132">
        <f>E91</f>
        <v>1832</v>
      </c>
      <c r="F92" s="40">
        <f>E92*12</f>
        <v>21984</v>
      </c>
      <c r="G92" s="40">
        <v>3.6</v>
      </c>
      <c r="H92" s="100">
        <f>F92*G92/1000</f>
        <v>79.142400000000009</v>
      </c>
      <c r="I92" s="13">
        <f>F92/12*G92</f>
        <v>6595.2</v>
      </c>
    </row>
    <row r="93" spans="1:9" ht="31.5" customHeight="1">
      <c r="A93" s="33">
        <v>22</v>
      </c>
      <c r="B93" s="41" t="s">
        <v>228</v>
      </c>
      <c r="C93" s="42" t="s">
        <v>52</v>
      </c>
      <c r="D93" s="143"/>
      <c r="E93" s="144">
        <v>1832</v>
      </c>
      <c r="F93" s="40">
        <f>E93*1</f>
        <v>1832</v>
      </c>
      <c r="G93" s="40">
        <v>3.3</v>
      </c>
      <c r="H93" s="100"/>
      <c r="I93" s="13">
        <f>G93*F93</f>
        <v>6045.5999999999995</v>
      </c>
    </row>
    <row r="94" spans="1:9" ht="15.75" customHeight="1">
      <c r="A94" s="57"/>
      <c r="B94" s="43" t="s">
        <v>76</v>
      </c>
      <c r="C94" s="45"/>
      <c r="D94" s="16"/>
      <c r="E94" s="16"/>
      <c r="F94" s="16"/>
      <c r="G94" s="19"/>
      <c r="H94" s="19"/>
      <c r="I94" s="36">
        <f>I93+I92+I91+I82+I69+I68+I67+I66+I65+I61+I54+I53+I33+I31+I30+I22+I21+I20+I19+I18+I17+I16</f>
        <v>116993.82558600002</v>
      </c>
    </row>
    <row r="95" spans="1:9" ht="15.75" customHeight="1">
      <c r="A95" s="184" t="s">
        <v>57</v>
      </c>
      <c r="B95" s="185"/>
      <c r="C95" s="185"/>
      <c r="D95" s="185"/>
      <c r="E95" s="185"/>
      <c r="F95" s="185"/>
      <c r="G95" s="185"/>
      <c r="H95" s="185"/>
      <c r="I95" s="186"/>
    </row>
    <row r="96" spans="1:9" ht="15.75" customHeight="1">
      <c r="A96" s="105">
        <v>23</v>
      </c>
      <c r="B96" s="116" t="s">
        <v>229</v>
      </c>
      <c r="C96" s="117" t="s">
        <v>176</v>
      </c>
      <c r="D96" s="143"/>
      <c r="E96" s="40"/>
      <c r="F96" s="40">
        <v>0.5</v>
      </c>
      <c r="G96" s="40">
        <v>160.79</v>
      </c>
      <c r="H96" s="113"/>
      <c r="I96" s="114">
        <f>G96*0.5</f>
        <v>80.394999999999996</v>
      </c>
    </row>
    <row r="97" spans="1:9" ht="19.5" customHeight="1">
      <c r="A97" s="105">
        <v>24</v>
      </c>
      <c r="B97" s="116" t="s">
        <v>230</v>
      </c>
      <c r="C97" s="117" t="s">
        <v>231</v>
      </c>
      <c r="D97" s="143"/>
      <c r="E97" s="40"/>
      <c r="F97" s="40">
        <v>0.1</v>
      </c>
      <c r="G97" s="40">
        <v>613.53</v>
      </c>
      <c r="H97" s="112"/>
      <c r="I97" s="114">
        <f>G97*0.1</f>
        <v>61.353000000000002</v>
      </c>
    </row>
    <row r="98" spans="1:9" ht="16.5" hidden="1" customHeight="1">
      <c r="A98" s="105">
        <v>21</v>
      </c>
      <c r="B98" s="107"/>
      <c r="C98" s="45"/>
      <c r="D98" s="41"/>
      <c r="E98" s="18"/>
      <c r="F98" s="40"/>
      <c r="G98" s="40"/>
      <c r="H98" s="112"/>
      <c r="I98" s="114"/>
    </row>
    <row r="99" spans="1:9" ht="16.5" hidden="1" customHeight="1">
      <c r="A99" s="105">
        <v>22</v>
      </c>
      <c r="B99" s="116"/>
      <c r="C99" s="117"/>
      <c r="D99" s="41"/>
      <c r="E99" s="18"/>
      <c r="F99" s="40"/>
      <c r="G99" s="40"/>
      <c r="H99" s="112"/>
      <c r="I99" s="114"/>
    </row>
    <row r="100" spans="1:9" ht="16.5" hidden="1" customHeight="1">
      <c r="A100" s="105">
        <v>23</v>
      </c>
      <c r="B100" s="116"/>
      <c r="C100" s="117"/>
      <c r="D100" s="41"/>
      <c r="E100" s="18"/>
      <c r="F100" s="40"/>
      <c r="G100" s="40"/>
      <c r="H100" s="112"/>
      <c r="I100" s="114"/>
    </row>
    <row r="101" spans="1:9" ht="15.75" customHeight="1">
      <c r="A101" s="33"/>
      <c r="B101" s="50" t="s">
        <v>49</v>
      </c>
      <c r="C101" s="46"/>
      <c r="D101" s="58"/>
      <c r="E101" s="46">
        <v>1</v>
      </c>
      <c r="F101" s="46"/>
      <c r="G101" s="46"/>
      <c r="H101" s="46"/>
      <c r="I101" s="36">
        <f>SUM(I96:I100)</f>
        <v>141.74799999999999</v>
      </c>
    </row>
    <row r="102" spans="1:9" ht="15.75" customHeight="1">
      <c r="A102" s="33"/>
      <c r="B102" s="56" t="s">
        <v>75</v>
      </c>
      <c r="C102" s="16"/>
      <c r="D102" s="16"/>
      <c r="E102" s="47"/>
      <c r="F102" s="47"/>
      <c r="G102" s="48"/>
      <c r="H102" s="48"/>
      <c r="I102" s="18">
        <v>0</v>
      </c>
    </row>
    <row r="103" spans="1:9" ht="15.75" customHeight="1">
      <c r="A103" s="59"/>
      <c r="B103" s="51" t="s">
        <v>157</v>
      </c>
      <c r="C103" s="38"/>
      <c r="D103" s="38"/>
      <c r="E103" s="38"/>
      <c r="F103" s="38"/>
      <c r="G103" s="38"/>
      <c r="H103" s="38"/>
      <c r="I103" s="49">
        <f>I94+I101</f>
        <v>117135.57358600003</v>
      </c>
    </row>
    <row r="104" spans="1:9" ht="15.75" customHeight="1">
      <c r="A104" s="173" t="s">
        <v>232</v>
      </c>
      <c r="B104" s="173"/>
      <c r="C104" s="173"/>
      <c r="D104" s="173"/>
      <c r="E104" s="173"/>
      <c r="F104" s="173"/>
      <c r="G104" s="173"/>
      <c r="H104" s="173"/>
      <c r="I104" s="173"/>
    </row>
    <row r="105" spans="1:9" ht="15.75" customHeight="1">
      <c r="A105" s="77"/>
      <c r="B105" s="187" t="s">
        <v>233</v>
      </c>
      <c r="C105" s="187"/>
      <c r="D105" s="187"/>
      <c r="E105" s="187"/>
      <c r="F105" s="187"/>
      <c r="G105" s="187"/>
      <c r="H105" s="87"/>
      <c r="I105" s="3"/>
    </row>
    <row r="106" spans="1:9" ht="15.75" customHeight="1">
      <c r="A106" s="71"/>
      <c r="B106" s="161" t="s">
        <v>6</v>
      </c>
      <c r="C106" s="161"/>
      <c r="D106" s="161"/>
      <c r="E106" s="161"/>
      <c r="F106" s="161"/>
      <c r="G106" s="161"/>
      <c r="H106" s="28"/>
      <c r="I106" s="5"/>
    </row>
    <row r="107" spans="1:9" ht="15.75" customHeight="1">
      <c r="A107" s="9"/>
      <c r="B107" s="9"/>
      <c r="C107" s="9"/>
      <c r="D107" s="9"/>
      <c r="E107" s="9"/>
      <c r="F107" s="9"/>
      <c r="G107" s="9"/>
      <c r="H107" s="9"/>
      <c r="I107" s="9"/>
    </row>
    <row r="108" spans="1:9" ht="15.75" customHeight="1">
      <c r="A108" s="162" t="s">
        <v>7</v>
      </c>
      <c r="B108" s="162"/>
      <c r="C108" s="162"/>
      <c r="D108" s="162"/>
      <c r="E108" s="162"/>
      <c r="F108" s="162"/>
      <c r="G108" s="162"/>
      <c r="H108" s="162"/>
      <c r="I108" s="162"/>
    </row>
    <row r="109" spans="1:9" ht="15.75" customHeight="1">
      <c r="A109" s="162" t="s">
        <v>8</v>
      </c>
      <c r="B109" s="162"/>
      <c r="C109" s="162"/>
      <c r="D109" s="162"/>
      <c r="E109" s="162"/>
      <c r="F109" s="162"/>
      <c r="G109" s="162"/>
      <c r="H109" s="162"/>
      <c r="I109" s="162"/>
    </row>
    <row r="110" spans="1:9" ht="15.75" customHeight="1">
      <c r="A110" s="163" t="s">
        <v>58</v>
      </c>
      <c r="B110" s="163"/>
      <c r="C110" s="163"/>
      <c r="D110" s="163"/>
      <c r="E110" s="163"/>
      <c r="F110" s="163"/>
      <c r="G110" s="163"/>
      <c r="H110" s="163"/>
      <c r="I110" s="163"/>
    </row>
    <row r="111" spans="1:9" ht="15.75" customHeight="1">
      <c r="A111" s="10"/>
    </row>
    <row r="112" spans="1:9" ht="15.75" customHeight="1">
      <c r="A112" s="164" t="s">
        <v>9</v>
      </c>
      <c r="B112" s="164"/>
      <c r="C112" s="164"/>
      <c r="D112" s="164"/>
      <c r="E112" s="164"/>
      <c r="F112" s="164"/>
      <c r="G112" s="164"/>
      <c r="H112" s="164"/>
      <c r="I112" s="164"/>
    </row>
    <row r="113" spans="1:9" ht="15.75" customHeight="1">
      <c r="A113" s="4"/>
    </row>
    <row r="114" spans="1:9" ht="15.75" customHeight="1">
      <c r="B114" s="74" t="s">
        <v>10</v>
      </c>
      <c r="C114" s="165" t="s">
        <v>195</v>
      </c>
      <c r="D114" s="165"/>
      <c r="E114" s="165"/>
      <c r="F114" s="85"/>
      <c r="I114" s="73"/>
    </row>
    <row r="115" spans="1:9" ht="15.75" customHeight="1">
      <c r="A115" s="71"/>
      <c r="C115" s="161" t="s">
        <v>11</v>
      </c>
      <c r="D115" s="161"/>
      <c r="E115" s="161"/>
      <c r="F115" s="28"/>
      <c r="I115" s="72" t="s">
        <v>12</v>
      </c>
    </row>
    <row r="116" spans="1:9" ht="15.75" customHeight="1">
      <c r="A116" s="29"/>
      <c r="C116" s="11"/>
      <c r="D116" s="11"/>
      <c r="G116" s="11"/>
      <c r="H116" s="11"/>
    </row>
    <row r="117" spans="1:9" ht="15.75" customHeight="1">
      <c r="B117" s="74" t="s">
        <v>13</v>
      </c>
      <c r="C117" s="166"/>
      <c r="D117" s="166"/>
      <c r="E117" s="166"/>
      <c r="F117" s="86"/>
      <c r="I117" s="73"/>
    </row>
    <row r="118" spans="1:9" ht="15.75" customHeight="1">
      <c r="A118" s="71"/>
      <c r="C118" s="168" t="s">
        <v>11</v>
      </c>
      <c r="D118" s="168"/>
      <c r="E118" s="168"/>
      <c r="F118" s="71"/>
      <c r="I118" s="72" t="s">
        <v>12</v>
      </c>
    </row>
    <row r="119" spans="1:9" ht="15.75" customHeight="1">
      <c r="A119" s="4" t="s">
        <v>14</v>
      </c>
    </row>
    <row r="120" spans="1:9" ht="15.75" customHeight="1">
      <c r="A120" s="169" t="s">
        <v>15</v>
      </c>
      <c r="B120" s="169"/>
      <c r="C120" s="169"/>
      <c r="D120" s="169"/>
      <c r="E120" s="169"/>
      <c r="F120" s="169"/>
      <c r="G120" s="169"/>
      <c r="H120" s="169"/>
      <c r="I120" s="169"/>
    </row>
    <row r="121" spans="1:9" ht="45" customHeight="1">
      <c r="A121" s="167" t="s">
        <v>16</v>
      </c>
      <c r="B121" s="167"/>
      <c r="C121" s="167"/>
      <c r="D121" s="167"/>
      <c r="E121" s="167"/>
      <c r="F121" s="167"/>
      <c r="G121" s="167"/>
      <c r="H121" s="167"/>
      <c r="I121" s="167"/>
    </row>
    <row r="122" spans="1:9" ht="30" customHeight="1">
      <c r="A122" s="167" t="s">
        <v>17</v>
      </c>
      <c r="B122" s="167"/>
      <c r="C122" s="167"/>
      <c r="D122" s="167"/>
      <c r="E122" s="167"/>
      <c r="F122" s="167"/>
      <c r="G122" s="167"/>
      <c r="H122" s="167"/>
      <c r="I122" s="167"/>
    </row>
    <row r="123" spans="1:9" ht="30" customHeight="1">
      <c r="A123" s="167" t="s">
        <v>21</v>
      </c>
      <c r="B123" s="167"/>
      <c r="C123" s="167"/>
      <c r="D123" s="167"/>
      <c r="E123" s="167"/>
      <c r="F123" s="167"/>
      <c r="G123" s="167"/>
      <c r="H123" s="167"/>
      <c r="I123" s="167"/>
    </row>
    <row r="124" spans="1:9" ht="15" customHeight="1">
      <c r="A124" s="167" t="s">
        <v>20</v>
      </c>
      <c r="B124" s="167"/>
      <c r="C124" s="167"/>
      <c r="D124" s="167"/>
      <c r="E124" s="167"/>
      <c r="F124" s="167"/>
      <c r="G124" s="167"/>
      <c r="H124" s="167"/>
      <c r="I124" s="167"/>
    </row>
  </sheetData>
  <autoFilter ref="I12:I69"/>
  <mergeCells count="29">
    <mergeCell ref="A14:I14"/>
    <mergeCell ref="A15:I15"/>
    <mergeCell ref="A28:I28"/>
    <mergeCell ref="A43:I43"/>
    <mergeCell ref="A55:I55"/>
    <mergeCell ref="A3:I3"/>
    <mergeCell ref="A4:I4"/>
    <mergeCell ref="A5:I5"/>
    <mergeCell ref="A8:I8"/>
    <mergeCell ref="A10:I10"/>
    <mergeCell ref="R73:U73"/>
    <mergeCell ref="C118:E118"/>
    <mergeCell ref="A95:I95"/>
    <mergeCell ref="A104:I104"/>
    <mergeCell ref="B105:G105"/>
    <mergeCell ref="B106:G106"/>
    <mergeCell ref="A108:I108"/>
    <mergeCell ref="A109:I109"/>
    <mergeCell ref="A110:I110"/>
    <mergeCell ref="A112:I112"/>
    <mergeCell ref="C114:E114"/>
    <mergeCell ref="C115:E115"/>
    <mergeCell ref="C117:E117"/>
    <mergeCell ref="A90:I90"/>
    <mergeCell ref="A120:I120"/>
    <mergeCell ref="A121:I121"/>
    <mergeCell ref="A122:I122"/>
    <mergeCell ref="A123:I123"/>
    <mergeCell ref="A124:I12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U131"/>
  <sheetViews>
    <sheetView topLeftCell="A23" workbookViewId="0">
      <selection activeCell="B72" sqref="B72:I7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174</v>
      </c>
      <c r="I1" s="30"/>
      <c r="J1" s="1"/>
      <c r="K1" s="1"/>
      <c r="L1" s="1"/>
      <c r="M1" s="1"/>
    </row>
    <row r="2" spans="1:13" ht="15.75" customHeight="1">
      <c r="A2" s="32" t="s">
        <v>59</v>
      </c>
      <c r="J2" s="2"/>
      <c r="K2" s="2"/>
      <c r="L2" s="2"/>
      <c r="M2" s="2"/>
    </row>
    <row r="3" spans="1:13" ht="15.75" customHeight="1">
      <c r="A3" s="174" t="s">
        <v>165</v>
      </c>
      <c r="B3" s="174"/>
      <c r="C3" s="174"/>
      <c r="D3" s="174"/>
      <c r="E3" s="174"/>
      <c r="F3" s="174"/>
      <c r="G3" s="174"/>
      <c r="H3" s="174"/>
      <c r="I3" s="174"/>
      <c r="J3" s="3"/>
      <c r="K3" s="3"/>
      <c r="L3" s="3"/>
    </row>
    <row r="4" spans="1:13" ht="31.5" customHeight="1">
      <c r="A4" s="175" t="s">
        <v>119</v>
      </c>
      <c r="B4" s="175"/>
      <c r="C4" s="175"/>
      <c r="D4" s="175"/>
      <c r="E4" s="175"/>
      <c r="F4" s="175"/>
      <c r="G4" s="175"/>
      <c r="H4" s="175"/>
      <c r="I4" s="175"/>
    </row>
    <row r="5" spans="1:13" ht="15.75" customHeight="1">
      <c r="A5" s="174" t="s">
        <v>234</v>
      </c>
      <c r="B5" s="178"/>
      <c r="C5" s="178"/>
      <c r="D5" s="178"/>
      <c r="E5" s="178"/>
      <c r="F5" s="178"/>
      <c r="G5" s="178"/>
      <c r="H5" s="178"/>
      <c r="I5" s="178"/>
      <c r="J5" s="2"/>
      <c r="K5" s="2"/>
      <c r="L5" s="2"/>
      <c r="M5" s="2"/>
    </row>
    <row r="6" spans="1:13" ht="15.75" customHeight="1">
      <c r="A6" s="2"/>
      <c r="B6" s="75"/>
      <c r="C6" s="75"/>
      <c r="D6" s="75"/>
      <c r="E6" s="75"/>
      <c r="F6" s="75"/>
      <c r="G6" s="75"/>
      <c r="H6" s="75"/>
      <c r="I6" s="34">
        <v>44408</v>
      </c>
      <c r="J6" s="2"/>
      <c r="K6" s="2"/>
      <c r="L6" s="2"/>
      <c r="M6" s="2"/>
    </row>
    <row r="7" spans="1:13" ht="15.75" customHeight="1">
      <c r="B7" s="74"/>
      <c r="C7" s="74"/>
      <c r="D7" s="74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76" t="s">
        <v>220</v>
      </c>
      <c r="B8" s="176"/>
      <c r="C8" s="176"/>
      <c r="D8" s="176"/>
      <c r="E8" s="176"/>
      <c r="F8" s="176"/>
      <c r="G8" s="176"/>
      <c r="H8" s="176"/>
      <c r="I8" s="17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77" t="s">
        <v>144</v>
      </c>
      <c r="B10" s="177"/>
      <c r="C10" s="177"/>
      <c r="D10" s="177"/>
      <c r="E10" s="177"/>
      <c r="F10" s="177"/>
      <c r="G10" s="177"/>
      <c r="H10" s="177"/>
      <c r="I10" s="177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79" t="s">
        <v>56</v>
      </c>
      <c r="B14" s="179"/>
      <c r="C14" s="179"/>
      <c r="D14" s="179"/>
      <c r="E14" s="179"/>
      <c r="F14" s="179"/>
      <c r="G14" s="179"/>
      <c r="H14" s="179"/>
      <c r="I14" s="179"/>
      <c r="J14" s="8"/>
      <c r="K14" s="8"/>
      <c r="L14" s="8"/>
      <c r="M14" s="8"/>
    </row>
    <row r="15" spans="1:13" ht="15.75" customHeight="1">
      <c r="A15" s="180" t="s">
        <v>4</v>
      </c>
      <c r="B15" s="180"/>
      <c r="C15" s="180"/>
      <c r="D15" s="180"/>
      <c r="E15" s="180"/>
      <c r="F15" s="180"/>
      <c r="G15" s="180"/>
      <c r="H15" s="180"/>
      <c r="I15" s="180"/>
      <c r="J15" s="8"/>
      <c r="K15" s="8"/>
      <c r="L15" s="8"/>
      <c r="M15" s="8"/>
    </row>
    <row r="16" spans="1:13" ht="15.75" customHeight="1">
      <c r="A16" s="33">
        <v>1</v>
      </c>
      <c r="B16" s="120" t="s">
        <v>81</v>
      </c>
      <c r="C16" s="44" t="s">
        <v>82</v>
      </c>
      <c r="D16" s="120" t="s">
        <v>178</v>
      </c>
      <c r="E16" s="132">
        <v>53.8</v>
      </c>
      <c r="F16" s="122">
        <f>SUM(E16*156/100)</f>
        <v>83.927999999999997</v>
      </c>
      <c r="G16" s="122">
        <v>481.7</v>
      </c>
      <c r="H16" s="93">
        <f t="shared" ref="H16:H22" si="0">SUM(F16*G16/1000)</f>
        <v>40.4281176</v>
      </c>
      <c r="I16" s="13">
        <f>F16/12*G16</f>
        <v>3369.0097999999998</v>
      </c>
      <c r="J16" s="8"/>
      <c r="K16" s="8"/>
      <c r="L16" s="8"/>
      <c r="M16" s="8"/>
    </row>
    <row r="17" spans="1:13" ht="15.75" customHeight="1">
      <c r="A17" s="33">
        <v>2</v>
      </c>
      <c r="B17" s="120" t="s">
        <v>120</v>
      </c>
      <c r="C17" s="44" t="s">
        <v>82</v>
      </c>
      <c r="D17" s="120" t="s">
        <v>179</v>
      </c>
      <c r="E17" s="132">
        <v>107.6</v>
      </c>
      <c r="F17" s="122">
        <f>SUM(E17*104/100)</f>
        <v>111.904</v>
      </c>
      <c r="G17" s="122">
        <v>380.58</v>
      </c>
      <c r="H17" s="93">
        <f t="shared" si="0"/>
        <v>42.588424320000001</v>
      </c>
      <c r="I17" s="13">
        <f>F17/12*G17</f>
        <v>3549.0353599999999</v>
      </c>
      <c r="J17" s="26"/>
      <c r="K17" s="8"/>
      <c r="L17" s="8"/>
      <c r="M17" s="8"/>
    </row>
    <row r="18" spans="1:13" ht="15.75" customHeight="1">
      <c r="A18" s="33">
        <v>3</v>
      </c>
      <c r="B18" s="120" t="s">
        <v>83</v>
      </c>
      <c r="C18" s="44" t="s">
        <v>82</v>
      </c>
      <c r="D18" s="120" t="s">
        <v>180</v>
      </c>
      <c r="E18" s="132">
        <f>SUM(E16+E17)</f>
        <v>161.39999999999998</v>
      </c>
      <c r="F18" s="122">
        <f>SUM(E18*18/100)</f>
        <v>29.052</v>
      </c>
      <c r="G18" s="122">
        <v>889.97</v>
      </c>
      <c r="H18" s="93">
        <f t="shared" si="0"/>
        <v>25.855408439999998</v>
      </c>
      <c r="I18" s="13">
        <f>F18/18*2*G18</f>
        <v>2872.8231599999999</v>
      </c>
      <c r="J18" s="26"/>
      <c r="K18" s="8"/>
      <c r="L18" s="8"/>
      <c r="M18" s="8"/>
    </row>
    <row r="19" spans="1:13" ht="15.75" hidden="1" customHeight="1">
      <c r="A19" s="33">
        <v>4</v>
      </c>
      <c r="B19" s="120" t="s">
        <v>84</v>
      </c>
      <c r="C19" s="44" t="s">
        <v>82</v>
      </c>
      <c r="D19" s="120" t="s">
        <v>186</v>
      </c>
      <c r="E19" s="132">
        <v>15.3</v>
      </c>
      <c r="F19" s="122">
        <f>SUM(E19/100)</f>
        <v>0.153</v>
      </c>
      <c r="G19" s="122">
        <v>1965.89</v>
      </c>
      <c r="H19" s="93">
        <f t="shared" si="0"/>
        <v>0.30078117000000004</v>
      </c>
      <c r="I19" s="13">
        <f>F19*G19</f>
        <v>300.78117000000003</v>
      </c>
      <c r="J19" s="26"/>
      <c r="K19" s="8"/>
      <c r="L19" s="8"/>
      <c r="M19" s="8"/>
    </row>
    <row r="20" spans="1:13" ht="15.75" customHeight="1">
      <c r="A20" s="33">
        <v>4</v>
      </c>
      <c r="B20" s="120" t="s">
        <v>91</v>
      </c>
      <c r="C20" s="44" t="s">
        <v>50</v>
      </c>
      <c r="D20" s="120" t="s">
        <v>184</v>
      </c>
      <c r="E20" s="132">
        <v>4.5</v>
      </c>
      <c r="F20" s="122">
        <f>E20/100*12</f>
        <v>0.54</v>
      </c>
      <c r="G20" s="122">
        <v>1037.97</v>
      </c>
      <c r="H20" s="93">
        <f>SUM(F20*G20/1000)</f>
        <v>0.56050380000000011</v>
      </c>
      <c r="I20" s="13">
        <f>F20*G20/12</f>
        <v>46.708650000000006</v>
      </c>
      <c r="J20" s="26"/>
      <c r="K20" s="8"/>
      <c r="L20" s="8"/>
      <c r="M20" s="8"/>
    </row>
    <row r="21" spans="1:13" ht="15.75" customHeight="1">
      <c r="A21" s="33">
        <v>5</v>
      </c>
      <c r="B21" s="120" t="s">
        <v>87</v>
      </c>
      <c r="C21" s="44" t="s">
        <v>82</v>
      </c>
      <c r="D21" s="120" t="s">
        <v>183</v>
      </c>
      <c r="E21" s="132">
        <v>19.62</v>
      </c>
      <c r="F21" s="122">
        <f>SUM(E21*12/100)</f>
        <v>2.3544</v>
      </c>
      <c r="G21" s="122">
        <v>848.17</v>
      </c>
      <c r="H21" s="93">
        <f t="shared" si="0"/>
        <v>1.996931448</v>
      </c>
      <c r="I21" s="13">
        <f>F21*G21/12</f>
        <v>166.410954</v>
      </c>
      <c r="J21" s="26"/>
      <c r="K21" s="8"/>
      <c r="L21" s="8"/>
      <c r="M21" s="8"/>
    </row>
    <row r="22" spans="1:13" ht="15.75" customHeight="1">
      <c r="A22" s="33">
        <v>6</v>
      </c>
      <c r="B22" s="120" t="s">
        <v>88</v>
      </c>
      <c r="C22" s="44" t="s">
        <v>82</v>
      </c>
      <c r="D22" s="120" t="s">
        <v>183</v>
      </c>
      <c r="E22" s="132">
        <v>8.68</v>
      </c>
      <c r="F22" s="122">
        <f>SUM(E22*12/100)</f>
        <v>1.0415999999999999</v>
      </c>
      <c r="G22" s="122">
        <v>523.94000000000005</v>
      </c>
      <c r="H22" s="93">
        <f t="shared" si="0"/>
        <v>0.54573590400000005</v>
      </c>
      <c r="I22" s="13">
        <f>F22*G22/12</f>
        <v>45.477992</v>
      </c>
      <c r="J22" s="26"/>
      <c r="K22" s="8"/>
      <c r="L22" s="8"/>
      <c r="M22" s="8"/>
    </row>
    <row r="23" spans="1:13" ht="15.75" customHeight="1">
      <c r="A23" s="33">
        <v>7</v>
      </c>
      <c r="B23" s="120" t="s">
        <v>89</v>
      </c>
      <c r="C23" s="44" t="s">
        <v>50</v>
      </c>
      <c r="D23" s="120" t="s">
        <v>235</v>
      </c>
      <c r="E23" s="132">
        <v>215</v>
      </c>
      <c r="F23" s="122">
        <f>SUM(E23/100)</f>
        <v>2.15</v>
      </c>
      <c r="G23" s="122">
        <v>1045.18</v>
      </c>
      <c r="H23" s="93">
        <f t="shared" ref="H23:H26" si="1">SUM(F23*G23/1000)</f>
        <v>2.2471370000000004</v>
      </c>
      <c r="I23" s="13">
        <f>F23*G23</f>
        <v>2247.1370000000002</v>
      </c>
      <c r="J23" s="26"/>
      <c r="K23" s="8"/>
      <c r="L23" s="8"/>
      <c r="M23" s="8"/>
    </row>
    <row r="24" spans="1:13" ht="15.75" customHeight="1">
      <c r="A24" s="33">
        <v>8</v>
      </c>
      <c r="B24" s="120" t="s">
        <v>90</v>
      </c>
      <c r="C24" s="44" t="s">
        <v>50</v>
      </c>
      <c r="D24" s="120" t="s">
        <v>183</v>
      </c>
      <c r="E24" s="145">
        <v>17.64</v>
      </c>
      <c r="F24" s="122">
        <f>SUM(E24/100)</f>
        <v>0.1764</v>
      </c>
      <c r="G24" s="122">
        <v>1045.18</v>
      </c>
      <c r="H24" s="93">
        <f t="shared" si="1"/>
        <v>0.184369752</v>
      </c>
      <c r="I24" s="13">
        <f t="shared" ref="I24:I26" si="2">F24*G24</f>
        <v>184.36975200000001</v>
      </c>
      <c r="J24" s="26"/>
      <c r="K24" s="8"/>
      <c r="L24" s="8"/>
      <c r="M24" s="8"/>
    </row>
    <row r="25" spans="1:13" ht="15.75" customHeight="1">
      <c r="A25" s="33">
        <v>9</v>
      </c>
      <c r="B25" s="120" t="s">
        <v>92</v>
      </c>
      <c r="C25" s="44" t="s">
        <v>50</v>
      </c>
      <c r="D25" s="120" t="s">
        <v>183</v>
      </c>
      <c r="E25" s="132">
        <v>14.4</v>
      </c>
      <c r="F25" s="122">
        <f>SUM(E25/100)</f>
        <v>0.14400000000000002</v>
      </c>
      <c r="G25" s="122">
        <v>959.59</v>
      </c>
      <c r="H25" s="93">
        <f>SUM(F25*G25/1000)</f>
        <v>0.13818096000000002</v>
      </c>
      <c r="I25" s="13">
        <f t="shared" si="2"/>
        <v>138.18096000000003</v>
      </c>
      <c r="J25" s="26"/>
      <c r="K25" s="8"/>
      <c r="L25" s="8"/>
      <c r="M25" s="8"/>
    </row>
    <row r="26" spans="1:13" ht="15.75" customHeight="1">
      <c r="A26" s="33">
        <v>10</v>
      </c>
      <c r="B26" s="120" t="s">
        <v>122</v>
      </c>
      <c r="C26" s="44" t="s">
        <v>50</v>
      </c>
      <c r="D26" s="120" t="s">
        <v>183</v>
      </c>
      <c r="E26" s="132">
        <v>9.4499999999999993</v>
      </c>
      <c r="F26" s="122">
        <v>0.09</v>
      </c>
      <c r="G26" s="122">
        <v>645.02</v>
      </c>
      <c r="H26" s="93">
        <f t="shared" si="1"/>
        <v>5.8051799999999994E-2</v>
      </c>
      <c r="I26" s="13">
        <f t="shared" si="2"/>
        <v>58.051799999999993</v>
      </c>
      <c r="J26" s="26"/>
      <c r="K26" s="8"/>
      <c r="L26" s="8"/>
      <c r="M26" s="8"/>
    </row>
    <row r="27" spans="1:13" ht="15.75" customHeight="1">
      <c r="A27" s="180" t="s">
        <v>79</v>
      </c>
      <c r="B27" s="180"/>
      <c r="C27" s="180"/>
      <c r="D27" s="180"/>
      <c r="E27" s="180"/>
      <c r="F27" s="180"/>
      <c r="G27" s="180"/>
      <c r="H27" s="180"/>
      <c r="I27" s="180"/>
      <c r="J27" s="26"/>
      <c r="K27" s="8"/>
      <c r="L27" s="8"/>
      <c r="M27" s="8"/>
    </row>
    <row r="28" spans="1:13" ht="15.75" customHeight="1">
      <c r="A28" s="45"/>
      <c r="B28" s="55" t="s">
        <v>26</v>
      </c>
      <c r="C28" s="55"/>
      <c r="D28" s="55"/>
      <c r="E28" s="55"/>
      <c r="F28" s="55"/>
      <c r="G28" s="55"/>
      <c r="H28" s="55"/>
      <c r="I28" s="19"/>
      <c r="J28" s="26"/>
      <c r="K28" s="8"/>
      <c r="L28" s="8"/>
      <c r="M28" s="8"/>
    </row>
    <row r="29" spans="1:13" ht="15.75" customHeight="1">
      <c r="A29" s="45">
        <v>11</v>
      </c>
      <c r="B29" s="120" t="s">
        <v>150</v>
      </c>
      <c r="C29" s="44" t="s">
        <v>52</v>
      </c>
      <c r="D29" s="120" t="s">
        <v>222</v>
      </c>
      <c r="E29" s="122">
        <v>303.39999999999998</v>
      </c>
      <c r="F29" s="122">
        <f>SUM(E29*24)</f>
        <v>7281.5999999999995</v>
      </c>
      <c r="G29" s="122">
        <v>4.67</v>
      </c>
      <c r="H29" s="93">
        <f t="shared" ref="H29:H32" si="3">SUM(F29*G29/1000)</f>
        <v>34.005071999999998</v>
      </c>
      <c r="I29" s="13">
        <f>F29/6*G29</f>
        <v>5667.5119999999997</v>
      </c>
      <c r="J29" s="26"/>
      <c r="K29" s="8"/>
      <c r="L29" s="8"/>
      <c r="M29" s="8"/>
    </row>
    <row r="30" spans="1:13" ht="31.5" customHeight="1">
      <c r="A30" s="45">
        <v>12</v>
      </c>
      <c r="B30" s="120" t="s">
        <v>221</v>
      </c>
      <c r="C30" s="44" t="s">
        <v>93</v>
      </c>
      <c r="D30" s="120" t="s">
        <v>223</v>
      </c>
      <c r="E30" s="122">
        <v>42.5</v>
      </c>
      <c r="F30" s="122">
        <f>SUM(E30*72/1000)</f>
        <v>3.06</v>
      </c>
      <c r="G30" s="122">
        <v>537.1</v>
      </c>
      <c r="H30" s="93">
        <f t="shared" si="3"/>
        <v>1.643526</v>
      </c>
      <c r="I30" s="13">
        <f t="shared" ref="I30:I32" si="4">F30/6*G30</f>
        <v>273.92099999999999</v>
      </c>
      <c r="J30" s="26"/>
      <c r="K30" s="8"/>
      <c r="L30" s="8"/>
      <c r="M30" s="8"/>
    </row>
    <row r="31" spans="1:13" ht="15.75" hidden="1" customHeight="1">
      <c r="A31" s="45">
        <v>16</v>
      </c>
      <c r="B31" s="120" t="s">
        <v>149</v>
      </c>
      <c r="C31" s="44" t="s">
        <v>52</v>
      </c>
      <c r="D31" s="120" t="s">
        <v>51</v>
      </c>
      <c r="E31" s="122">
        <v>632.4</v>
      </c>
      <c r="F31" s="122">
        <f>SUM(E31)</f>
        <v>632.4</v>
      </c>
      <c r="G31" s="122">
        <v>7.07</v>
      </c>
      <c r="H31" s="93">
        <f t="shared" si="3"/>
        <v>4.4710679999999998</v>
      </c>
      <c r="I31" s="13">
        <f>F31*G31</f>
        <v>4471.0680000000002</v>
      </c>
      <c r="J31" s="26"/>
      <c r="K31" s="8"/>
      <c r="L31" s="8"/>
      <c r="M31" s="8"/>
    </row>
    <row r="32" spans="1:13" ht="15.75" customHeight="1">
      <c r="A32" s="45">
        <v>13</v>
      </c>
      <c r="B32" s="120" t="s">
        <v>123</v>
      </c>
      <c r="C32" s="44" t="s">
        <v>38</v>
      </c>
      <c r="D32" s="120" t="s">
        <v>224</v>
      </c>
      <c r="E32" s="122">
        <v>3</v>
      </c>
      <c r="F32" s="122">
        <f>E32*156/100</f>
        <v>4.68</v>
      </c>
      <c r="G32" s="122">
        <v>2018.82</v>
      </c>
      <c r="H32" s="93">
        <f t="shared" si="3"/>
        <v>9.4480775999999995</v>
      </c>
      <c r="I32" s="13">
        <f t="shared" si="4"/>
        <v>1574.6795999999997</v>
      </c>
      <c r="J32" s="26"/>
      <c r="K32" s="8"/>
      <c r="L32" s="8"/>
      <c r="M32" s="8"/>
    </row>
    <row r="33" spans="1:14" ht="15.75" hidden="1" customHeight="1">
      <c r="A33" s="45">
        <v>4</v>
      </c>
      <c r="B33" s="89" t="s">
        <v>61</v>
      </c>
      <c r="C33" s="90" t="s">
        <v>30</v>
      </c>
      <c r="D33" s="89" t="s">
        <v>63</v>
      </c>
      <c r="E33" s="91"/>
      <c r="F33" s="92">
        <v>2</v>
      </c>
      <c r="G33" s="92">
        <v>238.07</v>
      </c>
      <c r="H33" s="93">
        <f t="shared" ref="H33:H34" si="5">SUM(F33*G33/1000)</f>
        <v>0.47614000000000001</v>
      </c>
      <c r="I33" s="13">
        <v>0</v>
      </c>
      <c r="J33" s="26"/>
      <c r="K33" s="8"/>
    </row>
    <row r="34" spans="1:14" ht="15.75" hidden="1" customHeight="1">
      <c r="A34" s="33">
        <v>8</v>
      </c>
      <c r="B34" s="89" t="s">
        <v>62</v>
      </c>
      <c r="C34" s="90" t="s">
        <v>29</v>
      </c>
      <c r="D34" s="89" t="s">
        <v>63</v>
      </c>
      <c r="E34" s="91"/>
      <c r="F34" s="92">
        <v>3</v>
      </c>
      <c r="G34" s="92">
        <v>1413.96</v>
      </c>
      <c r="H34" s="93">
        <f t="shared" si="5"/>
        <v>4.2418800000000001</v>
      </c>
      <c r="I34" s="13">
        <v>0</v>
      </c>
      <c r="J34" s="27"/>
    </row>
    <row r="35" spans="1:14" ht="15.75" hidden="1" customHeight="1">
      <c r="A35" s="45"/>
      <c r="B35" s="53" t="s">
        <v>5</v>
      </c>
      <c r="C35" s="53"/>
      <c r="D35" s="53"/>
      <c r="E35" s="13"/>
      <c r="F35" s="13"/>
      <c r="G35" s="14"/>
      <c r="H35" s="14"/>
      <c r="I35" s="19"/>
      <c r="J35" s="27"/>
    </row>
    <row r="36" spans="1:14" ht="15.75" hidden="1" customHeight="1">
      <c r="A36" s="37">
        <v>6</v>
      </c>
      <c r="B36" s="89" t="s">
        <v>25</v>
      </c>
      <c r="C36" s="90" t="s">
        <v>29</v>
      </c>
      <c r="D36" s="89"/>
      <c r="E36" s="91"/>
      <c r="F36" s="92">
        <v>2</v>
      </c>
      <c r="G36" s="92">
        <v>1900.37</v>
      </c>
      <c r="H36" s="93">
        <f t="shared" ref="H36:H41" si="6">SUM(F36*G36/1000)</f>
        <v>3.8007399999999998</v>
      </c>
      <c r="I36" s="13">
        <f t="shared" ref="I36:I41" si="7">F36/6*G36</f>
        <v>633.45666666666659</v>
      </c>
      <c r="J36" s="27"/>
    </row>
    <row r="37" spans="1:14" ht="15.75" hidden="1" customHeight="1">
      <c r="A37" s="37">
        <v>7</v>
      </c>
      <c r="B37" s="89" t="s">
        <v>64</v>
      </c>
      <c r="C37" s="90" t="s">
        <v>27</v>
      </c>
      <c r="D37" s="89" t="s">
        <v>98</v>
      </c>
      <c r="E37" s="92">
        <v>42.5</v>
      </c>
      <c r="F37" s="92">
        <f>SUM(E37*30/1000)</f>
        <v>1.2749999999999999</v>
      </c>
      <c r="G37" s="92">
        <v>2616.4899999999998</v>
      </c>
      <c r="H37" s="93">
        <f t="shared" si="6"/>
        <v>3.3360247499999995</v>
      </c>
      <c r="I37" s="13">
        <f t="shared" si="7"/>
        <v>556.00412499999993</v>
      </c>
      <c r="J37" s="27"/>
    </row>
    <row r="38" spans="1:14" ht="15.75" hidden="1" customHeight="1">
      <c r="A38" s="37">
        <v>8</v>
      </c>
      <c r="B38" s="89" t="s">
        <v>65</v>
      </c>
      <c r="C38" s="90" t="s">
        <v>27</v>
      </c>
      <c r="D38" s="89" t="s">
        <v>99</v>
      </c>
      <c r="E38" s="92">
        <v>42.5</v>
      </c>
      <c r="F38" s="92">
        <f>SUM(E38*155/1000)</f>
        <v>6.5875000000000004</v>
      </c>
      <c r="G38" s="92">
        <v>436.45</v>
      </c>
      <c r="H38" s="93">
        <f t="shared" si="6"/>
        <v>2.8751143749999999</v>
      </c>
      <c r="I38" s="13">
        <f t="shared" si="7"/>
        <v>479.18572916666665</v>
      </c>
      <c r="J38" s="27"/>
    </row>
    <row r="39" spans="1:14" ht="47.25" hidden="1" customHeight="1">
      <c r="A39" s="37">
        <v>9</v>
      </c>
      <c r="B39" s="89" t="s">
        <v>78</v>
      </c>
      <c r="C39" s="90" t="s">
        <v>93</v>
      </c>
      <c r="D39" s="89" t="s">
        <v>100</v>
      </c>
      <c r="E39" s="92">
        <v>42.5</v>
      </c>
      <c r="F39" s="92">
        <f>SUM(E39*35/1000)</f>
        <v>1.4875</v>
      </c>
      <c r="G39" s="92">
        <v>7221.21</v>
      </c>
      <c r="H39" s="93">
        <f t="shared" si="6"/>
        <v>10.741549875</v>
      </c>
      <c r="I39" s="13">
        <f t="shared" si="7"/>
        <v>1790.2583125000001</v>
      </c>
      <c r="J39" s="27"/>
    </row>
    <row r="40" spans="1:14" ht="15.75" hidden="1" customHeight="1">
      <c r="A40" s="37">
        <v>10</v>
      </c>
      <c r="B40" s="89" t="s">
        <v>101</v>
      </c>
      <c r="C40" s="90" t="s">
        <v>93</v>
      </c>
      <c r="D40" s="89" t="s">
        <v>102</v>
      </c>
      <c r="E40" s="92">
        <v>42.5</v>
      </c>
      <c r="F40" s="92">
        <f>SUM(E40*20/1000)</f>
        <v>0.85</v>
      </c>
      <c r="G40" s="92">
        <v>533.45000000000005</v>
      </c>
      <c r="H40" s="93">
        <f t="shared" si="6"/>
        <v>0.45343250000000002</v>
      </c>
      <c r="I40" s="13">
        <f t="shared" si="7"/>
        <v>75.572083333333339</v>
      </c>
      <c r="J40" s="27"/>
      <c r="L40" s="21"/>
      <c r="M40" s="22"/>
      <c r="N40" s="23"/>
    </row>
    <row r="41" spans="1:14" ht="15.75" hidden="1" customHeight="1">
      <c r="A41" s="37">
        <v>11</v>
      </c>
      <c r="B41" s="89" t="s">
        <v>66</v>
      </c>
      <c r="C41" s="90" t="s">
        <v>30</v>
      </c>
      <c r="D41" s="89"/>
      <c r="E41" s="91"/>
      <c r="F41" s="92">
        <v>0.5</v>
      </c>
      <c r="G41" s="92">
        <v>992.97</v>
      </c>
      <c r="H41" s="93">
        <f t="shared" si="6"/>
        <v>0.49648500000000001</v>
      </c>
      <c r="I41" s="13">
        <f t="shared" si="7"/>
        <v>82.747500000000002</v>
      </c>
      <c r="J41" s="27"/>
      <c r="L41" s="21"/>
      <c r="M41" s="22"/>
      <c r="N41" s="23"/>
    </row>
    <row r="42" spans="1:14" ht="15.75" hidden="1" customHeight="1">
      <c r="A42" s="170" t="s">
        <v>146</v>
      </c>
      <c r="B42" s="171"/>
      <c r="C42" s="171"/>
      <c r="D42" s="171"/>
      <c r="E42" s="171"/>
      <c r="F42" s="171"/>
      <c r="G42" s="171"/>
      <c r="H42" s="171"/>
      <c r="I42" s="172"/>
      <c r="J42" s="27"/>
      <c r="L42" s="21"/>
      <c r="M42" s="22"/>
      <c r="N42" s="23"/>
    </row>
    <row r="43" spans="1:14" ht="15.75" hidden="1" customHeight="1">
      <c r="A43" s="45">
        <v>19</v>
      </c>
      <c r="B43" s="89" t="s">
        <v>103</v>
      </c>
      <c r="C43" s="90" t="s">
        <v>93</v>
      </c>
      <c r="D43" s="89" t="s">
        <v>40</v>
      </c>
      <c r="E43" s="91">
        <v>1060.4000000000001</v>
      </c>
      <c r="F43" s="92">
        <f>SUM(E43*2/1000)</f>
        <v>2.1208</v>
      </c>
      <c r="G43" s="13">
        <v>1283.46</v>
      </c>
      <c r="H43" s="93">
        <f t="shared" ref="H43:H53" si="8">SUM(F43*G43/1000)</f>
        <v>2.721961968</v>
      </c>
      <c r="I43" s="13">
        <f t="shared" ref="I43:I46" si="9">F43/2*G43</f>
        <v>1360.980984</v>
      </c>
      <c r="J43" s="27"/>
      <c r="L43" s="21"/>
      <c r="M43" s="22"/>
      <c r="N43" s="23"/>
    </row>
    <row r="44" spans="1:14" ht="15.75" hidden="1" customHeight="1">
      <c r="A44" s="45">
        <v>20</v>
      </c>
      <c r="B44" s="89" t="s">
        <v>33</v>
      </c>
      <c r="C44" s="90" t="s">
        <v>93</v>
      </c>
      <c r="D44" s="89" t="s">
        <v>40</v>
      </c>
      <c r="E44" s="91">
        <v>19.8</v>
      </c>
      <c r="F44" s="92">
        <f>SUM(E44*2/1000)</f>
        <v>3.9600000000000003E-2</v>
      </c>
      <c r="G44" s="13">
        <v>721.04</v>
      </c>
      <c r="H44" s="93">
        <f t="shared" si="8"/>
        <v>2.8553184000000002E-2</v>
      </c>
      <c r="I44" s="13">
        <f t="shared" si="9"/>
        <v>14.276592000000001</v>
      </c>
      <c r="J44" s="27"/>
      <c r="L44" s="21"/>
      <c r="M44" s="22"/>
      <c r="N44" s="23"/>
    </row>
    <row r="45" spans="1:14" ht="15.75" hidden="1" customHeight="1">
      <c r="A45" s="45">
        <v>21</v>
      </c>
      <c r="B45" s="89" t="s">
        <v>34</v>
      </c>
      <c r="C45" s="90" t="s">
        <v>93</v>
      </c>
      <c r="D45" s="89" t="s">
        <v>40</v>
      </c>
      <c r="E45" s="91">
        <v>660.84</v>
      </c>
      <c r="F45" s="92">
        <f>SUM(E45*2/1000)</f>
        <v>1.32168</v>
      </c>
      <c r="G45" s="13">
        <v>1711.28</v>
      </c>
      <c r="H45" s="93">
        <f t="shared" si="8"/>
        <v>2.2617645503999997</v>
      </c>
      <c r="I45" s="13">
        <f t="shared" si="9"/>
        <v>1130.8822751999999</v>
      </c>
      <c r="J45" s="27"/>
      <c r="L45" s="21"/>
      <c r="M45" s="22"/>
      <c r="N45" s="23"/>
    </row>
    <row r="46" spans="1:14" ht="15.75" hidden="1" customHeight="1">
      <c r="A46" s="45">
        <v>22</v>
      </c>
      <c r="B46" s="89" t="s">
        <v>35</v>
      </c>
      <c r="C46" s="90" t="s">
        <v>93</v>
      </c>
      <c r="D46" s="89" t="s">
        <v>40</v>
      </c>
      <c r="E46" s="91">
        <v>1156.21</v>
      </c>
      <c r="F46" s="92">
        <f>SUM(E46*2/1000)</f>
        <v>2.3124199999999999</v>
      </c>
      <c r="G46" s="13">
        <v>1179.73</v>
      </c>
      <c r="H46" s="93">
        <f t="shared" si="8"/>
        <v>2.7280312466000001</v>
      </c>
      <c r="I46" s="13">
        <f t="shared" si="9"/>
        <v>1364.0156233</v>
      </c>
      <c r="J46" s="27"/>
      <c r="L46" s="21"/>
      <c r="M46" s="22"/>
      <c r="N46" s="23"/>
    </row>
    <row r="47" spans="1:14" ht="15.75" hidden="1" customHeight="1">
      <c r="A47" s="45">
        <v>23</v>
      </c>
      <c r="B47" s="89" t="s">
        <v>31</v>
      </c>
      <c r="C47" s="90" t="s">
        <v>32</v>
      </c>
      <c r="D47" s="89" t="s">
        <v>40</v>
      </c>
      <c r="E47" s="91">
        <v>15.38</v>
      </c>
      <c r="F47" s="92">
        <f>SUM(E47*2/100)</f>
        <v>0.30760000000000004</v>
      </c>
      <c r="G47" s="13">
        <v>90.61</v>
      </c>
      <c r="H47" s="93">
        <f t="shared" si="8"/>
        <v>2.7871636000000002E-2</v>
      </c>
      <c r="I47" s="13">
        <f>F47/2*G47</f>
        <v>13.935818000000001</v>
      </c>
      <c r="J47" s="27"/>
      <c r="L47" s="21"/>
      <c r="M47" s="22"/>
      <c r="N47" s="23"/>
    </row>
    <row r="48" spans="1:14" ht="15.75" hidden="1" customHeight="1">
      <c r="A48" s="45">
        <v>24</v>
      </c>
      <c r="B48" s="89" t="s">
        <v>53</v>
      </c>
      <c r="C48" s="90" t="s">
        <v>93</v>
      </c>
      <c r="D48" s="89" t="s">
        <v>151</v>
      </c>
      <c r="E48" s="91">
        <v>823</v>
      </c>
      <c r="F48" s="92">
        <f>SUM(E48*5/1000)</f>
        <v>4.1150000000000002</v>
      </c>
      <c r="G48" s="13">
        <v>1711.28</v>
      </c>
      <c r="H48" s="93">
        <f t="shared" si="8"/>
        <v>7.0419171999999994</v>
      </c>
      <c r="I48" s="13">
        <f>F48/5*G48</f>
        <v>1408.3834400000001</v>
      </c>
      <c r="J48" s="27"/>
      <c r="L48" s="21"/>
      <c r="M48" s="22"/>
      <c r="N48" s="23"/>
    </row>
    <row r="49" spans="1:14" ht="31.5" hidden="1" customHeight="1">
      <c r="A49" s="45">
        <v>25</v>
      </c>
      <c r="B49" s="89" t="s">
        <v>104</v>
      </c>
      <c r="C49" s="90" t="s">
        <v>93</v>
      </c>
      <c r="D49" s="89" t="s">
        <v>40</v>
      </c>
      <c r="E49" s="91">
        <v>823</v>
      </c>
      <c r="F49" s="92">
        <f>SUM(E49*2/1000)</f>
        <v>1.6459999999999999</v>
      </c>
      <c r="G49" s="13">
        <v>1510.06</v>
      </c>
      <c r="H49" s="93">
        <f t="shared" si="8"/>
        <v>2.48555876</v>
      </c>
      <c r="I49" s="13">
        <f>F49/2*G49</f>
        <v>1242.7793799999999</v>
      </c>
      <c r="J49" s="27"/>
      <c r="L49" s="21"/>
      <c r="M49" s="22"/>
      <c r="N49" s="23"/>
    </row>
    <row r="50" spans="1:14" ht="31.5" hidden="1" customHeight="1">
      <c r="A50" s="45">
        <v>26</v>
      </c>
      <c r="B50" s="89" t="s">
        <v>105</v>
      </c>
      <c r="C50" s="90" t="s">
        <v>36</v>
      </c>
      <c r="D50" s="89" t="s">
        <v>40</v>
      </c>
      <c r="E50" s="91">
        <v>9</v>
      </c>
      <c r="F50" s="92">
        <f>SUM(E50*2/100)</f>
        <v>0.18</v>
      </c>
      <c r="G50" s="13">
        <v>3850.4</v>
      </c>
      <c r="H50" s="93">
        <f t="shared" si="8"/>
        <v>0.69307200000000002</v>
      </c>
      <c r="I50" s="13">
        <f t="shared" ref="I50:I51" si="10">F50/2*G50</f>
        <v>346.536</v>
      </c>
      <c r="J50" s="27"/>
      <c r="L50" s="21"/>
      <c r="M50" s="22"/>
      <c r="N50" s="23"/>
    </row>
    <row r="51" spans="1:14" ht="15.75" hidden="1" customHeight="1">
      <c r="A51" s="45">
        <v>27</v>
      </c>
      <c r="B51" s="89" t="s">
        <v>37</v>
      </c>
      <c r="C51" s="90" t="s">
        <v>38</v>
      </c>
      <c r="D51" s="89" t="s">
        <v>40</v>
      </c>
      <c r="E51" s="91">
        <v>1</v>
      </c>
      <c r="F51" s="92">
        <v>0.02</v>
      </c>
      <c r="G51" s="13">
        <v>7033.13</v>
      </c>
      <c r="H51" s="93">
        <f t="shared" si="8"/>
        <v>0.1406626</v>
      </c>
      <c r="I51" s="13">
        <f t="shared" si="10"/>
        <v>70.331299999999999</v>
      </c>
      <c r="J51" s="27"/>
      <c r="L51" s="21"/>
      <c r="M51" s="22"/>
      <c r="N51" s="23"/>
    </row>
    <row r="52" spans="1:14" ht="15.75" hidden="1" customHeight="1">
      <c r="A52" s="45">
        <v>10</v>
      </c>
      <c r="B52" s="89" t="s">
        <v>124</v>
      </c>
      <c r="C52" s="90" t="s">
        <v>106</v>
      </c>
      <c r="D52" s="89" t="s">
        <v>67</v>
      </c>
      <c r="E52" s="91">
        <v>36</v>
      </c>
      <c r="F52" s="92">
        <f>SUM(E52*3)</f>
        <v>108</v>
      </c>
      <c r="G52" s="13">
        <v>175.6</v>
      </c>
      <c r="H52" s="93">
        <f t="shared" si="8"/>
        <v>18.9648</v>
      </c>
      <c r="I52" s="13">
        <f>E52*G52</f>
        <v>6321.5999999999995</v>
      </c>
      <c r="J52" s="27"/>
      <c r="L52" s="21"/>
      <c r="M52" s="22"/>
      <c r="N52" s="23"/>
    </row>
    <row r="53" spans="1:14" ht="15.75" hidden="1" customHeight="1">
      <c r="A53" s="45">
        <v>11</v>
      </c>
      <c r="B53" s="89" t="s">
        <v>39</v>
      </c>
      <c r="C53" s="90" t="s">
        <v>106</v>
      </c>
      <c r="D53" s="89" t="s">
        <v>67</v>
      </c>
      <c r="E53" s="91">
        <v>36</v>
      </c>
      <c r="F53" s="92">
        <f>SUM(E53)*3</f>
        <v>108</v>
      </c>
      <c r="G53" s="13">
        <v>81.73</v>
      </c>
      <c r="H53" s="93">
        <f t="shared" si="8"/>
        <v>8.8268400000000007</v>
      </c>
      <c r="I53" s="13">
        <f>E53*G53</f>
        <v>2942.28</v>
      </c>
      <c r="J53" s="27"/>
      <c r="L53" s="21"/>
      <c r="M53" s="22"/>
      <c r="N53" s="23"/>
    </row>
    <row r="54" spans="1:14" ht="15.75" customHeight="1">
      <c r="A54" s="170" t="s">
        <v>160</v>
      </c>
      <c r="B54" s="171"/>
      <c r="C54" s="171"/>
      <c r="D54" s="171"/>
      <c r="E54" s="171"/>
      <c r="F54" s="171"/>
      <c r="G54" s="171"/>
      <c r="H54" s="171"/>
      <c r="I54" s="172"/>
      <c r="J54" s="27"/>
      <c r="L54" s="21"/>
      <c r="M54" s="22"/>
      <c r="N54" s="23"/>
    </row>
    <row r="55" spans="1:14" ht="15.75" hidden="1" customHeight="1">
      <c r="A55" s="57"/>
      <c r="B55" s="52" t="s">
        <v>41</v>
      </c>
      <c r="C55" s="17"/>
      <c r="D55" s="16"/>
      <c r="E55" s="16"/>
      <c r="F55" s="16"/>
      <c r="G55" s="33"/>
      <c r="H55" s="33"/>
      <c r="I55" s="19"/>
      <c r="J55" s="27"/>
      <c r="L55" s="21"/>
      <c r="M55" s="22"/>
      <c r="N55" s="23"/>
    </row>
    <row r="56" spans="1:14" ht="31.5" hidden="1" customHeight="1">
      <c r="A56" s="45">
        <v>12</v>
      </c>
      <c r="B56" s="89" t="s">
        <v>152</v>
      </c>
      <c r="C56" s="90" t="s">
        <v>82</v>
      </c>
      <c r="D56" s="89" t="s">
        <v>107</v>
      </c>
      <c r="E56" s="91">
        <v>71.02</v>
      </c>
      <c r="F56" s="92">
        <f>SUM(E56*6/100)</f>
        <v>4.2611999999999997</v>
      </c>
      <c r="G56" s="13">
        <v>2306.62</v>
      </c>
      <c r="H56" s="93">
        <f>SUM(F56*G56/1000)</f>
        <v>9.8289691439999984</v>
      </c>
      <c r="I56" s="13">
        <f>F56/6*G56</f>
        <v>1638.1615239999999</v>
      </c>
      <c r="J56" s="27"/>
      <c r="L56" s="21"/>
      <c r="M56" s="22"/>
      <c r="N56" s="23"/>
    </row>
    <row r="57" spans="1:14" ht="15.75" hidden="1" customHeight="1">
      <c r="A57" s="45"/>
      <c r="B57" s="89" t="s">
        <v>108</v>
      </c>
      <c r="C57" s="90" t="s">
        <v>153</v>
      </c>
      <c r="D57" s="89" t="s">
        <v>63</v>
      </c>
      <c r="E57" s="97"/>
      <c r="F57" s="92">
        <v>2</v>
      </c>
      <c r="G57" s="92">
        <v>1501</v>
      </c>
      <c r="H57" s="93">
        <f>SUM(F57*G57/1000)</f>
        <v>3.0019999999999998</v>
      </c>
      <c r="I57" s="13">
        <v>0</v>
      </c>
      <c r="J57" s="27"/>
      <c r="L57" s="21"/>
      <c r="M57" s="22"/>
      <c r="N57" s="23"/>
    </row>
    <row r="58" spans="1:14" ht="15.75" customHeight="1">
      <c r="A58" s="45"/>
      <c r="B58" s="76" t="s">
        <v>42</v>
      </c>
      <c r="C58" s="76"/>
      <c r="D58" s="76"/>
      <c r="E58" s="76"/>
      <c r="F58" s="76"/>
      <c r="G58" s="76"/>
      <c r="H58" s="76"/>
      <c r="I58" s="39"/>
      <c r="J58" s="27"/>
      <c r="L58" s="21"/>
      <c r="M58" s="22"/>
      <c r="N58" s="23"/>
    </row>
    <row r="59" spans="1:14" ht="15.75" hidden="1" customHeight="1">
      <c r="A59" s="45">
        <v>27</v>
      </c>
      <c r="B59" s="89" t="s">
        <v>154</v>
      </c>
      <c r="C59" s="90" t="s">
        <v>50</v>
      </c>
      <c r="D59" s="89" t="s">
        <v>51</v>
      </c>
      <c r="E59" s="91">
        <v>434.4</v>
      </c>
      <c r="F59" s="93">
        <f>SUM(E59/100)</f>
        <v>4.3439999999999994</v>
      </c>
      <c r="G59" s="13">
        <v>987.51</v>
      </c>
      <c r="H59" s="98">
        <f>F59*G59/1000</f>
        <v>4.2897434399999996</v>
      </c>
      <c r="I59" s="13">
        <v>0</v>
      </c>
      <c r="J59" s="27"/>
      <c r="L59" s="21"/>
      <c r="M59" s="22"/>
      <c r="N59" s="23"/>
    </row>
    <row r="60" spans="1:14" ht="15.75" customHeight="1">
      <c r="A60" s="45">
        <v>14</v>
      </c>
      <c r="B60" s="120" t="s">
        <v>172</v>
      </c>
      <c r="C60" s="44" t="s">
        <v>173</v>
      </c>
      <c r="D60" s="120" t="s">
        <v>184</v>
      </c>
      <c r="E60" s="132">
        <v>12</v>
      </c>
      <c r="F60" s="138">
        <f>E60*12</f>
        <v>144</v>
      </c>
      <c r="G60" s="40">
        <v>1.4</v>
      </c>
      <c r="H60" s="112"/>
      <c r="I60" s="13">
        <f>G60*F60/12</f>
        <v>16.8</v>
      </c>
      <c r="J60" s="27"/>
      <c r="L60" s="21"/>
      <c r="M60" s="22"/>
      <c r="N60" s="23"/>
    </row>
    <row r="61" spans="1:14" ht="15.75" hidden="1" customHeight="1">
      <c r="A61" s="45"/>
      <c r="B61" s="69" t="s">
        <v>125</v>
      </c>
      <c r="C61" s="44"/>
      <c r="D61" s="68"/>
      <c r="E61" s="67"/>
      <c r="F61" s="67"/>
      <c r="G61" s="40"/>
      <c r="H61" s="40"/>
      <c r="I61" s="20"/>
      <c r="J61" s="27"/>
      <c r="L61" s="21"/>
      <c r="M61" s="22"/>
      <c r="N61" s="23"/>
    </row>
    <row r="62" spans="1:14" ht="15.75" hidden="1" customHeight="1">
      <c r="A62" s="45"/>
      <c r="B62" s="89" t="s">
        <v>126</v>
      </c>
      <c r="C62" s="90" t="s">
        <v>106</v>
      </c>
      <c r="D62" s="41" t="s">
        <v>63</v>
      </c>
      <c r="E62" s="91">
        <v>1</v>
      </c>
      <c r="F62" s="92">
        <f>E62</f>
        <v>1</v>
      </c>
      <c r="G62" s="99">
        <v>323.38</v>
      </c>
      <c r="H62" s="93">
        <f t="shared" ref="H62" si="11">SUM(F62*G62/1000)</f>
        <v>0.32338</v>
      </c>
      <c r="I62" s="13">
        <v>0</v>
      </c>
      <c r="J62" s="27"/>
      <c r="L62" s="21"/>
      <c r="M62" s="22"/>
      <c r="N62" s="23"/>
    </row>
    <row r="63" spans="1:14" ht="15.75" hidden="1" customHeight="1">
      <c r="A63" s="45"/>
      <c r="B63" s="76" t="s">
        <v>43</v>
      </c>
      <c r="C63" s="17"/>
      <c r="D63" s="41"/>
      <c r="E63" s="16"/>
      <c r="F63" s="16"/>
      <c r="G63" s="33"/>
      <c r="H63" s="33"/>
      <c r="I63" s="19"/>
      <c r="J63" s="27"/>
      <c r="L63" s="21"/>
      <c r="M63" s="22"/>
      <c r="N63" s="23"/>
    </row>
    <row r="64" spans="1:14" ht="15.75" hidden="1" customHeight="1">
      <c r="A64" s="45">
        <v>17</v>
      </c>
      <c r="B64" s="15" t="s">
        <v>44</v>
      </c>
      <c r="C64" s="17" t="s">
        <v>106</v>
      </c>
      <c r="D64" s="41" t="s">
        <v>63</v>
      </c>
      <c r="E64" s="19">
        <v>10</v>
      </c>
      <c r="F64" s="92">
        <v>10</v>
      </c>
      <c r="G64" s="13">
        <v>276.74</v>
      </c>
      <c r="H64" s="100">
        <f t="shared" ref="H64:H71" si="12">SUM(F64*G64/1000)</f>
        <v>2.7674000000000003</v>
      </c>
      <c r="I64" s="13">
        <v>0</v>
      </c>
      <c r="J64" s="27"/>
      <c r="L64" s="21"/>
      <c r="M64" s="22"/>
      <c r="N64" s="23"/>
    </row>
    <row r="65" spans="1:21" ht="15.75" hidden="1" customHeight="1">
      <c r="A65" s="33">
        <v>29</v>
      </c>
      <c r="B65" s="15" t="s">
        <v>45</v>
      </c>
      <c r="C65" s="17" t="s">
        <v>106</v>
      </c>
      <c r="D65" s="41" t="s">
        <v>63</v>
      </c>
      <c r="E65" s="19">
        <v>3</v>
      </c>
      <c r="F65" s="92">
        <v>3</v>
      </c>
      <c r="G65" s="13">
        <v>94.89</v>
      </c>
      <c r="H65" s="100">
        <f t="shared" si="12"/>
        <v>0.28467000000000003</v>
      </c>
      <c r="I65" s="13">
        <v>0</v>
      </c>
      <c r="J65" s="27"/>
      <c r="L65" s="21"/>
      <c r="M65" s="22"/>
      <c r="N65" s="23"/>
    </row>
    <row r="66" spans="1:21" ht="15.75" hidden="1" customHeight="1">
      <c r="A66" s="33">
        <v>8</v>
      </c>
      <c r="B66" s="15" t="s">
        <v>46</v>
      </c>
      <c r="C66" s="17" t="s">
        <v>109</v>
      </c>
      <c r="D66" s="15" t="s">
        <v>51</v>
      </c>
      <c r="E66" s="91">
        <v>7265</v>
      </c>
      <c r="F66" s="13">
        <f>SUM(E66/100)</f>
        <v>72.650000000000006</v>
      </c>
      <c r="G66" s="13">
        <v>263.99</v>
      </c>
      <c r="H66" s="100">
        <f t="shared" si="12"/>
        <v>19.178873500000002</v>
      </c>
      <c r="I66" s="13">
        <f>F66*G66</f>
        <v>19178.873500000002</v>
      </c>
      <c r="J66" s="27"/>
      <c r="L66" s="21"/>
      <c r="M66" s="22"/>
      <c r="N66" s="23"/>
    </row>
    <row r="67" spans="1:21" ht="15.75" hidden="1" customHeight="1">
      <c r="A67" s="33">
        <v>9</v>
      </c>
      <c r="B67" s="15" t="s">
        <v>47</v>
      </c>
      <c r="C67" s="17" t="s">
        <v>110</v>
      </c>
      <c r="D67" s="15" t="s">
        <v>51</v>
      </c>
      <c r="E67" s="91">
        <v>7265</v>
      </c>
      <c r="F67" s="13">
        <f>SUM(E67/1000)</f>
        <v>7.2649999999999997</v>
      </c>
      <c r="G67" s="13">
        <v>205.57</v>
      </c>
      <c r="H67" s="100">
        <f t="shared" si="12"/>
        <v>1.4934660500000001</v>
      </c>
      <c r="I67" s="13">
        <f t="shared" ref="I67:I70" si="13">F67*G67</f>
        <v>1493.46605</v>
      </c>
      <c r="J67" s="27"/>
      <c r="L67" s="21"/>
      <c r="M67" s="22"/>
      <c r="N67" s="23"/>
    </row>
    <row r="68" spans="1:21" ht="15.75" hidden="1" customHeight="1">
      <c r="A68" s="33">
        <v>10</v>
      </c>
      <c r="B68" s="15" t="s">
        <v>48</v>
      </c>
      <c r="C68" s="17" t="s">
        <v>73</v>
      </c>
      <c r="D68" s="15" t="s">
        <v>51</v>
      </c>
      <c r="E68" s="91">
        <v>1090</v>
      </c>
      <c r="F68" s="13">
        <f>SUM(E68/100)</f>
        <v>10.9</v>
      </c>
      <c r="G68" s="13">
        <v>2581.5300000000002</v>
      </c>
      <c r="H68" s="100">
        <f t="shared" si="12"/>
        <v>28.138677000000005</v>
      </c>
      <c r="I68" s="13">
        <f t="shared" si="13"/>
        <v>28138.677000000003</v>
      </c>
      <c r="J68" s="27"/>
      <c r="L68" s="21"/>
    </row>
    <row r="69" spans="1:21" ht="15.75" hidden="1" customHeight="1">
      <c r="A69" s="33">
        <v>11</v>
      </c>
      <c r="B69" s="101" t="s">
        <v>111</v>
      </c>
      <c r="C69" s="17" t="s">
        <v>30</v>
      </c>
      <c r="D69" s="15"/>
      <c r="E69" s="91">
        <v>7.4</v>
      </c>
      <c r="F69" s="13">
        <f>SUM(E69)</f>
        <v>7.4</v>
      </c>
      <c r="G69" s="13">
        <v>47.45</v>
      </c>
      <c r="H69" s="100">
        <f t="shared" si="12"/>
        <v>0.35113000000000005</v>
      </c>
      <c r="I69" s="13">
        <f t="shared" si="13"/>
        <v>351.13000000000005</v>
      </c>
    </row>
    <row r="70" spans="1:21" ht="15.75" hidden="1" customHeight="1">
      <c r="A70" s="33">
        <v>12</v>
      </c>
      <c r="B70" s="101" t="s">
        <v>155</v>
      </c>
      <c r="C70" s="17" t="s">
        <v>30</v>
      </c>
      <c r="D70" s="15"/>
      <c r="E70" s="91">
        <v>7.4</v>
      </c>
      <c r="F70" s="13">
        <f>SUM(E70)</f>
        <v>7.4</v>
      </c>
      <c r="G70" s="13">
        <v>44.27</v>
      </c>
      <c r="H70" s="100">
        <f t="shared" si="12"/>
        <v>0.327598</v>
      </c>
      <c r="I70" s="13">
        <f t="shared" si="13"/>
        <v>327.59800000000001</v>
      </c>
    </row>
    <row r="71" spans="1:21" ht="15.75" hidden="1" customHeight="1">
      <c r="A71" s="33">
        <v>13</v>
      </c>
      <c r="B71" s="15" t="s">
        <v>54</v>
      </c>
      <c r="C71" s="17" t="s">
        <v>55</v>
      </c>
      <c r="D71" s="15" t="s">
        <v>51</v>
      </c>
      <c r="E71" s="19">
        <v>3</v>
      </c>
      <c r="F71" s="92">
        <f>SUM(E71)</f>
        <v>3</v>
      </c>
      <c r="G71" s="13">
        <v>62.07</v>
      </c>
      <c r="H71" s="100">
        <f t="shared" si="12"/>
        <v>0.18621000000000001</v>
      </c>
      <c r="I71" s="13">
        <v>0</v>
      </c>
    </row>
    <row r="72" spans="1:21" ht="15.75" customHeight="1">
      <c r="A72" s="33"/>
      <c r="B72" s="126" t="s">
        <v>129</v>
      </c>
      <c r="C72" s="70"/>
      <c r="D72" s="35"/>
      <c r="E72" s="12"/>
      <c r="F72" s="12"/>
      <c r="G72" s="40"/>
      <c r="H72" s="40"/>
      <c r="I72" s="19"/>
    </row>
    <row r="73" spans="1:21" ht="30" customHeight="1">
      <c r="A73" s="33">
        <v>15</v>
      </c>
      <c r="B73" s="15" t="s">
        <v>225</v>
      </c>
      <c r="C73" s="33" t="s">
        <v>226</v>
      </c>
      <c r="D73" s="15"/>
      <c r="E73" s="19">
        <v>1832</v>
      </c>
      <c r="F73" s="13">
        <f>E73*12</f>
        <v>21984</v>
      </c>
      <c r="G73" s="13">
        <v>2.7</v>
      </c>
      <c r="H73" s="100">
        <f t="shared" ref="H73" si="14">SUM(F73*G73/1000)</f>
        <v>59.3568</v>
      </c>
      <c r="I73" s="13">
        <f>G73*F73/12</f>
        <v>4946.4000000000005</v>
      </c>
    </row>
    <row r="74" spans="1:21" ht="15.75" hidden="1" customHeight="1">
      <c r="A74" s="57"/>
      <c r="B74" s="76" t="s">
        <v>112</v>
      </c>
      <c r="C74" s="76"/>
      <c r="D74" s="76"/>
      <c r="E74" s="76"/>
      <c r="F74" s="76"/>
      <c r="G74" s="76"/>
      <c r="H74" s="76"/>
      <c r="I74" s="19"/>
      <c r="J74" s="29"/>
      <c r="K74" s="29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15.75" hidden="1" customHeight="1">
      <c r="A75" s="33">
        <v>13</v>
      </c>
      <c r="B75" s="102" t="s">
        <v>113</v>
      </c>
      <c r="C75" s="25"/>
      <c r="D75" s="24"/>
      <c r="E75" s="84"/>
      <c r="F75" s="103">
        <v>1</v>
      </c>
      <c r="G75" s="103">
        <v>1551</v>
      </c>
      <c r="H75" s="13">
        <f>G75*F75/1000</f>
        <v>1.5509999999999999</v>
      </c>
      <c r="I75" s="13">
        <f>G75</f>
        <v>1551</v>
      </c>
      <c r="J75" s="3"/>
      <c r="K75" s="3"/>
      <c r="L75" s="3"/>
      <c r="M75" s="3"/>
      <c r="N75" s="3"/>
      <c r="O75" s="3"/>
      <c r="P75" s="3"/>
      <c r="Q75" s="3"/>
      <c r="S75" s="3"/>
      <c r="T75" s="3"/>
      <c r="U75" s="3"/>
    </row>
    <row r="76" spans="1:21" ht="15.75" hidden="1" customHeight="1">
      <c r="A76" s="33"/>
      <c r="B76" s="53" t="s">
        <v>68</v>
      </c>
      <c r="C76" s="53"/>
      <c r="D76" s="53"/>
      <c r="E76" s="19"/>
      <c r="F76" s="19"/>
      <c r="G76" s="33"/>
      <c r="H76" s="33"/>
      <c r="I76" s="19"/>
      <c r="J76" s="5"/>
      <c r="K76" s="5"/>
      <c r="L76" s="5"/>
      <c r="M76" s="5"/>
      <c r="N76" s="5"/>
      <c r="O76" s="5"/>
      <c r="P76" s="5"/>
      <c r="Q76" s="5"/>
      <c r="R76" s="168"/>
      <c r="S76" s="168"/>
      <c r="T76" s="168"/>
      <c r="U76" s="168"/>
    </row>
    <row r="77" spans="1:21" ht="15.75" hidden="1" customHeight="1">
      <c r="A77" s="33"/>
      <c r="B77" s="15" t="s">
        <v>127</v>
      </c>
      <c r="C77" s="17" t="s">
        <v>114</v>
      </c>
      <c r="D77" s="41" t="s">
        <v>63</v>
      </c>
      <c r="E77" s="19">
        <v>1</v>
      </c>
      <c r="F77" s="13">
        <f>E77</f>
        <v>1</v>
      </c>
      <c r="G77" s="13">
        <v>976.4</v>
      </c>
      <c r="H77" s="100">
        <f>F77*G77/1000</f>
        <v>0.97639999999999993</v>
      </c>
      <c r="I77" s="13">
        <v>0</v>
      </c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</row>
    <row r="78" spans="1:21" ht="15.75" hidden="1" customHeight="1">
      <c r="A78" s="33"/>
      <c r="B78" s="15" t="s">
        <v>115</v>
      </c>
      <c r="C78" s="17" t="s">
        <v>116</v>
      </c>
      <c r="D78" s="15"/>
      <c r="E78" s="19">
        <v>1</v>
      </c>
      <c r="F78" s="13">
        <v>1</v>
      </c>
      <c r="G78" s="13">
        <v>750</v>
      </c>
      <c r="H78" s="100">
        <f>F78*G78/1000</f>
        <v>0.75</v>
      </c>
      <c r="I78" s="13">
        <v>0</v>
      </c>
    </row>
    <row r="79" spans="1:21" ht="15.75" hidden="1" customHeight="1">
      <c r="A79" s="33"/>
      <c r="B79" s="15" t="s">
        <v>69</v>
      </c>
      <c r="C79" s="17" t="s">
        <v>71</v>
      </c>
      <c r="D79" s="41" t="s">
        <v>63</v>
      </c>
      <c r="E79" s="19">
        <v>3</v>
      </c>
      <c r="F79" s="13">
        <f>SUM(E79/100)</f>
        <v>0.03</v>
      </c>
      <c r="G79" s="13">
        <v>624.16999999999996</v>
      </c>
      <c r="H79" s="100">
        <f>F79*G79/1000</f>
        <v>1.8725099999999998E-2</v>
      </c>
      <c r="I79" s="13">
        <v>0</v>
      </c>
    </row>
    <row r="80" spans="1:21" ht="15.75" hidden="1" customHeight="1">
      <c r="A80" s="33"/>
      <c r="B80" s="15" t="s">
        <v>70</v>
      </c>
      <c r="C80" s="17" t="s">
        <v>28</v>
      </c>
      <c r="D80" s="41" t="s">
        <v>63</v>
      </c>
      <c r="E80" s="19">
        <v>1</v>
      </c>
      <c r="F80" s="13">
        <v>1</v>
      </c>
      <c r="G80" s="13">
        <v>1061.4100000000001</v>
      </c>
      <c r="H80" s="100">
        <f>F80*G80/1000</f>
        <v>1.0614100000000002</v>
      </c>
      <c r="I80" s="13">
        <v>0</v>
      </c>
    </row>
    <row r="81" spans="1:9" ht="15.75" hidden="1" customHeight="1">
      <c r="A81" s="33">
        <v>17</v>
      </c>
      <c r="B81" s="15" t="s">
        <v>128</v>
      </c>
      <c r="C81" s="17" t="s">
        <v>28</v>
      </c>
      <c r="D81" s="41" t="s">
        <v>63</v>
      </c>
      <c r="E81" s="19">
        <v>1</v>
      </c>
      <c r="F81" s="92">
        <f>SUM(E81)</f>
        <v>1</v>
      </c>
      <c r="G81" s="13">
        <v>446.12</v>
      </c>
      <c r="H81" s="100">
        <f t="shared" ref="H81" si="15">SUM(F81*G81/1000)</f>
        <v>0.44612000000000002</v>
      </c>
      <c r="I81" s="13">
        <v>0</v>
      </c>
    </row>
    <row r="82" spans="1:9" ht="15.75" hidden="1" customHeight="1">
      <c r="A82" s="33"/>
      <c r="B82" s="54" t="s">
        <v>72</v>
      </c>
      <c r="C82" s="42"/>
      <c r="D82" s="33"/>
      <c r="E82" s="19"/>
      <c r="F82" s="19"/>
      <c r="G82" s="40"/>
      <c r="H82" s="40"/>
      <c r="I82" s="19"/>
    </row>
    <row r="83" spans="1:9" ht="15.75" hidden="1" customHeight="1">
      <c r="A83" s="33">
        <v>39</v>
      </c>
      <c r="B83" s="56" t="s">
        <v>117</v>
      </c>
      <c r="C83" s="17" t="s">
        <v>73</v>
      </c>
      <c r="D83" s="15"/>
      <c r="E83" s="19"/>
      <c r="F83" s="13">
        <v>1.35</v>
      </c>
      <c r="G83" s="13">
        <v>3433.68</v>
      </c>
      <c r="H83" s="100">
        <f t="shared" ref="H83" si="16">SUM(F83*G83/1000)</f>
        <v>4.6354679999999995</v>
      </c>
      <c r="I83" s="13">
        <v>0</v>
      </c>
    </row>
    <row r="84" spans="1:9" ht="15.75" hidden="1" customHeight="1">
      <c r="A84" s="33"/>
      <c r="B84" s="76" t="s">
        <v>129</v>
      </c>
      <c r="C84" s="70"/>
      <c r="D84" s="35"/>
      <c r="E84" s="12"/>
      <c r="F84" s="12"/>
      <c r="G84" s="40"/>
      <c r="H84" s="40"/>
      <c r="I84" s="19"/>
    </row>
    <row r="85" spans="1:9" ht="31.5" hidden="1" customHeight="1">
      <c r="A85" s="33"/>
      <c r="B85" s="15" t="s">
        <v>130</v>
      </c>
      <c r="C85" s="17" t="s">
        <v>131</v>
      </c>
      <c r="D85" s="41" t="s">
        <v>63</v>
      </c>
      <c r="E85" s="19">
        <v>6</v>
      </c>
      <c r="F85" s="13">
        <f>E85</f>
        <v>6</v>
      </c>
      <c r="G85" s="13">
        <v>297.44</v>
      </c>
      <c r="H85" s="100">
        <f t="shared" ref="H85:H95" si="17">SUM(F85*G85/1000)</f>
        <v>1.7846399999999998</v>
      </c>
      <c r="I85" s="13">
        <v>0</v>
      </c>
    </row>
    <row r="86" spans="1:9" ht="15.75" hidden="1" customHeight="1">
      <c r="A86" s="33">
        <v>8</v>
      </c>
      <c r="B86" s="15" t="s">
        <v>132</v>
      </c>
      <c r="C86" s="17" t="s">
        <v>77</v>
      </c>
      <c r="D86" s="41" t="s">
        <v>63</v>
      </c>
      <c r="E86" s="19">
        <v>12</v>
      </c>
      <c r="F86" s="13">
        <f>E86</f>
        <v>12</v>
      </c>
      <c r="G86" s="13">
        <v>122.35</v>
      </c>
      <c r="H86" s="100">
        <f t="shared" si="17"/>
        <v>1.4681999999999997</v>
      </c>
      <c r="I86" s="13">
        <f>G86*6</f>
        <v>734.09999999999991</v>
      </c>
    </row>
    <row r="87" spans="1:9" ht="15.75" hidden="1" customHeight="1">
      <c r="A87" s="33">
        <v>12</v>
      </c>
      <c r="B87" s="15" t="s">
        <v>133</v>
      </c>
      <c r="C87" s="17" t="s">
        <v>134</v>
      </c>
      <c r="D87" s="41" t="s">
        <v>63</v>
      </c>
      <c r="E87" s="19">
        <v>9</v>
      </c>
      <c r="F87" s="13">
        <f>E87/3</f>
        <v>3</v>
      </c>
      <c r="G87" s="13">
        <v>1063.47</v>
      </c>
      <c r="H87" s="100">
        <f t="shared" si="17"/>
        <v>3.19041</v>
      </c>
      <c r="I87" s="13">
        <f>G87*((10+10+10+15+10)/3)</f>
        <v>19496.95</v>
      </c>
    </row>
    <row r="88" spans="1:9" ht="31.5" hidden="1" customHeight="1">
      <c r="A88" s="33"/>
      <c r="B88" s="15" t="s">
        <v>135</v>
      </c>
      <c r="C88" s="17" t="s">
        <v>136</v>
      </c>
      <c r="D88" s="41" t="s">
        <v>63</v>
      </c>
      <c r="E88" s="19">
        <v>10</v>
      </c>
      <c r="F88" s="13">
        <f>E88/10</f>
        <v>1</v>
      </c>
      <c r="G88" s="13">
        <v>297.99</v>
      </c>
      <c r="H88" s="100">
        <f t="shared" si="17"/>
        <v>0.29799000000000003</v>
      </c>
      <c r="I88" s="13">
        <v>0</v>
      </c>
    </row>
    <row r="89" spans="1:9" ht="31.5" hidden="1" customHeight="1">
      <c r="A89" s="33"/>
      <c r="B89" s="15" t="s">
        <v>137</v>
      </c>
      <c r="C89" s="17" t="s">
        <v>77</v>
      </c>
      <c r="D89" s="41" t="s">
        <v>63</v>
      </c>
      <c r="E89" s="19">
        <v>6</v>
      </c>
      <c r="F89" s="13">
        <f t="shared" ref="F89:F94" si="18">E89</f>
        <v>6</v>
      </c>
      <c r="G89" s="13">
        <v>1564.44</v>
      </c>
      <c r="H89" s="100">
        <f t="shared" si="17"/>
        <v>9.3866399999999999</v>
      </c>
      <c r="I89" s="13">
        <v>0</v>
      </c>
    </row>
    <row r="90" spans="1:9" ht="31.5" hidden="1" customHeight="1">
      <c r="A90" s="33"/>
      <c r="B90" s="15" t="s">
        <v>138</v>
      </c>
      <c r="C90" s="17" t="s">
        <v>77</v>
      </c>
      <c r="D90" s="41" t="s">
        <v>63</v>
      </c>
      <c r="E90" s="19">
        <v>6</v>
      </c>
      <c r="F90" s="13">
        <f t="shared" si="18"/>
        <v>6</v>
      </c>
      <c r="G90" s="13">
        <v>1906.89</v>
      </c>
      <c r="H90" s="100">
        <f t="shared" si="17"/>
        <v>11.44134</v>
      </c>
      <c r="I90" s="13">
        <v>0</v>
      </c>
    </row>
    <row r="91" spans="1:9" ht="31.5" hidden="1" customHeight="1">
      <c r="A91" s="33"/>
      <c r="B91" s="15" t="s">
        <v>139</v>
      </c>
      <c r="C91" s="17" t="s">
        <v>77</v>
      </c>
      <c r="D91" s="41" t="s">
        <v>63</v>
      </c>
      <c r="E91" s="19">
        <v>6</v>
      </c>
      <c r="F91" s="13">
        <f t="shared" si="18"/>
        <v>6</v>
      </c>
      <c r="G91" s="13">
        <v>664.35</v>
      </c>
      <c r="H91" s="100">
        <f t="shared" si="17"/>
        <v>3.9861000000000004</v>
      </c>
      <c r="I91" s="13">
        <v>0</v>
      </c>
    </row>
    <row r="92" spans="1:9" ht="31.5" hidden="1" customHeight="1">
      <c r="A92" s="33"/>
      <c r="B92" s="15" t="s">
        <v>140</v>
      </c>
      <c r="C92" s="17" t="s">
        <v>77</v>
      </c>
      <c r="D92" s="41" t="s">
        <v>63</v>
      </c>
      <c r="E92" s="19">
        <v>6</v>
      </c>
      <c r="F92" s="13">
        <f t="shared" si="18"/>
        <v>6</v>
      </c>
      <c r="G92" s="13">
        <v>778.85</v>
      </c>
      <c r="H92" s="100">
        <f t="shared" si="17"/>
        <v>4.6731000000000007</v>
      </c>
      <c r="I92" s="13">
        <v>0</v>
      </c>
    </row>
    <row r="93" spans="1:9" ht="15.75" hidden="1" customHeight="1">
      <c r="A93" s="33"/>
      <c r="B93" s="15" t="s">
        <v>141</v>
      </c>
      <c r="C93" s="17" t="s">
        <v>114</v>
      </c>
      <c r="D93" s="41" t="s">
        <v>63</v>
      </c>
      <c r="E93" s="19">
        <v>4</v>
      </c>
      <c r="F93" s="13">
        <f t="shared" si="18"/>
        <v>4</v>
      </c>
      <c r="G93" s="13">
        <v>498.11</v>
      </c>
      <c r="H93" s="100">
        <f t="shared" si="17"/>
        <v>1.99244</v>
      </c>
      <c r="I93" s="13">
        <v>0</v>
      </c>
    </row>
    <row r="94" spans="1:9" ht="31.5" hidden="1" customHeight="1">
      <c r="A94" s="33"/>
      <c r="B94" s="15" t="s">
        <v>142</v>
      </c>
      <c r="C94" s="17" t="s">
        <v>77</v>
      </c>
      <c r="D94" s="41" t="s">
        <v>63</v>
      </c>
      <c r="E94" s="19">
        <v>6</v>
      </c>
      <c r="F94" s="13">
        <f t="shared" si="18"/>
        <v>6</v>
      </c>
      <c r="G94" s="13">
        <v>1264.3399999999999</v>
      </c>
      <c r="H94" s="100">
        <f t="shared" si="17"/>
        <v>7.5860399999999988</v>
      </c>
      <c r="I94" s="13">
        <v>0</v>
      </c>
    </row>
    <row r="95" spans="1:9" ht="15.75" hidden="1" customHeight="1">
      <c r="A95" s="33">
        <v>33</v>
      </c>
      <c r="B95" s="15" t="s">
        <v>143</v>
      </c>
      <c r="C95" s="17" t="s">
        <v>27</v>
      </c>
      <c r="D95" s="15" t="s">
        <v>40</v>
      </c>
      <c r="E95" s="19">
        <v>823</v>
      </c>
      <c r="F95" s="13">
        <f>E95*2/1000</f>
        <v>1.6459999999999999</v>
      </c>
      <c r="G95" s="13">
        <v>1707.71</v>
      </c>
      <c r="H95" s="100">
        <f t="shared" si="17"/>
        <v>2.8108906600000001</v>
      </c>
      <c r="I95" s="13">
        <f>F95/2*G95</f>
        <v>1405.44533</v>
      </c>
    </row>
    <row r="96" spans="1:9" ht="15.75" customHeight="1">
      <c r="A96" s="181" t="s">
        <v>161</v>
      </c>
      <c r="B96" s="182"/>
      <c r="C96" s="182"/>
      <c r="D96" s="182"/>
      <c r="E96" s="182"/>
      <c r="F96" s="182"/>
      <c r="G96" s="182"/>
      <c r="H96" s="182"/>
      <c r="I96" s="183"/>
    </row>
    <row r="97" spans="1:15" ht="15.75" customHeight="1">
      <c r="A97" s="33">
        <v>16</v>
      </c>
      <c r="B97" s="120" t="s">
        <v>118</v>
      </c>
      <c r="C97" s="42" t="s">
        <v>52</v>
      </c>
      <c r="D97" s="142"/>
      <c r="E97" s="40">
        <v>1832</v>
      </c>
      <c r="F97" s="40">
        <f>SUM(E97*12)</f>
        <v>21984</v>
      </c>
      <c r="G97" s="40">
        <v>3.93</v>
      </c>
      <c r="H97" s="100">
        <f>SUM(F97*G97/1000)</f>
        <v>86.397120000000015</v>
      </c>
      <c r="I97" s="13">
        <f>F97/12*G97</f>
        <v>7199.76</v>
      </c>
    </row>
    <row r="98" spans="1:15" ht="31.5" customHeight="1">
      <c r="A98" s="33">
        <v>17</v>
      </c>
      <c r="B98" s="41" t="s">
        <v>227</v>
      </c>
      <c r="C98" s="42" t="s">
        <v>156</v>
      </c>
      <c r="D98" s="143"/>
      <c r="E98" s="132">
        <f>E97</f>
        <v>1832</v>
      </c>
      <c r="F98" s="40">
        <f>E98*12</f>
        <v>21984</v>
      </c>
      <c r="G98" s="40">
        <v>3.6</v>
      </c>
      <c r="H98" s="100">
        <f>F98*G98/1000</f>
        <v>79.142400000000009</v>
      </c>
      <c r="I98" s="13">
        <f>F98/12*G98</f>
        <v>6595.2</v>
      </c>
    </row>
    <row r="99" spans="1:15" ht="15.75" customHeight="1">
      <c r="A99" s="57"/>
      <c r="B99" s="43" t="s">
        <v>76</v>
      </c>
      <c r="C99" s="45"/>
      <c r="D99" s="16"/>
      <c r="E99" s="16"/>
      <c r="F99" s="16"/>
      <c r="G99" s="19"/>
      <c r="H99" s="19"/>
      <c r="I99" s="36">
        <f>I98+I97+I73+I60+I32+I30+I29+I26+I25+I24+I23+I22+I21+I20+I18+I17+I16</f>
        <v>38951.478027999998</v>
      </c>
    </row>
    <row r="100" spans="1:15" ht="15.75" customHeight="1">
      <c r="A100" s="188" t="s">
        <v>57</v>
      </c>
      <c r="B100" s="188"/>
      <c r="C100" s="188"/>
      <c r="D100" s="188"/>
      <c r="E100" s="188"/>
      <c r="F100" s="188"/>
      <c r="G100" s="188"/>
      <c r="H100" s="188"/>
      <c r="I100" s="188"/>
    </row>
    <row r="101" spans="1:15" ht="15.75" customHeight="1">
      <c r="A101" s="46">
        <v>18</v>
      </c>
      <c r="B101" s="116" t="s">
        <v>103</v>
      </c>
      <c r="C101" s="117" t="s">
        <v>27</v>
      </c>
      <c r="D101" s="143" t="s">
        <v>184</v>
      </c>
      <c r="E101" s="40"/>
      <c r="F101" s="40">
        <v>0.1</v>
      </c>
      <c r="G101" s="40">
        <v>1255.53</v>
      </c>
      <c r="H101" s="40">
        <f>G101*F101/1000</f>
        <v>0.125553</v>
      </c>
      <c r="I101" s="40">
        <v>0</v>
      </c>
      <c r="J101" s="146"/>
      <c r="K101" s="146"/>
      <c r="L101" s="146"/>
      <c r="M101" s="146"/>
      <c r="N101" s="146"/>
      <c r="O101" s="146"/>
    </row>
    <row r="102" spans="1:15" ht="30.75" customHeight="1">
      <c r="A102" s="33">
        <v>19</v>
      </c>
      <c r="B102" s="116" t="s">
        <v>236</v>
      </c>
      <c r="C102" s="117" t="s">
        <v>237</v>
      </c>
      <c r="D102" s="143"/>
      <c r="E102" s="40"/>
      <c r="F102" s="40">
        <v>1</v>
      </c>
      <c r="G102" s="40">
        <v>12526.84</v>
      </c>
      <c r="H102" s="40">
        <f>G102*F102/1000</f>
        <v>12.52684</v>
      </c>
      <c r="I102" s="40">
        <f>G102*1</f>
        <v>12526.84</v>
      </c>
      <c r="J102" s="146"/>
      <c r="K102" s="146"/>
      <c r="L102" s="146"/>
      <c r="M102" s="146"/>
      <c r="N102" s="146"/>
      <c r="O102" s="146"/>
    </row>
    <row r="103" spans="1:15" ht="15.75" customHeight="1">
      <c r="A103" s="46">
        <v>20</v>
      </c>
      <c r="B103" s="116" t="s">
        <v>132</v>
      </c>
      <c r="C103" s="117" t="s">
        <v>176</v>
      </c>
      <c r="D103" s="143" t="s">
        <v>240</v>
      </c>
      <c r="E103" s="40"/>
      <c r="F103" s="40">
        <v>8</v>
      </c>
      <c r="G103" s="40">
        <v>295.36</v>
      </c>
      <c r="H103" s="40">
        <f>G103*F103/1000</f>
        <v>2.3628800000000001</v>
      </c>
      <c r="I103" s="40">
        <v>0</v>
      </c>
      <c r="J103" s="146"/>
      <c r="K103" s="146"/>
      <c r="L103" s="146"/>
      <c r="M103" s="146"/>
      <c r="N103" s="146"/>
      <c r="O103" s="146"/>
    </row>
    <row r="104" spans="1:15" ht="15.75" customHeight="1">
      <c r="A104" s="46">
        <v>21</v>
      </c>
      <c r="B104" s="116" t="s">
        <v>238</v>
      </c>
      <c r="C104" s="117" t="s">
        <v>239</v>
      </c>
      <c r="D104" s="143"/>
      <c r="E104" s="40"/>
      <c r="F104" s="40">
        <v>1</v>
      </c>
      <c r="G104" s="40">
        <v>236.08</v>
      </c>
      <c r="H104" s="40">
        <f>G104*F104/1000</f>
        <v>0.23608000000000001</v>
      </c>
      <c r="I104" s="40">
        <f>G104*1</f>
        <v>236.08</v>
      </c>
      <c r="J104" s="146"/>
      <c r="K104" s="146"/>
      <c r="L104" s="146"/>
      <c r="M104" s="146"/>
      <c r="N104" s="146"/>
      <c r="O104" s="146"/>
    </row>
    <row r="105" spans="1:15" ht="29.25" customHeight="1">
      <c r="A105" s="33">
        <v>22</v>
      </c>
      <c r="B105" s="116" t="s">
        <v>241</v>
      </c>
      <c r="C105" s="117" t="s">
        <v>77</v>
      </c>
      <c r="D105" s="143" t="s">
        <v>247</v>
      </c>
      <c r="E105" s="40"/>
      <c r="F105" s="40">
        <v>1</v>
      </c>
      <c r="G105" s="40">
        <v>889.71</v>
      </c>
      <c r="H105" s="40"/>
      <c r="I105" s="40">
        <f>G105*1</f>
        <v>889.71</v>
      </c>
      <c r="J105" s="146"/>
      <c r="K105" s="146"/>
      <c r="L105" s="146"/>
      <c r="M105" s="146"/>
      <c r="N105" s="146"/>
      <c r="O105" s="146"/>
    </row>
    <row r="106" spans="1:15" ht="15.75" customHeight="1">
      <c r="A106" s="46">
        <v>23</v>
      </c>
      <c r="B106" s="116" t="s">
        <v>242</v>
      </c>
      <c r="C106" s="117" t="s">
        <v>106</v>
      </c>
      <c r="D106" s="143"/>
      <c r="E106" s="40"/>
      <c r="F106" s="40">
        <v>1</v>
      </c>
      <c r="G106" s="40">
        <v>224.48</v>
      </c>
      <c r="H106" s="40"/>
      <c r="I106" s="40">
        <f>G106*1</f>
        <v>224.48</v>
      </c>
      <c r="J106" s="146"/>
      <c r="K106" s="146"/>
      <c r="L106" s="146"/>
      <c r="M106" s="146"/>
      <c r="N106" s="146"/>
      <c r="O106" s="146"/>
    </row>
    <row r="107" spans="1:15" ht="15.75" customHeight="1">
      <c r="A107" s="46">
        <v>24</v>
      </c>
      <c r="B107" s="116" t="s">
        <v>243</v>
      </c>
      <c r="C107" s="117" t="s">
        <v>106</v>
      </c>
      <c r="D107" s="143" t="s">
        <v>246</v>
      </c>
      <c r="E107" s="40"/>
      <c r="F107" s="40">
        <v>1</v>
      </c>
      <c r="G107" s="40">
        <v>725.12</v>
      </c>
      <c r="H107" s="40"/>
      <c r="I107" s="40">
        <f>G107*1</f>
        <v>725.12</v>
      </c>
      <c r="J107" s="146"/>
      <c r="K107" s="146"/>
      <c r="L107" s="146"/>
      <c r="M107" s="146"/>
      <c r="N107" s="146"/>
      <c r="O107" s="146"/>
    </row>
    <row r="108" spans="1:15" ht="15.75" customHeight="1">
      <c r="A108" s="33"/>
      <c r="B108" s="50" t="s">
        <v>49</v>
      </c>
      <c r="C108" s="46"/>
      <c r="D108" s="58"/>
      <c r="E108" s="46">
        <v>1</v>
      </c>
      <c r="F108" s="46"/>
      <c r="G108" s="46"/>
      <c r="H108" s="46"/>
      <c r="I108" s="36">
        <f>SUM(I101:I107)</f>
        <v>14602.230000000001</v>
      </c>
    </row>
    <row r="109" spans="1:15" ht="15.75" customHeight="1">
      <c r="A109" s="33"/>
      <c r="B109" s="56" t="s">
        <v>75</v>
      </c>
      <c r="C109" s="16"/>
      <c r="D109" s="16"/>
      <c r="E109" s="47"/>
      <c r="F109" s="47"/>
      <c r="G109" s="48"/>
      <c r="H109" s="48"/>
      <c r="I109" s="18">
        <v>0</v>
      </c>
    </row>
    <row r="110" spans="1:15" ht="15.75" customHeight="1">
      <c r="A110" s="59"/>
      <c r="B110" s="51" t="s">
        <v>157</v>
      </c>
      <c r="C110" s="38"/>
      <c r="D110" s="38"/>
      <c r="E110" s="38"/>
      <c r="F110" s="38"/>
      <c r="G110" s="38"/>
      <c r="H110" s="38"/>
      <c r="I110" s="49">
        <f>I99+I108</f>
        <v>53553.708028000001</v>
      </c>
    </row>
    <row r="111" spans="1:15" ht="15.75" customHeight="1">
      <c r="A111" s="173" t="s">
        <v>244</v>
      </c>
      <c r="B111" s="173"/>
      <c r="C111" s="173"/>
      <c r="D111" s="173"/>
      <c r="E111" s="173"/>
      <c r="F111" s="173"/>
      <c r="G111" s="173"/>
      <c r="H111" s="173"/>
      <c r="I111" s="173"/>
    </row>
    <row r="112" spans="1:15" ht="15.75" customHeight="1">
      <c r="A112" s="77"/>
      <c r="B112" s="187" t="s">
        <v>245</v>
      </c>
      <c r="C112" s="187"/>
      <c r="D112" s="187"/>
      <c r="E112" s="187"/>
      <c r="F112" s="187"/>
      <c r="G112" s="187"/>
      <c r="H112" s="87"/>
      <c r="I112" s="3"/>
    </row>
    <row r="113" spans="1:9" ht="15.75" customHeight="1">
      <c r="A113" s="71"/>
      <c r="B113" s="161" t="s">
        <v>6</v>
      </c>
      <c r="C113" s="161"/>
      <c r="D113" s="161"/>
      <c r="E113" s="161"/>
      <c r="F113" s="161"/>
      <c r="G113" s="161"/>
      <c r="H113" s="28"/>
      <c r="I113" s="5"/>
    </row>
    <row r="114" spans="1:9" ht="15.75" customHeight="1">
      <c r="A114" s="9"/>
      <c r="B114" s="9"/>
      <c r="C114" s="9"/>
      <c r="D114" s="9"/>
      <c r="E114" s="9"/>
      <c r="F114" s="9"/>
      <c r="G114" s="9"/>
      <c r="H114" s="9"/>
      <c r="I114" s="9"/>
    </row>
    <row r="115" spans="1:9" ht="15.75" customHeight="1">
      <c r="A115" s="162" t="s">
        <v>7</v>
      </c>
      <c r="B115" s="162"/>
      <c r="C115" s="162"/>
      <c r="D115" s="162"/>
      <c r="E115" s="162"/>
      <c r="F115" s="162"/>
      <c r="G115" s="162"/>
      <c r="H115" s="162"/>
      <c r="I115" s="162"/>
    </row>
    <row r="116" spans="1:9" ht="15.75" customHeight="1">
      <c r="A116" s="162" t="s">
        <v>8</v>
      </c>
      <c r="B116" s="162"/>
      <c r="C116" s="162"/>
      <c r="D116" s="162"/>
      <c r="E116" s="162"/>
      <c r="F116" s="162"/>
      <c r="G116" s="162"/>
      <c r="H116" s="162"/>
      <c r="I116" s="162"/>
    </row>
    <row r="117" spans="1:9" ht="15.75" customHeight="1">
      <c r="A117" s="163" t="s">
        <v>58</v>
      </c>
      <c r="B117" s="163"/>
      <c r="C117" s="163"/>
      <c r="D117" s="163"/>
      <c r="E117" s="163"/>
      <c r="F117" s="163"/>
      <c r="G117" s="163"/>
      <c r="H117" s="163"/>
      <c r="I117" s="163"/>
    </row>
    <row r="118" spans="1:9" ht="15.75" customHeight="1">
      <c r="A118" s="10"/>
    </row>
    <row r="119" spans="1:9" ht="15.75" customHeight="1">
      <c r="A119" s="164" t="s">
        <v>9</v>
      </c>
      <c r="B119" s="164"/>
      <c r="C119" s="164"/>
      <c r="D119" s="164"/>
      <c r="E119" s="164"/>
      <c r="F119" s="164"/>
      <c r="G119" s="164"/>
      <c r="H119" s="164"/>
      <c r="I119" s="164"/>
    </row>
    <row r="120" spans="1:9" ht="15.75" customHeight="1">
      <c r="A120" s="4"/>
    </row>
    <row r="121" spans="1:9" ht="15.75" customHeight="1">
      <c r="B121" s="74" t="s">
        <v>10</v>
      </c>
      <c r="C121" s="165" t="s">
        <v>195</v>
      </c>
      <c r="D121" s="165"/>
      <c r="E121" s="165"/>
      <c r="F121" s="85"/>
      <c r="I121" s="73"/>
    </row>
    <row r="122" spans="1:9" ht="15.75" customHeight="1">
      <c r="A122" s="71"/>
      <c r="C122" s="161" t="s">
        <v>11</v>
      </c>
      <c r="D122" s="161"/>
      <c r="E122" s="161"/>
      <c r="F122" s="28"/>
      <c r="I122" s="72" t="s">
        <v>12</v>
      </c>
    </row>
    <row r="123" spans="1:9" ht="15.75" customHeight="1">
      <c r="A123" s="29"/>
      <c r="C123" s="11"/>
      <c r="D123" s="11"/>
      <c r="G123" s="11"/>
      <c r="H123" s="11"/>
    </row>
    <row r="124" spans="1:9" ht="15.75" customHeight="1">
      <c r="B124" s="74" t="s">
        <v>13</v>
      </c>
      <c r="C124" s="166"/>
      <c r="D124" s="166"/>
      <c r="E124" s="166"/>
      <c r="F124" s="86"/>
      <c r="I124" s="73"/>
    </row>
    <row r="125" spans="1:9" ht="15.75" customHeight="1">
      <c r="A125" s="71"/>
      <c r="C125" s="168" t="s">
        <v>11</v>
      </c>
      <c r="D125" s="168"/>
      <c r="E125" s="168"/>
      <c r="F125" s="71"/>
      <c r="I125" s="72" t="s">
        <v>12</v>
      </c>
    </row>
    <row r="126" spans="1:9" ht="15.75" customHeight="1">
      <c r="A126" s="4" t="s">
        <v>14</v>
      </c>
    </row>
    <row r="127" spans="1:9" ht="15.75" customHeight="1">
      <c r="A127" s="169" t="s">
        <v>15</v>
      </c>
      <c r="B127" s="169"/>
      <c r="C127" s="169"/>
      <c r="D127" s="169"/>
      <c r="E127" s="169"/>
      <c r="F127" s="169"/>
      <c r="G127" s="169"/>
      <c r="H127" s="169"/>
      <c r="I127" s="169"/>
    </row>
    <row r="128" spans="1:9" ht="45" customHeight="1">
      <c r="A128" s="167" t="s">
        <v>16</v>
      </c>
      <c r="B128" s="167"/>
      <c r="C128" s="167"/>
      <c r="D128" s="167"/>
      <c r="E128" s="167"/>
      <c r="F128" s="167"/>
      <c r="G128" s="167"/>
      <c r="H128" s="167"/>
      <c r="I128" s="167"/>
    </row>
    <row r="129" spans="1:9" ht="30" customHeight="1">
      <c r="A129" s="167" t="s">
        <v>17</v>
      </c>
      <c r="B129" s="167"/>
      <c r="C129" s="167"/>
      <c r="D129" s="167"/>
      <c r="E129" s="167"/>
      <c r="F129" s="167"/>
      <c r="G129" s="167"/>
      <c r="H129" s="167"/>
      <c r="I129" s="167"/>
    </row>
    <row r="130" spans="1:9" ht="30" customHeight="1">
      <c r="A130" s="167" t="s">
        <v>21</v>
      </c>
      <c r="B130" s="167"/>
      <c r="C130" s="167"/>
      <c r="D130" s="167"/>
      <c r="E130" s="167"/>
      <c r="F130" s="167"/>
      <c r="G130" s="167"/>
      <c r="H130" s="167"/>
      <c r="I130" s="167"/>
    </row>
    <row r="131" spans="1:9" ht="15" customHeight="1">
      <c r="A131" s="167" t="s">
        <v>20</v>
      </c>
      <c r="B131" s="167"/>
      <c r="C131" s="167"/>
      <c r="D131" s="167"/>
      <c r="E131" s="167"/>
      <c r="F131" s="167"/>
      <c r="G131" s="167"/>
      <c r="H131" s="167"/>
      <c r="I131" s="167"/>
    </row>
  </sheetData>
  <autoFilter ref="I12:I70"/>
  <mergeCells count="29">
    <mergeCell ref="A14:I14"/>
    <mergeCell ref="A15:I15"/>
    <mergeCell ref="A27:I27"/>
    <mergeCell ref="A42:I42"/>
    <mergeCell ref="A54:I54"/>
    <mergeCell ref="A3:I3"/>
    <mergeCell ref="A4:I4"/>
    <mergeCell ref="A5:I5"/>
    <mergeCell ref="A8:I8"/>
    <mergeCell ref="A10:I10"/>
    <mergeCell ref="R76:U76"/>
    <mergeCell ref="C125:E125"/>
    <mergeCell ref="A100:I100"/>
    <mergeCell ref="A111:I111"/>
    <mergeCell ref="B112:G112"/>
    <mergeCell ref="B113:G113"/>
    <mergeCell ref="A115:I115"/>
    <mergeCell ref="A116:I116"/>
    <mergeCell ref="A117:I117"/>
    <mergeCell ref="A119:I119"/>
    <mergeCell ref="C121:E121"/>
    <mergeCell ref="C122:E122"/>
    <mergeCell ref="C124:E124"/>
    <mergeCell ref="A96:I96"/>
    <mergeCell ref="A127:I127"/>
    <mergeCell ref="A128:I128"/>
    <mergeCell ref="A129:I129"/>
    <mergeCell ref="A130:I130"/>
    <mergeCell ref="A131:I131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U115"/>
  <sheetViews>
    <sheetView topLeftCell="A10" workbookViewId="0">
      <selection activeCell="B86" sqref="B86:I8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174</v>
      </c>
      <c r="I1" s="30"/>
      <c r="J1" s="1"/>
      <c r="K1" s="1"/>
      <c r="L1" s="1"/>
      <c r="M1" s="1"/>
    </row>
    <row r="2" spans="1:13" ht="15.75" customHeight="1">
      <c r="A2" s="32" t="s">
        <v>59</v>
      </c>
      <c r="J2" s="2"/>
      <c r="K2" s="2"/>
      <c r="L2" s="2"/>
      <c r="M2" s="2"/>
    </row>
    <row r="3" spans="1:13" ht="15.75" customHeight="1">
      <c r="A3" s="174" t="s">
        <v>167</v>
      </c>
      <c r="B3" s="174"/>
      <c r="C3" s="174"/>
      <c r="D3" s="174"/>
      <c r="E3" s="174"/>
      <c r="F3" s="174"/>
      <c r="G3" s="174"/>
      <c r="H3" s="174"/>
      <c r="I3" s="174"/>
      <c r="J3" s="3"/>
      <c r="K3" s="3"/>
      <c r="L3" s="3"/>
    </row>
    <row r="4" spans="1:13" ht="31.5" customHeight="1">
      <c r="A4" s="175" t="s">
        <v>119</v>
      </c>
      <c r="B4" s="175"/>
      <c r="C4" s="175"/>
      <c r="D4" s="175"/>
      <c r="E4" s="175"/>
      <c r="F4" s="175"/>
      <c r="G4" s="175"/>
      <c r="H4" s="175"/>
      <c r="I4" s="175"/>
    </row>
    <row r="5" spans="1:13" ht="15.75" customHeight="1">
      <c r="A5" s="174" t="s">
        <v>248</v>
      </c>
      <c r="B5" s="178"/>
      <c r="C5" s="178"/>
      <c r="D5" s="178"/>
      <c r="E5" s="178"/>
      <c r="F5" s="178"/>
      <c r="G5" s="178"/>
      <c r="H5" s="178"/>
      <c r="I5" s="178"/>
      <c r="J5" s="2"/>
      <c r="K5" s="2"/>
      <c r="L5" s="2"/>
      <c r="M5" s="2"/>
    </row>
    <row r="6" spans="1:13" ht="15.75" customHeight="1">
      <c r="A6" s="2"/>
      <c r="B6" s="75"/>
      <c r="C6" s="75"/>
      <c r="D6" s="75"/>
      <c r="E6" s="75"/>
      <c r="F6" s="75"/>
      <c r="G6" s="75"/>
      <c r="H6" s="75"/>
      <c r="I6" s="34">
        <v>44439</v>
      </c>
      <c r="J6" s="2"/>
      <c r="K6" s="2"/>
      <c r="L6" s="2"/>
      <c r="M6" s="2"/>
    </row>
    <row r="7" spans="1:13" ht="15.75" customHeight="1">
      <c r="B7" s="74"/>
      <c r="C7" s="74"/>
      <c r="D7" s="74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76" t="s">
        <v>220</v>
      </c>
      <c r="B8" s="176"/>
      <c r="C8" s="176"/>
      <c r="D8" s="176"/>
      <c r="E8" s="176"/>
      <c r="F8" s="176"/>
      <c r="G8" s="176"/>
      <c r="H8" s="176"/>
      <c r="I8" s="17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77" t="s">
        <v>144</v>
      </c>
      <c r="B10" s="177"/>
      <c r="C10" s="177"/>
      <c r="D10" s="177"/>
      <c r="E10" s="177"/>
      <c r="F10" s="177"/>
      <c r="G10" s="177"/>
      <c r="H10" s="177"/>
      <c r="I10" s="177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79" t="s">
        <v>56</v>
      </c>
      <c r="B14" s="179"/>
      <c r="C14" s="179"/>
      <c r="D14" s="179"/>
      <c r="E14" s="179"/>
      <c r="F14" s="179"/>
      <c r="G14" s="179"/>
      <c r="H14" s="179"/>
      <c r="I14" s="179"/>
      <c r="J14" s="8"/>
      <c r="K14" s="8"/>
      <c r="L14" s="8"/>
      <c r="M14" s="8"/>
    </row>
    <row r="15" spans="1:13" ht="15.75" customHeight="1">
      <c r="A15" s="180" t="s">
        <v>4</v>
      </c>
      <c r="B15" s="180"/>
      <c r="C15" s="180"/>
      <c r="D15" s="180"/>
      <c r="E15" s="180"/>
      <c r="F15" s="180"/>
      <c r="G15" s="180"/>
      <c r="H15" s="180"/>
      <c r="I15" s="180"/>
      <c r="J15" s="8"/>
      <c r="K15" s="8"/>
      <c r="L15" s="8"/>
      <c r="M15" s="8"/>
    </row>
    <row r="16" spans="1:13" ht="15.75" customHeight="1">
      <c r="A16" s="33">
        <v>1</v>
      </c>
      <c r="B16" s="120" t="s">
        <v>81</v>
      </c>
      <c r="C16" s="44" t="s">
        <v>82</v>
      </c>
      <c r="D16" s="120" t="s">
        <v>178</v>
      </c>
      <c r="E16" s="132">
        <v>53.8</v>
      </c>
      <c r="F16" s="122">
        <f>SUM(E16*156/100)</f>
        <v>83.927999999999997</v>
      </c>
      <c r="G16" s="122">
        <v>481.7</v>
      </c>
      <c r="H16" s="93">
        <f t="shared" ref="H16:H22" si="0">SUM(F16*G16/1000)</f>
        <v>40.4281176</v>
      </c>
      <c r="I16" s="13">
        <f>F16/12*G16</f>
        <v>3369.0097999999998</v>
      </c>
      <c r="J16" s="8"/>
      <c r="K16" s="8"/>
      <c r="L16" s="8"/>
      <c r="M16" s="8"/>
    </row>
    <row r="17" spans="1:13" ht="15.75" customHeight="1">
      <c r="A17" s="33">
        <v>2</v>
      </c>
      <c r="B17" s="120" t="s">
        <v>120</v>
      </c>
      <c r="C17" s="44" t="s">
        <v>82</v>
      </c>
      <c r="D17" s="120" t="s">
        <v>179</v>
      </c>
      <c r="E17" s="132">
        <v>107.6</v>
      </c>
      <c r="F17" s="122">
        <f>SUM(E17*104/100)</f>
        <v>111.904</v>
      </c>
      <c r="G17" s="122">
        <v>380.58</v>
      </c>
      <c r="H17" s="93">
        <f t="shared" si="0"/>
        <v>42.588424320000001</v>
      </c>
      <c r="I17" s="13">
        <f>F17/12*G17</f>
        <v>3549.0353599999999</v>
      </c>
      <c r="J17" s="26"/>
      <c r="K17" s="8"/>
      <c r="L17" s="8"/>
      <c r="M17" s="8"/>
    </row>
    <row r="18" spans="1:13" ht="15.75" customHeight="1">
      <c r="A18" s="33">
        <v>3</v>
      </c>
      <c r="B18" s="120" t="s">
        <v>83</v>
      </c>
      <c r="C18" s="44" t="s">
        <v>82</v>
      </c>
      <c r="D18" s="120" t="s">
        <v>180</v>
      </c>
      <c r="E18" s="132">
        <f>SUM(E16+E17)</f>
        <v>161.39999999999998</v>
      </c>
      <c r="F18" s="122">
        <f>SUM(E18*18/100)</f>
        <v>29.052</v>
      </c>
      <c r="G18" s="122">
        <v>889.97</v>
      </c>
      <c r="H18" s="93">
        <f t="shared" si="0"/>
        <v>25.855408439999998</v>
      </c>
      <c r="I18" s="13">
        <f>F18/18*2*G18</f>
        <v>2872.8231599999999</v>
      </c>
      <c r="J18" s="26"/>
      <c r="K18" s="8"/>
      <c r="L18" s="8"/>
      <c r="M18" s="8"/>
    </row>
    <row r="19" spans="1:13" ht="15.75" hidden="1" customHeight="1">
      <c r="A19" s="33">
        <v>4</v>
      </c>
      <c r="B19" s="120" t="s">
        <v>84</v>
      </c>
      <c r="C19" s="44" t="s">
        <v>82</v>
      </c>
      <c r="D19" s="120" t="s">
        <v>186</v>
      </c>
      <c r="E19" s="132">
        <v>15.3</v>
      </c>
      <c r="F19" s="122">
        <f>SUM(E19/100)</f>
        <v>0.153</v>
      </c>
      <c r="G19" s="122">
        <v>1965.89</v>
      </c>
      <c r="H19" s="93">
        <f t="shared" si="0"/>
        <v>0.30078117000000004</v>
      </c>
      <c r="I19" s="13">
        <f>F19*G19</f>
        <v>300.78117000000003</v>
      </c>
      <c r="J19" s="26"/>
      <c r="K19" s="8"/>
      <c r="L19" s="8"/>
      <c r="M19" s="8"/>
    </row>
    <row r="20" spans="1:13" ht="15.75" customHeight="1">
      <c r="A20" s="33">
        <v>4</v>
      </c>
      <c r="B20" s="120" t="s">
        <v>91</v>
      </c>
      <c r="C20" s="44" t="s">
        <v>50</v>
      </c>
      <c r="D20" s="120" t="s">
        <v>184</v>
      </c>
      <c r="E20" s="132">
        <v>4.5</v>
      </c>
      <c r="F20" s="122">
        <f>E20/100*12</f>
        <v>0.54</v>
      </c>
      <c r="G20" s="122">
        <v>1037.97</v>
      </c>
      <c r="H20" s="93">
        <f>SUM(F20*G20/1000)</f>
        <v>0.56050380000000011</v>
      </c>
      <c r="I20" s="13">
        <f>F20*G20/12</f>
        <v>46.708650000000006</v>
      </c>
      <c r="J20" s="26"/>
      <c r="K20" s="8"/>
      <c r="L20" s="8"/>
      <c r="M20" s="8"/>
    </row>
    <row r="21" spans="1:13" ht="15.75" customHeight="1">
      <c r="A21" s="33">
        <v>5</v>
      </c>
      <c r="B21" s="120" t="s">
        <v>87</v>
      </c>
      <c r="C21" s="44" t="s">
        <v>82</v>
      </c>
      <c r="D21" s="120" t="s">
        <v>183</v>
      </c>
      <c r="E21" s="132">
        <v>19.62</v>
      </c>
      <c r="F21" s="122">
        <f>SUM(E21*12/100)</f>
        <v>2.3544</v>
      </c>
      <c r="G21" s="122">
        <v>848.17</v>
      </c>
      <c r="H21" s="93">
        <f t="shared" si="0"/>
        <v>1.996931448</v>
      </c>
      <c r="I21" s="13">
        <f>F21*G21/12</f>
        <v>166.410954</v>
      </c>
      <c r="J21" s="26"/>
      <c r="K21" s="8"/>
      <c r="L21" s="8"/>
      <c r="M21" s="8"/>
    </row>
    <row r="22" spans="1:13" ht="15.75" customHeight="1">
      <c r="A22" s="33">
        <v>6</v>
      </c>
      <c r="B22" s="120" t="s">
        <v>88</v>
      </c>
      <c r="C22" s="44" t="s">
        <v>82</v>
      </c>
      <c r="D22" s="120" t="s">
        <v>183</v>
      </c>
      <c r="E22" s="132">
        <v>8.68</v>
      </c>
      <c r="F22" s="122">
        <f>SUM(E22*12/100)</f>
        <v>1.0415999999999999</v>
      </c>
      <c r="G22" s="122">
        <v>523.94000000000005</v>
      </c>
      <c r="H22" s="93">
        <f t="shared" si="0"/>
        <v>0.54573590400000005</v>
      </c>
      <c r="I22" s="13">
        <f>F22*G22/12</f>
        <v>45.477992</v>
      </c>
      <c r="J22" s="26"/>
      <c r="K22" s="8"/>
      <c r="L22" s="8"/>
      <c r="M22" s="8"/>
    </row>
    <row r="23" spans="1:13" ht="15.75" hidden="1" customHeight="1">
      <c r="A23" s="33">
        <v>8</v>
      </c>
      <c r="B23" s="120" t="s">
        <v>89</v>
      </c>
      <c r="C23" s="44" t="s">
        <v>50</v>
      </c>
      <c r="D23" s="120" t="s">
        <v>235</v>
      </c>
      <c r="E23" s="132">
        <v>215</v>
      </c>
      <c r="F23" s="122">
        <f>SUM(E23/100)</f>
        <v>2.15</v>
      </c>
      <c r="G23" s="122">
        <v>1045.18</v>
      </c>
      <c r="H23" s="93">
        <f t="shared" ref="H23:H26" si="1">SUM(F23*G23/1000)</f>
        <v>2.2471370000000004</v>
      </c>
      <c r="I23" s="13">
        <f>F23*G23</f>
        <v>2247.1370000000002</v>
      </c>
      <c r="J23" s="26"/>
      <c r="K23" s="8"/>
      <c r="L23" s="8"/>
      <c r="M23" s="8"/>
    </row>
    <row r="24" spans="1:13" ht="15.75" hidden="1" customHeight="1">
      <c r="A24" s="33">
        <v>9</v>
      </c>
      <c r="B24" s="120" t="s">
        <v>90</v>
      </c>
      <c r="C24" s="44" t="s">
        <v>50</v>
      </c>
      <c r="D24" s="120" t="s">
        <v>183</v>
      </c>
      <c r="E24" s="145">
        <v>17.64</v>
      </c>
      <c r="F24" s="122">
        <f>SUM(E24/100)</f>
        <v>0.1764</v>
      </c>
      <c r="G24" s="122">
        <v>1045.18</v>
      </c>
      <c r="H24" s="93">
        <f t="shared" si="1"/>
        <v>0.184369752</v>
      </c>
      <c r="I24" s="13">
        <f t="shared" ref="I24:I26" si="2">F24*G24</f>
        <v>184.36975200000001</v>
      </c>
      <c r="J24" s="26"/>
      <c r="K24" s="8"/>
      <c r="L24" s="8"/>
      <c r="M24" s="8"/>
    </row>
    <row r="25" spans="1:13" ht="15.75" hidden="1" customHeight="1">
      <c r="A25" s="33">
        <v>10</v>
      </c>
      <c r="B25" s="120" t="s">
        <v>92</v>
      </c>
      <c r="C25" s="44" t="s">
        <v>50</v>
      </c>
      <c r="D25" s="120" t="s">
        <v>183</v>
      </c>
      <c r="E25" s="132">
        <v>14.4</v>
      </c>
      <c r="F25" s="122">
        <f>SUM(E25/100)</f>
        <v>0.14400000000000002</v>
      </c>
      <c r="G25" s="122">
        <v>959.59</v>
      </c>
      <c r="H25" s="93">
        <f>SUM(F25*G25/1000)</f>
        <v>0.13818096000000002</v>
      </c>
      <c r="I25" s="13">
        <f t="shared" si="2"/>
        <v>138.18096000000003</v>
      </c>
      <c r="J25" s="26"/>
      <c r="K25" s="8"/>
      <c r="L25" s="8"/>
      <c r="M25" s="8"/>
    </row>
    <row r="26" spans="1:13" ht="15.75" hidden="1" customHeight="1">
      <c r="A26" s="33">
        <v>11</v>
      </c>
      <c r="B26" s="120" t="s">
        <v>122</v>
      </c>
      <c r="C26" s="44" t="s">
        <v>50</v>
      </c>
      <c r="D26" s="120" t="s">
        <v>183</v>
      </c>
      <c r="E26" s="132">
        <v>9.4499999999999993</v>
      </c>
      <c r="F26" s="122">
        <v>0.09</v>
      </c>
      <c r="G26" s="122">
        <v>645.02</v>
      </c>
      <c r="H26" s="93">
        <f t="shared" si="1"/>
        <v>5.8051799999999994E-2</v>
      </c>
      <c r="I26" s="13">
        <f t="shared" si="2"/>
        <v>58.051799999999993</v>
      </c>
      <c r="J26" s="26"/>
      <c r="K26" s="8"/>
      <c r="L26" s="8"/>
      <c r="M26" s="8"/>
    </row>
    <row r="27" spans="1:13" ht="15.75" hidden="1" customHeight="1">
      <c r="A27" s="33">
        <v>4</v>
      </c>
      <c r="B27" s="89" t="s">
        <v>177</v>
      </c>
      <c r="C27" s="44" t="s">
        <v>173</v>
      </c>
      <c r="D27" s="120" t="s">
        <v>181</v>
      </c>
      <c r="E27" s="121">
        <v>2.5099999999999998</v>
      </c>
      <c r="F27" s="122">
        <f>E27*258</f>
        <v>647.57999999999993</v>
      </c>
      <c r="G27" s="122">
        <v>10.39</v>
      </c>
      <c r="H27" s="93">
        <f t="shared" ref="H27" si="3">SUM(F27*G27/1000)</f>
        <v>6.7283561999999995</v>
      </c>
      <c r="I27" s="13">
        <f>F27/12*G27</f>
        <v>560.69634999999994</v>
      </c>
      <c r="J27" s="26"/>
      <c r="K27" s="8"/>
      <c r="L27" s="8"/>
      <c r="M27" s="8"/>
    </row>
    <row r="28" spans="1:13" ht="15.75" customHeight="1">
      <c r="A28" s="180" t="s">
        <v>79</v>
      </c>
      <c r="B28" s="180"/>
      <c r="C28" s="180"/>
      <c r="D28" s="180"/>
      <c r="E28" s="180"/>
      <c r="F28" s="180"/>
      <c r="G28" s="180"/>
      <c r="H28" s="180"/>
      <c r="I28" s="180"/>
      <c r="J28" s="26"/>
      <c r="K28" s="8"/>
      <c r="L28" s="8"/>
      <c r="M28" s="8"/>
    </row>
    <row r="29" spans="1:13" ht="15.75" customHeight="1">
      <c r="A29" s="45"/>
      <c r="B29" s="55" t="s">
        <v>26</v>
      </c>
      <c r="C29" s="55"/>
      <c r="D29" s="55"/>
      <c r="E29" s="55"/>
      <c r="F29" s="55"/>
      <c r="G29" s="55"/>
      <c r="H29" s="55"/>
      <c r="I29" s="19"/>
      <c r="J29" s="26"/>
      <c r="K29" s="8"/>
      <c r="L29" s="8"/>
      <c r="M29" s="8"/>
    </row>
    <row r="30" spans="1:13" ht="15.75" customHeight="1">
      <c r="A30" s="45">
        <v>7</v>
      </c>
      <c r="B30" s="120" t="s">
        <v>150</v>
      </c>
      <c r="C30" s="44" t="s">
        <v>52</v>
      </c>
      <c r="D30" s="120" t="s">
        <v>222</v>
      </c>
      <c r="E30" s="122">
        <v>303.39999999999998</v>
      </c>
      <c r="F30" s="122">
        <f>SUM(E30*24)</f>
        <v>7281.5999999999995</v>
      </c>
      <c r="G30" s="122">
        <v>4.67</v>
      </c>
      <c r="H30" s="93">
        <f t="shared" ref="H30:H33" si="4">SUM(F30*G30/1000)</f>
        <v>34.005071999999998</v>
      </c>
      <c r="I30" s="13">
        <f>F30/6*G30</f>
        <v>5667.5119999999997</v>
      </c>
      <c r="J30" s="26"/>
      <c r="K30" s="8"/>
      <c r="L30" s="8"/>
      <c r="M30" s="8"/>
    </row>
    <row r="31" spans="1:13" ht="31.5" customHeight="1">
      <c r="A31" s="45">
        <v>8</v>
      </c>
      <c r="B31" s="120" t="s">
        <v>221</v>
      </c>
      <c r="C31" s="44" t="s">
        <v>93</v>
      </c>
      <c r="D31" s="120" t="s">
        <v>223</v>
      </c>
      <c r="E31" s="122">
        <v>42.5</v>
      </c>
      <c r="F31" s="122">
        <f>SUM(E31*72/1000)</f>
        <v>3.06</v>
      </c>
      <c r="G31" s="122">
        <v>537.1</v>
      </c>
      <c r="H31" s="93">
        <f t="shared" si="4"/>
        <v>1.643526</v>
      </c>
      <c r="I31" s="13">
        <f t="shared" ref="I31:I33" si="5">F31/6*G31</f>
        <v>273.92099999999999</v>
      </c>
      <c r="J31" s="26"/>
      <c r="K31" s="8"/>
      <c r="L31" s="8"/>
      <c r="M31" s="8"/>
    </row>
    <row r="32" spans="1:13" ht="15.75" hidden="1" customHeight="1">
      <c r="A32" s="45">
        <v>16</v>
      </c>
      <c r="B32" s="120" t="s">
        <v>149</v>
      </c>
      <c r="C32" s="44" t="s">
        <v>52</v>
      </c>
      <c r="D32" s="120" t="s">
        <v>51</v>
      </c>
      <c r="E32" s="122">
        <v>632.4</v>
      </c>
      <c r="F32" s="122">
        <f>SUM(E32)</f>
        <v>632.4</v>
      </c>
      <c r="G32" s="122">
        <v>7.07</v>
      </c>
      <c r="H32" s="93">
        <f t="shared" si="4"/>
        <v>4.4710679999999998</v>
      </c>
      <c r="I32" s="13">
        <f>F32*G32</f>
        <v>4471.0680000000002</v>
      </c>
      <c r="J32" s="26"/>
      <c r="K32" s="8"/>
      <c r="L32" s="8"/>
      <c r="M32" s="8"/>
    </row>
    <row r="33" spans="1:14" ht="15.75" customHeight="1">
      <c r="A33" s="45">
        <v>9</v>
      </c>
      <c r="B33" s="120" t="s">
        <v>123</v>
      </c>
      <c r="C33" s="44" t="s">
        <v>38</v>
      </c>
      <c r="D33" s="120" t="s">
        <v>224</v>
      </c>
      <c r="E33" s="122">
        <v>3</v>
      </c>
      <c r="F33" s="122">
        <f>E33*156/100</f>
        <v>4.68</v>
      </c>
      <c r="G33" s="122">
        <v>2018.82</v>
      </c>
      <c r="H33" s="93">
        <f t="shared" si="4"/>
        <v>9.4480775999999995</v>
      </c>
      <c r="I33" s="13">
        <f t="shared" si="5"/>
        <v>1574.6795999999997</v>
      </c>
      <c r="J33" s="26"/>
      <c r="K33" s="8"/>
      <c r="L33" s="8"/>
      <c r="M33" s="8"/>
    </row>
    <row r="34" spans="1:14" ht="15.75" hidden="1" customHeight="1">
      <c r="A34" s="45">
        <v>4</v>
      </c>
      <c r="B34" s="89" t="s">
        <v>61</v>
      </c>
      <c r="C34" s="90" t="s">
        <v>30</v>
      </c>
      <c r="D34" s="89" t="s">
        <v>63</v>
      </c>
      <c r="E34" s="91"/>
      <c r="F34" s="92">
        <v>2</v>
      </c>
      <c r="G34" s="92">
        <v>238.07</v>
      </c>
      <c r="H34" s="93">
        <f t="shared" ref="H34:H35" si="6">SUM(F34*G34/1000)</f>
        <v>0.47614000000000001</v>
      </c>
      <c r="I34" s="13">
        <v>0</v>
      </c>
      <c r="J34" s="26"/>
      <c r="K34" s="8"/>
    </row>
    <row r="35" spans="1:14" ht="15.75" hidden="1" customHeight="1">
      <c r="A35" s="33">
        <v>8</v>
      </c>
      <c r="B35" s="89" t="s">
        <v>62</v>
      </c>
      <c r="C35" s="90" t="s">
        <v>29</v>
      </c>
      <c r="D35" s="89" t="s">
        <v>63</v>
      </c>
      <c r="E35" s="91"/>
      <c r="F35" s="92">
        <v>3</v>
      </c>
      <c r="G35" s="92">
        <v>1413.96</v>
      </c>
      <c r="H35" s="93">
        <f t="shared" si="6"/>
        <v>4.2418800000000001</v>
      </c>
      <c r="I35" s="13">
        <v>0</v>
      </c>
      <c r="J35" s="27"/>
    </row>
    <row r="36" spans="1:14" ht="15.75" hidden="1" customHeight="1">
      <c r="A36" s="45"/>
      <c r="B36" s="53" t="s">
        <v>5</v>
      </c>
      <c r="C36" s="53"/>
      <c r="D36" s="53"/>
      <c r="E36" s="13"/>
      <c r="F36" s="13"/>
      <c r="G36" s="14"/>
      <c r="H36" s="14"/>
      <c r="I36" s="19"/>
      <c r="J36" s="27"/>
    </row>
    <row r="37" spans="1:14" ht="15.75" hidden="1" customHeight="1">
      <c r="A37" s="37">
        <v>6</v>
      </c>
      <c r="B37" s="89" t="s">
        <v>25</v>
      </c>
      <c r="C37" s="90" t="s">
        <v>29</v>
      </c>
      <c r="D37" s="89"/>
      <c r="E37" s="91"/>
      <c r="F37" s="92">
        <v>2</v>
      </c>
      <c r="G37" s="92">
        <v>1900.37</v>
      </c>
      <c r="H37" s="93">
        <f t="shared" ref="H37:H42" si="7">SUM(F37*G37/1000)</f>
        <v>3.8007399999999998</v>
      </c>
      <c r="I37" s="13">
        <f t="shared" ref="I37:I42" si="8">F37/6*G37</f>
        <v>633.45666666666659</v>
      </c>
      <c r="J37" s="27"/>
    </row>
    <row r="38" spans="1:14" ht="15.75" hidden="1" customHeight="1">
      <c r="A38" s="37">
        <v>7</v>
      </c>
      <c r="B38" s="89" t="s">
        <v>64</v>
      </c>
      <c r="C38" s="90" t="s">
        <v>27</v>
      </c>
      <c r="D38" s="89" t="s">
        <v>98</v>
      </c>
      <c r="E38" s="92">
        <v>42.5</v>
      </c>
      <c r="F38" s="92">
        <f>SUM(E38*30/1000)</f>
        <v>1.2749999999999999</v>
      </c>
      <c r="G38" s="92">
        <v>2616.4899999999998</v>
      </c>
      <c r="H38" s="93">
        <f t="shared" si="7"/>
        <v>3.3360247499999995</v>
      </c>
      <c r="I38" s="13">
        <f t="shared" si="8"/>
        <v>556.00412499999993</v>
      </c>
      <c r="J38" s="27"/>
    </row>
    <row r="39" spans="1:14" ht="15.75" hidden="1" customHeight="1">
      <c r="A39" s="37">
        <v>8</v>
      </c>
      <c r="B39" s="89" t="s">
        <v>65</v>
      </c>
      <c r="C39" s="90" t="s">
        <v>27</v>
      </c>
      <c r="D39" s="89" t="s">
        <v>99</v>
      </c>
      <c r="E39" s="92">
        <v>42.5</v>
      </c>
      <c r="F39" s="92">
        <f>SUM(E39*155/1000)</f>
        <v>6.5875000000000004</v>
      </c>
      <c r="G39" s="92">
        <v>436.45</v>
      </c>
      <c r="H39" s="93">
        <f t="shared" si="7"/>
        <v>2.8751143749999999</v>
      </c>
      <c r="I39" s="13">
        <f t="shared" si="8"/>
        <v>479.18572916666665</v>
      </c>
      <c r="J39" s="27"/>
    </row>
    <row r="40" spans="1:14" ht="47.25" hidden="1" customHeight="1">
      <c r="A40" s="37">
        <v>9</v>
      </c>
      <c r="B40" s="89" t="s">
        <v>78</v>
      </c>
      <c r="C40" s="90" t="s">
        <v>93</v>
      </c>
      <c r="D40" s="89" t="s">
        <v>100</v>
      </c>
      <c r="E40" s="92">
        <v>42.5</v>
      </c>
      <c r="F40" s="92">
        <f>SUM(E40*35/1000)</f>
        <v>1.4875</v>
      </c>
      <c r="G40" s="92">
        <v>7221.21</v>
      </c>
      <c r="H40" s="93">
        <f t="shared" si="7"/>
        <v>10.741549875</v>
      </c>
      <c r="I40" s="13">
        <f t="shared" si="8"/>
        <v>1790.2583125000001</v>
      </c>
      <c r="J40" s="27"/>
    </row>
    <row r="41" spans="1:14" ht="15.75" hidden="1" customHeight="1">
      <c r="A41" s="37">
        <v>10</v>
      </c>
      <c r="B41" s="89" t="s">
        <v>101</v>
      </c>
      <c r="C41" s="90" t="s">
        <v>93</v>
      </c>
      <c r="D41" s="89" t="s">
        <v>102</v>
      </c>
      <c r="E41" s="92">
        <v>42.5</v>
      </c>
      <c r="F41" s="92">
        <f>SUM(E41*20/1000)</f>
        <v>0.85</v>
      </c>
      <c r="G41" s="92">
        <v>533.45000000000005</v>
      </c>
      <c r="H41" s="93">
        <f t="shared" si="7"/>
        <v>0.45343250000000002</v>
      </c>
      <c r="I41" s="13">
        <f t="shared" si="8"/>
        <v>75.572083333333339</v>
      </c>
      <c r="J41" s="27"/>
      <c r="L41" s="21"/>
      <c r="M41" s="22"/>
      <c r="N41" s="23"/>
    </row>
    <row r="42" spans="1:14" ht="15.75" hidden="1" customHeight="1">
      <c r="A42" s="37">
        <v>11</v>
      </c>
      <c r="B42" s="89" t="s">
        <v>66</v>
      </c>
      <c r="C42" s="90" t="s">
        <v>30</v>
      </c>
      <c r="D42" s="89"/>
      <c r="E42" s="91"/>
      <c r="F42" s="92">
        <v>0.5</v>
      </c>
      <c r="G42" s="92">
        <v>992.97</v>
      </c>
      <c r="H42" s="93">
        <f t="shared" si="7"/>
        <v>0.49648500000000001</v>
      </c>
      <c r="I42" s="13">
        <f t="shared" si="8"/>
        <v>82.747500000000002</v>
      </c>
      <c r="J42" s="27"/>
      <c r="L42" s="21"/>
      <c r="M42" s="22"/>
      <c r="N42" s="23"/>
    </row>
    <row r="43" spans="1:14" ht="15.75" hidden="1" customHeight="1">
      <c r="A43" s="170" t="s">
        <v>146</v>
      </c>
      <c r="B43" s="171"/>
      <c r="C43" s="171"/>
      <c r="D43" s="171"/>
      <c r="E43" s="171"/>
      <c r="F43" s="171"/>
      <c r="G43" s="171"/>
      <c r="H43" s="171"/>
      <c r="I43" s="172"/>
      <c r="J43" s="27"/>
      <c r="L43" s="21"/>
      <c r="M43" s="22"/>
      <c r="N43" s="23"/>
    </row>
    <row r="44" spans="1:14" ht="15.75" hidden="1" customHeight="1">
      <c r="A44" s="45">
        <v>19</v>
      </c>
      <c r="B44" s="89" t="s">
        <v>103</v>
      </c>
      <c r="C44" s="90" t="s">
        <v>93</v>
      </c>
      <c r="D44" s="89" t="s">
        <v>40</v>
      </c>
      <c r="E44" s="91">
        <v>1060.4000000000001</v>
      </c>
      <c r="F44" s="92">
        <f>SUM(E44*2/1000)</f>
        <v>2.1208</v>
      </c>
      <c r="G44" s="13">
        <v>1283.46</v>
      </c>
      <c r="H44" s="93">
        <f t="shared" ref="H44:H54" si="9">SUM(F44*G44/1000)</f>
        <v>2.721961968</v>
      </c>
      <c r="I44" s="13">
        <f t="shared" ref="I44:I47" si="10">F44/2*G44</f>
        <v>1360.980984</v>
      </c>
      <c r="J44" s="27"/>
      <c r="L44" s="21"/>
      <c r="M44" s="22"/>
      <c r="N44" s="23"/>
    </row>
    <row r="45" spans="1:14" ht="15.75" hidden="1" customHeight="1">
      <c r="A45" s="45">
        <v>20</v>
      </c>
      <c r="B45" s="89" t="s">
        <v>33</v>
      </c>
      <c r="C45" s="90" t="s">
        <v>93</v>
      </c>
      <c r="D45" s="89" t="s">
        <v>40</v>
      </c>
      <c r="E45" s="91">
        <v>19.8</v>
      </c>
      <c r="F45" s="92">
        <f>SUM(E45*2/1000)</f>
        <v>3.9600000000000003E-2</v>
      </c>
      <c r="G45" s="13">
        <v>721.04</v>
      </c>
      <c r="H45" s="93">
        <f t="shared" si="9"/>
        <v>2.8553184000000002E-2</v>
      </c>
      <c r="I45" s="13">
        <f t="shared" si="10"/>
        <v>14.276592000000001</v>
      </c>
      <c r="J45" s="27"/>
      <c r="L45" s="21"/>
      <c r="M45" s="22"/>
      <c r="N45" s="23"/>
    </row>
    <row r="46" spans="1:14" ht="15.75" hidden="1" customHeight="1">
      <c r="A46" s="45">
        <v>21</v>
      </c>
      <c r="B46" s="89" t="s">
        <v>34</v>
      </c>
      <c r="C46" s="90" t="s">
        <v>93</v>
      </c>
      <c r="D46" s="89" t="s">
        <v>40</v>
      </c>
      <c r="E46" s="91">
        <v>660.84</v>
      </c>
      <c r="F46" s="92">
        <f>SUM(E46*2/1000)</f>
        <v>1.32168</v>
      </c>
      <c r="G46" s="13">
        <v>1711.28</v>
      </c>
      <c r="H46" s="93">
        <f t="shared" si="9"/>
        <v>2.2617645503999997</v>
      </c>
      <c r="I46" s="13">
        <f t="shared" si="10"/>
        <v>1130.8822751999999</v>
      </c>
      <c r="J46" s="27"/>
      <c r="L46" s="21"/>
      <c r="M46" s="22"/>
      <c r="N46" s="23"/>
    </row>
    <row r="47" spans="1:14" ht="15.75" hidden="1" customHeight="1">
      <c r="A47" s="45">
        <v>22</v>
      </c>
      <c r="B47" s="89" t="s">
        <v>35</v>
      </c>
      <c r="C47" s="90" t="s">
        <v>93</v>
      </c>
      <c r="D47" s="89" t="s">
        <v>40</v>
      </c>
      <c r="E47" s="91">
        <v>1156.21</v>
      </c>
      <c r="F47" s="92">
        <f>SUM(E47*2/1000)</f>
        <v>2.3124199999999999</v>
      </c>
      <c r="G47" s="13">
        <v>1179.73</v>
      </c>
      <c r="H47" s="93">
        <f t="shared" si="9"/>
        <v>2.7280312466000001</v>
      </c>
      <c r="I47" s="13">
        <f t="shared" si="10"/>
        <v>1364.0156233</v>
      </c>
      <c r="J47" s="27"/>
      <c r="L47" s="21"/>
      <c r="M47" s="22"/>
      <c r="N47" s="23"/>
    </row>
    <row r="48" spans="1:14" ht="15.75" hidden="1" customHeight="1">
      <c r="A48" s="45">
        <v>23</v>
      </c>
      <c r="B48" s="89" t="s">
        <v>31</v>
      </c>
      <c r="C48" s="90" t="s">
        <v>32</v>
      </c>
      <c r="D48" s="89" t="s">
        <v>40</v>
      </c>
      <c r="E48" s="91">
        <v>15.38</v>
      </c>
      <c r="F48" s="92">
        <f>SUM(E48*2/100)</f>
        <v>0.30760000000000004</v>
      </c>
      <c r="G48" s="13">
        <v>90.61</v>
      </c>
      <c r="H48" s="93">
        <f t="shared" si="9"/>
        <v>2.7871636000000002E-2</v>
      </c>
      <c r="I48" s="13">
        <f>F48/2*G48</f>
        <v>13.935818000000001</v>
      </c>
      <c r="J48" s="27"/>
      <c r="L48" s="21"/>
      <c r="M48" s="22"/>
      <c r="N48" s="23"/>
    </row>
    <row r="49" spans="1:14" ht="15.75" hidden="1" customHeight="1">
      <c r="A49" s="45">
        <v>24</v>
      </c>
      <c r="B49" s="89" t="s">
        <v>53</v>
      </c>
      <c r="C49" s="90" t="s">
        <v>93</v>
      </c>
      <c r="D49" s="89" t="s">
        <v>151</v>
      </c>
      <c r="E49" s="91">
        <v>823</v>
      </c>
      <c r="F49" s="92">
        <f>SUM(E49*5/1000)</f>
        <v>4.1150000000000002</v>
      </c>
      <c r="G49" s="13">
        <v>1711.28</v>
      </c>
      <c r="H49" s="93">
        <f t="shared" si="9"/>
        <v>7.0419171999999994</v>
      </c>
      <c r="I49" s="13">
        <f>F49/5*G49</f>
        <v>1408.3834400000001</v>
      </c>
      <c r="J49" s="27"/>
      <c r="L49" s="21"/>
      <c r="M49" s="22"/>
      <c r="N49" s="23"/>
    </row>
    <row r="50" spans="1:14" ht="31.5" hidden="1" customHeight="1">
      <c r="A50" s="45">
        <v>25</v>
      </c>
      <c r="B50" s="89" t="s">
        <v>104</v>
      </c>
      <c r="C50" s="90" t="s">
        <v>93</v>
      </c>
      <c r="D50" s="89" t="s">
        <v>40</v>
      </c>
      <c r="E50" s="91">
        <v>823</v>
      </c>
      <c r="F50" s="92">
        <f>SUM(E50*2/1000)</f>
        <v>1.6459999999999999</v>
      </c>
      <c r="G50" s="13">
        <v>1510.06</v>
      </c>
      <c r="H50" s="93">
        <f t="shared" si="9"/>
        <v>2.48555876</v>
      </c>
      <c r="I50" s="13">
        <f>F50/2*G50</f>
        <v>1242.7793799999999</v>
      </c>
      <c r="J50" s="27"/>
      <c r="L50" s="21"/>
      <c r="M50" s="22"/>
      <c r="N50" s="23"/>
    </row>
    <row r="51" spans="1:14" ht="31.5" hidden="1" customHeight="1">
      <c r="A51" s="45">
        <v>26</v>
      </c>
      <c r="B51" s="89" t="s">
        <v>105</v>
      </c>
      <c r="C51" s="90" t="s">
        <v>36</v>
      </c>
      <c r="D51" s="89" t="s">
        <v>40</v>
      </c>
      <c r="E51" s="91">
        <v>9</v>
      </c>
      <c r="F51" s="92">
        <f>SUM(E51*2/100)</f>
        <v>0.18</v>
      </c>
      <c r="G51" s="13">
        <v>3850.4</v>
      </c>
      <c r="H51" s="93">
        <f t="shared" si="9"/>
        <v>0.69307200000000002</v>
      </c>
      <c r="I51" s="13">
        <f t="shared" ref="I51:I52" si="11">F51/2*G51</f>
        <v>346.536</v>
      </c>
      <c r="J51" s="27"/>
      <c r="L51" s="21"/>
      <c r="M51" s="22"/>
      <c r="N51" s="23"/>
    </row>
    <row r="52" spans="1:14" ht="15.75" hidden="1" customHeight="1">
      <c r="A52" s="45">
        <v>27</v>
      </c>
      <c r="B52" s="89" t="s">
        <v>37</v>
      </c>
      <c r="C52" s="90" t="s">
        <v>38</v>
      </c>
      <c r="D52" s="89" t="s">
        <v>40</v>
      </c>
      <c r="E52" s="91">
        <v>1</v>
      </c>
      <c r="F52" s="92">
        <v>0.02</v>
      </c>
      <c r="G52" s="13">
        <v>7033.13</v>
      </c>
      <c r="H52" s="93">
        <f t="shared" si="9"/>
        <v>0.1406626</v>
      </c>
      <c r="I52" s="13">
        <f t="shared" si="11"/>
        <v>70.331299999999999</v>
      </c>
      <c r="J52" s="27"/>
      <c r="L52" s="21"/>
      <c r="M52" s="22"/>
      <c r="N52" s="23"/>
    </row>
    <row r="53" spans="1:14" ht="15.75" hidden="1" customHeight="1">
      <c r="A53" s="45">
        <v>8</v>
      </c>
      <c r="B53" s="89" t="s">
        <v>124</v>
      </c>
      <c r="C53" s="90" t="s">
        <v>106</v>
      </c>
      <c r="D53" s="123">
        <v>44062</v>
      </c>
      <c r="E53" s="91">
        <v>36</v>
      </c>
      <c r="F53" s="92">
        <f>SUM(E53*3)</f>
        <v>108</v>
      </c>
      <c r="G53" s="13">
        <v>175.6</v>
      </c>
      <c r="H53" s="93">
        <f t="shared" si="9"/>
        <v>18.9648</v>
      </c>
      <c r="I53" s="13">
        <f>E53*G53</f>
        <v>6321.5999999999995</v>
      </c>
      <c r="J53" s="27"/>
      <c r="L53" s="21"/>
      <c r="M53" s="22"/>
      <c r="N53" s="23"/>
    </row>
    <row r="54" spans="1:14" ht="15.75" hidden="1" customHeight="1">
      <c r="A54" s="45">
        <v>9</v>
      </c>
      <c r="B54" s="89" t="s">
        <v>39</v>
      </c>
      <c r="C54" s="90" t="s">
        <v>106</v>
      </c>
      <c r="D54" s="123">
        <v>44062</v>
      </c>
      <c r="E54" s="91">
        <v>36</v>
      </c>
      <c r="F54" s="92">
        <f>SUM(E54)*3</f>
        <v>108</v>
      </c>
      <c r="G54" s="13">
        <v>81.73</v>
      </c>
      <c r="H54" s="93">
        <f t="shared" si="9"/>
        <v>8.8268400000000007</v>
      </c>
      <c r="I54" s="13">
        <f>E54*G54</f>
        <v>2942.28</v>
      </c>
      <c r="J54" s="27"/>
      <c r="L54" s="21"/>
      <c r="M54" s="22"/>
      <c r="N54" s="23"/>
    </row>
    <row r="55" spans="1:14" ht="15.75" customHeight="1">
      <c r="A55" s="170" t="s">
        <v>160</v>
      </c>
      <c r="B55" s="171"/>
      <c r="C55" s="171"/>
      <c r="D55" s="171"/>
      <c r="E55" s="171"/>
      <c r="F55" s="171"/>
      <c r="G55" s="171"/>
      <c r="H55" s="171"/>
      <c r="I55" s="172"/>
      <c r="J55" s="27"/>
      <c r="L55" s="21"/>
      <c r="M55" s="22"/>
      <c r="N55" s="23"/>
    </row>
    <row r="56" spans="1:14" ht="15.75" hidden="1" customHeight="1">
      <c r="A56" s="57"/>
      <c r="B56" s="52" t="s">
        <v>41</v>
      </c>
      <c r="C56" s="17"/>
      <c r="D56" s="16"/>
      <c r="E56" s="16"/>
      <c r="F56" s="16"/>
      <c r="G56" s="33"/>
      <c r="H56" s="33"/>
      <c r="I56" s="19"/>
      <c r="J56" s="27"/>
      <c r="L56" s="21"/>
      <c r="M56" s="22"/>
      <c r="N56" s="23"/>
    </row>
    <row r="57" spans="1:14" ht="31.5" hidden="1" customHeight="1">
      <c r="A57" s="45">
        <v>12</v>
      </c>
      <c r="B57" s="89" t="s">
        <v>152</v>
      </c>
      <c r="C57" s="90" t="s">
        <v>82</v>
      </c>
      <c r="D57" s="89" t="s">
        <v>107</v>
      </c>
      <c r="E57" s="91">
        <v>71.02</v>
      </c>
      <c r="F57" s="92">
        <f>SUM(E57*6/100)</f>
        <v>4.2611999999999997</v>
      </c>
      <c r="G57" s="13">
        <v>2306.62</v>
      </c>
      <c r="H57" s="93">
        <f>SUM(F57*G57/1000)</f>
        <v>9.8289691439999984</v>
      </c>
      <c r="I57" s="13">
        <f>F57/6*G57</f>
        <v>1638.1615239999999</v>
      </c>
      <c r="J57" s="27"/>
      <c r="L57" s="21"/>
      <c r="M57" s="22"/>
      <c r="N57" s="23"/>
    </row>
    <row r="58" spans="1:14" ht="15.75" hidden="1" customHeight="1">
      <c r="A58" s="45">
        <v>10</v>
      </c>
      <c r="B58" s="89" t="s">
        <v>108</v>
      </c>
      <c r="C58" s="90" t="s">
        <v>153</v>
      </c>
      <c r="D58" s="89" t="s">
        <v>190</v>
      </c>
      <c r="E58" s="97"/>
      <c r="F58" s="92">
        <v>2</v>
      </c>
      <c r="G58" s="92">
        <v>1501</v>
      </c>
      <c r="H58" s="93">
        <f>SUM(F58*G58/1000)</f>
        <v>3.0019999999999998</v>
      </c>
      <c r="I58" s="13">
        <f>G58*1</f>
        <v>1501</v>
      </c>
      <c r="J58" s="27"/>
      <c r="L58" s="21"/>
      <c r="M58" s="22"/>
      <c r="N58" s="23"/>
    </row>
    <row r="59" spans="1:14" ht="15.75" customHeight="1">
      <c r="A59" s="45"/>
      <c r="B59" s="76" t="s">
        <v>42</v>
      </c>
      <c r="C59" s="76"/>
      <c r="D59" s="76"/>
      <c r="E59" s="76"/>
      <c r="F59" s="76"/>
      <c r="G59" s="76"/>
      <c r="H59" s="76"/>
      <c r="I59" s="39"/>
      <c r="J59" s="27"/>
      <c r="L59" s="21"/>
      <c r="M59" s="22"/>
      <c r="N59" s="23"/>
    </row>
    <row r="60" spans="1:14" ht="15.75" hidden="1" customHeight="1">
      <c r="A60" s="45">
        <v>27</v>
      </c>
      <c r="B60" s="89" t="s">
        <v>154</v>
      </c>
      <c r="C60" s="90" t="s">
        <v>50</v>
      </c>
      <c r="D60" s="89" t="s">
        <v>51</v>
      </c>
      <c r="E60" s="91">
        <v>434.4</v>
      </c>
      <c r="F60" s="93">
        <f>SUM(E60/100)</f>
        <v>4.3439999999999994</v>
      </c>
      <c r="G60" s="13">
        <v>987.51</v>
      </c>
      <c r="H60" s="98">
        <f>F60*G60/1000</f>
        <v>4.2897434399999996</v>
      </c>
      <c r="I60" s="13">
        <v>0</v>
      </c>
      <c r="J60" s="27"/>
      <c r="L60" s="21"/>
      <c r="M60" s="22"/>
      <c r="N60" s="23"/>
    </row>
    <row r="61" spans="1:14" ht="15.75" customHeight="1">
      <c r="A61" s="45">
        <v>10</v>
      </c>
      <c r="B61" s="120" t="s">
        <v>172</v>
      </c>
      <c r="C61" s="44" t="s">
        <v>173</v>
      </c>
      <c r="D61" s="120" t="s">
        <v>184</v>
      </c>
      <c r="E61" s="132">
        <v>12</v>
      </c>
      <c r="F61" s="138">
        <f>E61*12</f>
        <v>144</v>
      </c>
      <c r="G61" s="40">
        <v>1.4</v>
      </c>
      <c r="H61" s="112"/>
      <c r="I61" s="13">
        <f>G61*F61/12</f>
        <v>16.8</v>
      </c>
      <c r="J61" s="27"/>
      <c r="L61" s="21"/>
      <c r="M61" s="22"/>
      <c r="N61" s="23"/>
    </row>
    <row r="62" spans="1:14" ht="15.75" hidden="1" customHeight="1">
      <c r="A62" s="45"/>
      <c r="B62" s="69" t="s">
        <v>125</v>
      </c>
      <c r="C62" s="44"/>
      <c r="D62" s="68"/>
      <c r="E62" s="67"/>
      <c r="F62" s="67"/>
      <c r="G62" s="40"/>
      <c r="H62" s="40"/>
      <c r="I62" s="20"/>
      <c r="J62" s="27"/>
      <c r="L62" s="21"/>
      <c r="M62" s="22"/>
      <c r="N62" s="23"/>
    </row>
    <row r="63" spans="1:14" ht="15.75" hidden="1" customHeight="1">
      <c r="A63" s="45"/>
      <c r="B63" s="89" t="s">
        <v>126</v>
      </c>
      <c r="C63" s="90" t="s">
        <v>106</v>
      </c>
      <c r="D63" s="41" t="s">
        <v>63</v>
      </c>
      <c r="E63" s="91">
        <v>1</v>
      </c>
      <c r="F63" s="92">
        <f>E63</f>
        <v>1</v>
      </c>
      <c r="G63" s="99">
        <v>323.38</v>
      </c>
      <c r="H63" s="93">
        <f t="shared" ref="H63" si="12">SUM(F63*G63/1000)</f>
        <v>0.32338</v>
      </c>
      <c r="I63" s="13">
        <v>0</v>
      </c>
      <c r="J63" s="27"/>
      <c r="L63" s="21"/>
      <c r="M63" s="22"/>
      <c r="N63" s="23"/>
    </row>
    <row r="64" spans="1:14" ht="15.75" hidden="1" customHeight="1">
      <c r="A64" s="45"/>
      <c r="B64" s="76" t="s">
        <v>43</v>
      </c>
      <c r="C64" s="17"/>
      <c r="D64" s="41"/>
      <c r="E64" s="16"/>
      <c r="F64" s="16"/>
      <c r="G64" s="33"/>
      <c r="H64" s="33"/>
      <c r="I64" s="19"/>
      <c r="J64" s="27"/>
      <c r="L64" s="21"/>
      <c r="M64" s="22"/>
      <c r="N64" s="23"/>
    </row>
    <row r="65" spans="1:21" ht="15.75" hidden="1" customHeight="1">
      <c r="A65" s="45">
        <v>17</v>
      </c>
      <c r="B65" s="15" t="s">
        <v>44</v>
      </c>
      <c r="C65" s="17" t="s">
        <v>106</v>
      </c>
      <c r="D65" s="41" t="s">
        <v>63</v>
      </c>
      <c r="E65" s="19">
        <v>10</v>
      </c>
      <c r="F65" s="92">
        <v>10</v>
      </c>
      <c r="G65" s="13">
        <v>276.74</v>
      </c>
      <c r="H65" s="100">
        <f t="shared" ref="H65:H72" si="13">SUM(F65*G65/1000)</f>
        <v>2.7674000000000003</v>
      </c>
      <c r="I65" s="13">
        <v>0</v>
      </c>
      <c r="J65" s="27"/>
      <c r="L65" s="21"/>
      <c r="M65" s="22"/>
      <c r="N65" s="23"/>
    </row>
    <row r="66" spans="1:21" ht="15.75" hidden="1" customHeight="1">
      <c r="A66" s="33">
        <v>29</v>
      </c>
      <c r="B66" s="15" t="s">
        <v>45</v>
      </c>
      <c r="C66" s="17" t="s">
        <v>106</v>
      </c>
      <c r="D66" s="41" t="s">
        <v>63</v>
      </c>
      <c r="E66" s="19">
        <v>3</v>
      </c>
      <c r="F66" s="92">
        <v>3</v>
      </c>
      <c r="G66" s="13">
        <v>94.89</v>
      </c>
      <c r="H66" s="100">
        <f t="shared" si="13"/>
        <v>0.28467000000000003</v>
      </c>
      <c r="I66" s="13">
        <v>0</v>
      </c>
      <c r="J66" s="27"/>
      <c r="L66" s="21"/>
      <c r="M66" s="22"/>
      <c r="N66" s="23"/>
    </row>
    <row r="67" spans="1:21" ht="15.75" hidden="1" customHeight="1">
      <c r="A67" s="33">
        <v>28</v>
      </c>
      <c r="B67" s="15" t="s">
        <v>46</v>
      </c>
      <c r="C67" s="17" t="s">
        <v>109</v>
      </c>
      <c r="D67" s="15" t="s">
        <v>51</v>
      </c>
      <c r="E67" s="91">
        <v>7265</v>
      </c>
      <c r="F67" s="13">
        <f>SUM(E67/100)</f>
        <v>72.650000000000006</v>
      </c>
      <c r="G67" s="13">
        <v>263.99</v>
      </c>
      <c r="H67" s="100">
        <f t="shared" si="13"/>
        <v>19.178873500000002</v>
      </c>
      <c r="I67" s="13">
        <f>F67*G67</f>
        <v>19178.873500000002</v>
      </c>
      <c r="J67" s="27"/>
      <c r="L67" s="21"/>
      <c r="M67" s="22"/>
      <c r="N67" s="23"/>
    </row>
    <row r="68" spans="1:21" ht="15.75" hidden="1" customHeight="1">
      <c r="A68" s="33">
        <v>29</v>
      </c>
      <c r="B68" s="15" t="s">
        <v>47</v>
      </c>
      <c r="C68" s="17" t="s">
        <v>110</v>
      </c>
      <c r="D68" s="15" t="s">
        <v>51</v>
      </c>
      <c r="E68" s="91">
        <v>7265</v>
      </c>
      <c r="F68" s="13">
        <f>SUM(E68/1000)</f>
        <v>7.2649999999999997</v>
      </c>
      <c r="G68" s="13">
        <v>205.57</v>
      </c>
      <c r="H68" s="100">
        <f t="shared" si="13"/>
        <v>1.4934660500000001</v>
      </c>
      <c r="I68" s="13">
        <f t="shared" ref="I68:I71" si="14">F68*G68</f>
        <v>1493.46605</v>
      </c>
      <c r="J68" s="27"/>
      <c r="L68" s="21"/>
      <c r="M68" s="22"/>
      <c r="N68" s="23"/>
    </row>
    <row r="69" spans="1:21" ht="15.75" hidden="1" customHeight="1">
      <c r="A69" s="33">
        <v>30</v>
      </c>
      <c r="B69" s="15" t="s">
        <v>48</v>
      </c>
      <c r="C69" s="17" t="s">
        <v>73</v>
      </c>
      <c r="D69" s="15" t="s">
        <v>51</v>
      </c>
      <c r="E69" s="91">
        <v>1090</v>
      </c>
      <c r="F69" s="13">
        <f>SUM(E69/100)</f>
        <v>10.9</v>
      </c>
      <c r="G69" s="13">
        <v>2581.5300000000002</v>
      </c>
      <c r="H69" s="100">
        <f t="shared" si="13"/>
        <v>28.138677000000005</v>
      </c>
      <c r="I69" s="13">
        <f t="shared" si="14"/>
        <v>28138.677000000003</v>
      </c>
      <c r="J69" s="27"/>
      <c r="L69" s="21"/>
    </row>
    <row r="70" spans="1:21" ht="15.75" hidden="1" customHeight="1">
      <c r="A70" s="33">
        <v>31</v>
      </c>
      <c r="B70" s="101" t="s">
        <v>111</v>
      </c>
      <c r="C70" s="17" t="s">
        <v>30</v>
      </c>
      <c r="D70" s="15"/>
      <c r="E70" s="91">
        <v>7.4</v>
      </c>
      <c r="F70" s="13">
        <f>SUM(E70)</f>
        <v>7.4</v>
      </c>
      <c r="G70" s="13">
        <v>47.45</v>
      </c>
      <c r="H70" s="100">
        <f t="shared" si="13"/>
        <v>0.35113000000000005</v>
      </c>
      <c r="I70" s="13">
        <f t="shared" si="14"/>
        <v>351.13000000000005</v>
      </c>
    </row>
    <row r="71" spans="1:21" ht="15.75" hidden="1" customHeight="1">
      <c r="A71" s="33">
        <v>32</v>
      </c>
      <c r="B71" s="101" t="s">
        <v>155</v>
      </c>
      <c r="C71" s="17" t="s">
        <v>30</v>
      </c>
      <c r="D71" s="15"/>
      <c r="E71" s="91">
        <v>7.4</v>
      </c>
      <c r="F71" s="13">
        <f>SUM(E71)</f>
        <v>7.4</v>
      </c>
      <c r="G71" s="13">
        <v>44.27</v>
      </c>
      <c r="H71" s="100">
        <f t="shared" si="13"/>
        <v>0.327598</v>
      </c>
      <c r="I71" s="13">
        <f t="shared" si="14"/>
        <v>327.59800000000001</v>
      </c>
    </row>
    <row r="72" spans="1:21" ht="15.75" hidden="1" customHeight="1">
      <c r="A72" s="33">
        <v>13</v>
      </c>
      <c r="B72" s="15" t="s">
        <v>54</v>
      </c>
      <c r="C72" s="17" t="s">
        <v>55</v>
      </c>
      <c r="D72" s="15" t="s">
        <v>51</v>
      </c>
      <c r="E72" s="19">
        <v>3</v>
      </c>
      <c r="F72" s="92">
        <f>SUM(E72)</f>
        <v>3</v>
      </c>
      <c r="G72" s="13">
        <v>62.07</v>
      </c>
      <c r="H72" s="100">
        <f t="shared" si="13"/>
        <v>0.18621000000000001</v>
      </c>
      <c r="I72" s="13">
        <v>0</v>
      </c>
    </row>
    <row r="73" spans="1:21" ht="15.75" customHeight="1">
      <c r="A73" s="33"/>
      <c r="B73" s="147" t="s">
        <v>129</v>
      </c>
      <c r="C73" s="70"/>
      <c r="D73" s="35"/>
      <c r="E73" s="12"/>
      <c r="F73" s="12"/>
      <c r="G73" s="40"/>
      <c r="H73" s="40"/>
      <c r="I73" s="19"/>
    </row>
    <row r="74" spans="1:21" ht="30" customHeight="1">
      <c r="A74" s="33">
        <v>11</v>
      </c>
      <c r="B74" s="15" t="s">
        <v>225</v>
      </c>
      <c r="C74" s="33" t="s">
        <v>226</v>
      </c>
      <c r="D74" s="15"/>
      <c r="E74" s="19">
        <v>1832</v>
      </c>
      <c r="F74" s="13">
        <f>E74*12</f>
        <v>21984</v>
      </c>
      <c r="G74" s="13">
        <v>2.7</v>
      </c>
      <c r="H74" s="100">
        <f t="shared" ref="H74" si="15">SUM(F74*G74/1000)</f>
        <v>59.3568</v>
      </c>
      <c r="I74" s="13">
        <f>G74*F74/12</f>
        <v>4946.4000000000005</v>
      </c>
    </row>
    <row r="75" spans="1:21" ht="15.75" hidden="1" customHeight="1">
      <c r="A75" s="57"/>
      <c r="B75" s="76" t="s">
        <v>112</v>
      </c>
      <c r="C75" s="76"/>
      <c r="D75" s="76"/>
      <c r="E75" s="76"/>
      <c r="F75" s="76"/>
      <c r="G75" s="76"/>
      <c r="H75" s="76"/>
      <c r="I75" s="19"/>
      <c r="J75" s="29"/>
      <c r="K75" s="29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1" ht="15.75" hidden="1" customHeight="1">
      <c r="A76" s="33">
        <v>14</v>
      </c>
      <c r="B76" s="102" t="s">
        <v>113</v>
      </c>
      <c r="C76" s="25"/>
      <c r="D76" s="24"/>
      <c r="E76" s="84"/>
      <c r="F76" s="103">
        <v>1</v>
      </c>
      <c r="G76" s="103">
        <v>12171.2</v>
      </c>
      <c r="H76" s="13">
        <f>G76*F76/1000</f>
        <v>12.171200000000001</v>
      </c>
      <c r="I76" s="13">
        <f>G76</f>
        <v>12171.2</v>
      </c>
      <c r="J76" s="3"/>
      <c r="K76" s="3"/>
      <c r="L76" s="3"/>
      <c r="M76" s="3"/>
      <c r="N76" s="3"/>
      <c r="O76" s="3"/>
      <c r="P76" s="3"/>
      <c r="Q76" s="3"/>
      <c r="S76" s="3"/>
      <c r="T76" s="3"/>
      <c r="U76" s="3"/>
    </row>
    <row r="77" spans="1:21" ht="15.75" hidden="1" customHeight="1">
      <c r="A77" s="33"/>
      <c r="B77" s="53" t="s">
        <v>68</v>
      </c>
      <c r="C77" s="53"/>
      <c r="D77" s="53"/>
      <c r="E77" s="19"/>
      <c r="F77" s="19"/>
      <c r="G77" s="33"/>
      <c r="H77" s="33"/>
      <c r="I77" s="19"/>
      <c r="J77" s="5"/>
      <c r="K77" s="5"/>
      <c r="L77" s="5"/>
      <c r="M77" s="5"/>
      <c r="N77" s="5"/>
      <c r="O77" s="5"/>
      <c r="P77" s="5"/>
      <c r="Q77" s="5"/>
      <c r="R77" s="168"/>
      <c r="S77" s="168"/>
      <c r="T77" s="168"/>
      <c r="U77" s="168"/>
    </row>
    <row r="78" spans="1:21" ht="15.75" hidden="1" customHeight="1">
      <c r="A78" s="33"/>
      <c r="B78" s="15" t="s">
        <v>127</v>
      </c>
      <c r="C78" s="17" t="s">
        <v>114</v>
      </c>
      <c r="D78" s="41" t="s">
        <v>63</v>
      </c>
      <c r="E78" s="19">
        <v>1</v>
      </c>
      <c r="F78" s="13">
        <f>E78</f>
        <v>1</v>
      </c>
      <c r="G78" s="13">
        <v>976.4</v>
      </c>
      <c r="H78" s="100">
        <f>F78*G78/1000</f>
        <v>0.97639999999999993</v>
      </c>
      <c r="I78" s="13">
        <v>0</v>
      </c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</row>
    <row r="79" spans="1:21" ht="15.75" hidden="1" customHeight="1">
      <c r="A79" s="33"/>
      <c r="B79" s="15" t="s">
        <v>115</v>
      </c>
      <c r="C79" s="17" t="s">
        <v>116</v>
      </c>
      <c r="D79" s="15"/>
      <c r="E79" s="19">
        <v>1</v>
      </c>
      <c r="F79" s="13">
        <v>1</v>
      </c>
      <c r="G79" s="13">
        <v>750</v>
      </c>
      <c r="H79" s="100">
        <f>F79*G79/1000</f>
        <v>0.75</v>
      </c>
      <c r="I79" s="13">
        <v>0</v>
      </c>
    </row>
    <row r="80" spans="1:21" ht="15.75" hidden="1" customHeight="1">
      <c r="A80" s="33"/>
      <c r="B80" s="15" t="s">
        <v>69</v>
      </c>
      <c r="C80" s="17" t="s">
        <v>71</v>
      </c>
      <c r="D80" s="41" t="s">
        <v>63</v>
      </c>
      <c r="E80" s="19">
        <v>3</v>
      </c>
      <c r="F80" s="13">
        <f>SUM(E80/100)</f>
        <v>0.03</v>
      </c>
      <c r="G80" s="13">
        <v>624.16999999999996</v>
      </c>
      <c r="H80" s="100">
        <f>F80*G80/1000</f>
        <v>1.8725099999999998E-2</v>
      </c>
      <c r="I80" s="13">
        <v>0</v>
      </c>
    </row>
    <row r="81" spans="1:9" ht="15.75" hidden="1" customHeight="1">
      <c r="A81" s="33"/>
      <c r="B81" s="15" t="s">
        <v>70</v>
      </c>
      <c r="C81" s="17" t="s">
        <v>28</v>
      </c>
      <c r="D81" s="41" t="s">
        <v>63</v>
      </c>
      <c r="E81" s="19">
        <v>1</v>
      </c>
      <c r="F81" s="13">
        <v>1</v>
      </c>
      <c r="G81" s="13">
        <v>1061.4100000000001</v>
      </c>
      <c r="H81" s="100">
        <f>F81*G81/1000</f>
        <v>1.0614100000000002</v>
      </c>
      <c r="I81" s="13">
        <v>0</v>
      </c>
    </row>
    <row r="82" spans="1:9" ht="15.75" hidden="1" customHeight="1">
      <c r="A82" s="33">
        <v>17</v>
      </c>
      <c r="B82" s="15" t="s">
        <v>128</v>
      </c>
      <c r="C82" s="17" t="s">
        <v>28</v>
      </c>
      <c r="D82" s="41" t="s">
        <v>63</v>
      </c>
      <c r="E82" s="19">
        <v>1</v>
      </c>
      <c r="F82" s="92">
        <f>SUM(E82)</f>
        <v>1</v>
      </c>
      <c r="G82" s="13">
        <v>446.12</v>
      </c>
      <c r="H82" s="100">
        <f t="shared" ref="H82" si="16">SUM(F82*G82/1000)</f>
        <v>0.44612000000000002</v>
      </c>
      <c r="I82" s="13">
        <v>0</v>
      </c>
    </row>
    <row r="83" spans="1:9" ht="15.75" hidden="1" customHeight="1">
      <c r="A83" s="33"/>
      <c r="B83" s="54" t="s">
        <v>72</v>
      </c>
      <c r="C83" s="42"/>
      <c r="D83" s="33"/>
      <c r="E83" s="19"/>
      <c r="F83" s="19"/>
      <c r="G83" s="40"/>
      <c r="H83" s="40"/>
      <c r="I83" s="19"/>
    </row>
    <row r="84" spans="1:9" ht="15.75" hidden="1" customHeight="1">
      <c r="A84" s="33">
        <v>39</v>
      </c>
      <c r="B84" s="56" t="s">
        <v>117</v>
      </c>
      <c r="C84" s="17" t="s">
        <v>73</v>
      </c>
      <c r="D84" s="15"/>
      <c r="E84" s="19"/>
      <c r="F84" s="13">
        <v>1.35</v>
      </c>
      <c r="G84" s="13">
        <v>3433.68</v>
      </c>
      <c r="H84" s="100">
        <f t="shared" ref="H84" si="17">SUM(F84*G84/1000)</f>
        <v>4.6354679999999995</v>
      </c>
      <c r="I84" s="13">
        <v>0</v>
      </c>
    </row>
    <row r="85" spans="1:9" ht="15.75" customHeight="1">
      <c r="A85" s="181" t="s">
        <v>161</v>
      </c>
      <c r="B85" s="182"/>
      <c r="C85" s="182"/>
      <c r="D85" s="182"/>
      <c r="E85" s="182"/>
      <c r="F85" s="182"/>
      <c r="G85" s="182"/>
      <c r="H85" s="182"/>
      <c r="I85" s="183"/>
    </row>
    <row r="86" spans="1:9" ht="15.75" customHeight="1">
      <c r="A86" s="33">
        <v>12</v>
      </c>
      <c r="B86" s="120" t="s">
        <v>118</v>
      </c>
      <c r="C86" s="42" t="s">
        <v>52</v>
      </c>
      <c r="D86" s="142"/>
      <c r="E86" s="40">
        <v>1832</v>
      </c>
      <c r="F86" s="40">
        <f>SUM(E86*12)</f>
        <v>21984</v>
      </c>
      <c r="G86" s="40">
        <v>3.93</v>
      </c>
      <c r="H86" s="100">
        <f>SUM(F86*G86/1000)</f>
        <v>86.397120000000015</v>
      </c>
      <c r="I86" s="13">
        <f>F86/12*G86</f>
        <v>7199.76</v>
      </c>
    </row>
    <row r="87" spans="1:9" ht="31.5" customHeight="1">
      <c r="A87" s="33">
        <v>13</v>
      </c>
      <c r="B87" s="41" t="s">
        <v>227</v>
      </c>
      <c r="C87" s="42" t="s">
        <v>156</v>
      </c>
      <c r="D87" s="143"/>
      <c r="E87" s="132">
        <f>E86</f>
        <v>1832</v>
      </c>
      <c r="F87" s="40">
        <f>E87*12</f>
        <v>21984</v>
      </c>
      <c r="G87" s="40">
        <v>3.6</v>
      </c>
      <c r="H87" s="100">
        <f>F87*G87/1000</f>
        <v>79.142400000000009</v>
      </c>
      <c r="I87" s="13">
        <f>F87/12*G87</f>
        <v>6595.2</v>
      </c>
    </row>
    <row r="88" spans="1:9" ht="15.75" customHeight="1">
      <c r="A88" s="57"/>
      <c r="B88" s="43" t="s">
        <v>76</v>
      </c>
      <c r="C88" s="45"/>
      <c r="D88" s="16"/>
      <c r="E88" s="16"/>
      <c r="F88" s="16"/>
      <c r="G88" s="19"/>
      <c r="H88" s="19"/>
      <c r="I88" s="36">
        <f>I87+I86+I74+I61+I33+I31+I30+I22+I21+I20+I18+I17+I16</f>
        <v>36323.738515999998</v>
      </c>
    </row>
    <row r="89" spans="1:9" ht="15.75" customHeight="1">
      <c r="A89" s="184" t="s">
        <v>57</v>
      </c>
      <c r="B89" s="185"/>
      <c r="C89" s="185"/>
      <c r="D89" s="185"/>
      <c r="E89" s="185"/>
      <c r="F89" s="185"/>
      <c r="G89" s="185"/>
      <c r="H89" s="185"/>
      <c r="I89" s="186"/>
    </row>
    <row r="90" spans="1:9" ht="15.75" customHeight="1">
      <c r="A90" s="118">
        <v>14</v>
      </c>
      <c r="B90" s="116" t="s">
        <v>216</v>
      </c>
      <c r="C90" s="117" t="s">
        <v>27</v>
      </c>
      <c r="D90" s="143"/>
      <c r="E90" s="40"/>
      <c r="F90" s="40">
        <f>0.502*2</f>
        <v>1.004</v>
      </c>
      <c r="G90" s="40">
        <v>241.69</v>
      </c>
      <c r="H90" s="113"/>
      <c r="I90" s="114">
        <f>G90*1.004</f>
        <v>242.65675999999999</v>
      </c>
    </row>
    <row r="91" spans="1:9" ht="16.5" customHeight="1">
      <c r="A91" s="105">
        <v>15</v>
      </c>
      <c r="B91" s="116" t="s">
        <v>249</v>
      </c>
      <c r="C91" s="149" t="s">
        <v>231</v>
      </c>
      <c r="D91" s="143"/>
      <c r="E91" s="40"/>
      <c r="F91" s="40">
        <v>0.06</v>
      </c>
      <c r="G91" s="40">
        <v>4113.16</v>
      </c>
      <c r="H91" s="112"/>
      <c r="I91" s="114">
        <f>G91*0.06</f>
        <v>246.78959999999998</v>
      </c>
    </row>
    <row r="92" spans="1:9" ht="15.75" customHeight="1">
      <c r="A92" s="33"/>
      <c r="B92" s="50" t="s">
        <v>49</v>
      </c>
      <c r="C92" s="46"/>
      <c r="D92" s="58"/>
      <c r="E92" s="46">
        <v>1</v>
      </c>
      <c r="F92" s="46"/>
      <c r="G92" s="46"/>
      <c r="H92" s="46"/>
      <c r="I92" s="36">
        <f>SUM(I90:I91)</f>
        <v>489.44635999999997</v>
      </c>
    </row>
    <row r="93" spans="1:9" ht="15.75" customHeight="1">
      <c r="A93" s="33"/>
      <c r="B93" s="56" t="s">
        <v>75</v>
      </c>
      <c r="C93" s="16"/>
      <c r="D93" s="16"/>
      <c r="E93" s="47"/>
      <c r="F93" s="47"/>
      <c r="G93" s="48"/>
      <c r="H93" s="48"/>
      <c r="I93" s="18">
        <v>0</v>
      </c>
    </row>
    <row r="94" spans="1:9" ht="15.75" customHeight="1">
      <c r="A94" s="59"/>
      <c r="B94" s="51" t="s">
        <v>157</v>
      </c>
      <c r="C94" s="38"/>
      <c r="D94" s="38"/>
      <c r="E94" s="38"/>
      <c r="F94" s="38"/>
      <c r="G94" s="38"/>
      <c r="H94" s="38"/>
      <c r="I94" s="49">
        <f>I88+I92</f>
        <v>36813.184875999999</v>
      </c>
    </row>
    <row r="95" spans="1:9" ht="15.75" customHeight="1">
      <c r="A95" s="173" t="s">
        <v>250</v>
      </c>
      <c r="B95" s="173"/>
      <c r="C95" s="173"/>
      <c r="D95" s="173"/>
      <c r="E95" s="173"/>
      <c r="F95" s="173"/>
      <c r="G95" s="173"/>
      <c r="H95" s="173"/>
      <c r="I95" s="173"/>
    </row>
    <row r="96" spans="1:9" ht="15.75" customHeight="1">
      <c r="A96" s="77"/>
      <c r="B96" s="187" t="s">
        <v>251</v>
      </c>
      <c r="C96" s="187"/>
      <c r="D96" s="187"/>
      <c r="E96" s="187"/>
      <c r="F96" s="187"/>
      <c r="G96" s="187"/>
      <c r="H96" s="87"/>
      <c r="I96" s="3"/>
    </row>
    <row r="97" spans="1:9" ht="15.75" customHeight="1">
      <c r="A97" s="71"/>
      <c r="B97" s="161" t="s">
        <v>6</v>
      </c>
      <c r="C97" s="161"/>
      <c r="D97" s="161"/>
      <c r="E97" s="161"/>
      <c r="F97" s="161"/>
      <c r="G97" s="161"/>
      <c r="H97" s="28"/>
      <c r="I97" s="5"/>
    </row>
    <row r="98" spans="1:9" ht="15.75" customHeight="1">
      <c r="A98" s="9"/>
      <c r="B98" s="9"/>
      <c r="C98" s="9"/>
      <c r="D98" s="9"/>
      <c r="E98" s="9"/>
      <c r="F98" s="9"/>
      <c r="G98" s="9"/>
      <c r="H98" s="9"/>
      <c r="I98" s="9"/>
    </row>
    <row r="99" spans="1:9" ht="15.75" customHeight="1">
      <c r="A99" s="162" t="s">
        <v>7</v>
      </c>
      <c r="B99" s="162"/>
      <c r="C99" s="162"/>
      <c r="D99" s="162"/>
      <c r="E99" s="162"/>
      <c r="F99" s="162"/>
      <c r="G99" s="162"/>
      <c r="H99" s="162"/>
      <c r="I99" s="162"/>
    </row>
    <row r="100" spans="1:9" ht="15.75" customHeight="1">
      <c r="A100" s="162" t="s">
        <v>8</v>
      </c>
      <c r="B100" s="162"/>
      <c r="C100" s="162"/>
      <c r="D100" s="162"/>
      <c r="E100" s="162"/>
      <c r="F100" s="162"/>
      <c r="G100" s="162"/>
      <c r="H100" s="162"/>
      <c r="I100" s="162"/>
    </row>
    <row r="101" spans="1:9" ht="15.75" customHeight="1">
      <c r="A101" s="163" t="s">
        <v>58</v>
      </c>
      <c r="B101" s="163"/>
      <c r="C101" s="163"/>
      <c r="D101" s="163"/>
      <c r="E101" s="163"/>
      <c r="F101" s="163"/>
      <c r="G101" s="163"/>
      <c r="H101" s="163"/>
      <c r="I101" s="163"/>
    </row>
    <row r="102" spans="1:9" ht="15.75" customHeight="1">
      <c r="A102" s="10"/>
    </row>
    <row r="103" spans="1:9" ht="15.75" customHeight="1">
      <c r="A103" s="164" t="s">
        <v>9</v>
      </c>
      <c r="B103" s="164"/>
      <c r="C103" s="164"/>
      <c r="D103" s="164"/>
      <c r="E103" s="164"/>
      <c r="F103" s="164"/>
      <c r="G103" s="164"/>
      <c r="H103" s="164"/>
      <c r="I103" s="164"/>
    </row>
    <row r="104" spans="1:9" ht="15.75" customHeight="1">
      <c r="A104" s="4"/>
    </row>
    <row r="105" spans="1:9" ht="15.75" customHeight="1">
      <c r="B105" s="74" t="s">
        <v>10</v>
      </c>
      <c r="C105" s="165" t="s">
        <v>195</v>
      </c>
      <c r="D105" s="165"/>
      <c r="E105" s="165"/>
      <c r="F105" s="85"/>
      <c r="I105" s="73"/>
    </row>
    <row r="106" spans="1:9" ht="15.75" customHeight="1">
      <c r="A106" s="71"/>
      <c r="C106" s="161" t="s">
        <v>11</v>
      </c>
      <c r="D106" s="161"/>
      <c r="E106" s="161"/>
      <c r="F106" s="28"/>
      <c r="I106" s="72" t="s">
        <v>12</v>
      </c>
    </row>
    <row r="107" spans="1:9" ht="15.75" customHeight="1">
      <c r="A107" s="29"/>
      <c r="C107" s="11"/>
      <c r="D107" s="11"/>
      <c r="G107" s="11"/>
      <c r="H107" s="11"/>
    </row>
    <row r="108" spans="1:9" ht="15.75" customHeight="1">
      <c r="B108" s="74" t="s">
        <v>13</v>
      </c>
      <c r="C108" s="166"/>
      <c r="D108" s="166"/>
      <c r="E108" s="166"/>
      <c r="F108" s="86"/>
      <c r="I108" s="73"/>
    </row>
    <row r="109" spans="1:9" ht="15.75" customHeight="1">
      <c r="A109" s="71"/>
      <c r="C109" s="168" t="s">
        <v>11</v>
      </c>
      <c r="D109" s="168"/>
      <c r="E109" s="168"/>
      <c r="F109" s="71"/>
      <c r="I109" s="72" t="s">
        <v>12</v>
      </c>
    </row>
    <row r="110" spans="1:9" ht="15.75" customHeight="1">
      <c r="A110" s="4" t="s">
        <v>14</v>
      </c>
    </row>
    <row r="111" spans="1:9" ht="15.75" customHeight="1">
      <c r="A111" s="169" t="s">
        <v>15</v>
      </c>
      <c r="B111" s="169"/>
      <c r="C111" s="169"/>
      <c r="D111" s="169"/>
      <c r="E111" s="169"/>
      <c r="F111" s="169"/>
      <c r="G111" s="169"/>
      <c r="H111" s="169"/>
      <c r="I111" s="169"/>
    </row>
    <row r="112" spans="1:9" ht="45" customHeight="1">
      <c r="A112" s="167" t="s">
        <v>16</v>
      </c>
      <c r="B112" s="167"/>
      <c r="C112" s="167"/>
      <c r="D112" s="167"/>
      <c r="E112" s="167"/>
      <c r="F112" s="167"/>
      <c r="G112" s="167"/>
      <c r="H112" s="167"/>
      <c r="I112" s="167"/>
    </row>
    <row r="113" spans="1:9" ht="30" customHeight="1">
      <c r="A113" s="167" t="s">
        <v>17</v>
      </c>
      <c r="B113" s="167"/>
      <c r="C113" s="167"/>
      <c r="D113" s="167"/>
      <c r="E113" s="167"/>
      <c r="F113" s="167"/>
      <c r="G113" s="167"/>
      <c r="H113" s="167"/>
      <c r="I113" s="167"/>
    </row>
    <row r="114" spans="1:9" ht="30" customHeight="1">
      <c r="A114" s="167" t="s">
        <v>21</v>
      </c>
      <c r="B114" s="167"/>
      <c r="C114" s="167"/>
      <c r="D114" s="167"/>
      <c r="E114" s="167"/>
      <c r="F114" s="167"/>
      <c r="G114" s="167"/>
      <c r="H114" s="167"/>
      <c r="I114" s="167"/>
    </row>
    <row r="115" spans="1:9" ht="15" customHeight="1">
      <c r="A115" s="167" t="s">
        <v>20</v>
      </c>
      <c r="B115" s="167"/>
      <c r="C115" s="167"/>
      <c r="D115" s="167"/>
      <c r="E115" s="167"/>
      <c r="F115" s="167"/>
      <c r="G115" s="167"/>
      <c r="H115" s="167"/>
      <c r="I115" s="167"/>
    </row>
  </sheetData>
  <autoFilter ref="I12:I71"/>
  <mergeCells count="29">
    <mergeCell ref="A14:I14"/>
    <mergeCell ref="A15:I15"/>
    <mergeCell ref="A28:I28"/>
    <mergeCell ref="A43:I43"/>
    <mergeCell ref="A55:I55"/>
    <mergeCell ref="A3:I3"/>
    <mergeCell ref="A4:I4"/>
    <mergeCell ref="A5:I5"/>
    <mergeCell ref="A8:I8"/>
    <mergeCell ref="A10:I10"/>
    <mergeCell ref="R77:U77"/>
    <mergeCell ref="C109:E109"/>
    <mergeCell ref="A89:I89"/>
    <mergeCell ref="A95:I95"/>
    <mergeCell ref="B96:G96"/>
    <mergeCell ref="B97:G97"/>
    <mergeCell ref="A99:I99"/>
    <mergeCell ref="A100:I100"/>
    <mergeCell ref="A101:I101"/>
    <mergeCell ref="A103:I103"/>
    <mergeCell ref="C105:E105"/>
    <mergeCell ref="C106:E106"/>
    <mergeCell ref="C108:E108"/>
    <mergeCell ref="A85:I85"/>
    <mergeCell ref="A111:I111"/>
    <mergeCell ref="A112:I112"/>
    <mergeCell ref="A113:I113"/>
    <mergeCell ref="A114:I114"/>
    <mergeCell ref="A115:I115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U124"/>
  <sheetViews>
    <sheetView topLeftCell="A48" workbookViewId="0">
      <selection activeCell="J108" sqref="J10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3.28515625" hidden="1" customWidth="1"/>
    <col min="6" max="6" width="11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174</v>
      </c>
      <c r="I1" s="30"/>
      <c r="J1" s="1"/>
      <c r="K1" s="1"/>
      <c r="L1" s="1"/>
      <c r="M1" s="1"/>
    </row>
    <row r="2" spans="1:13" ht="15.75" customHeight="1">
      <c r="A2" s="32" t="s">
        <v>59</v>
      </c>
      <c r="J2" s="2"/>
      <c r="K2" s="2"/>
      <c r="L2" s="2"/>
      <c r="M2" s="2"/>
    </row>
    <row r="3" spans="1:13" ht="15.75" customHeight="1">
      <c r="A3" s="174" t="s">
        <v>168</v>
      </c>
      <c r="B3" s="174"/>
      <c r="C3" s="174"/>
      <c r="D3" s="174"/>
      <c r="E3" s="174"/>
      <c r="F3" s="174"/>
      <c r="G3" s="174"/>
      <c r="H3" s="174"/>
      <c r="I3" s="174"/>
      <c r="J3" s="3"/>
      <c r="K3" s="3"/>
      <c r="L3" s="3"/>
    </row>
    <row r="4" spans="1:13" ht="31.5" customHeight="1">
      <c r="A4" s="175" t="s">
        <v>119</v>
      </c>
      <c r="B4" s="175"/>
      <c r="C4" s="175"/>
      <c r="D4" s="175"/>
      <c r="E4" s="175"/>
      <c r="F4" s="175"/>
      <c r="G4" s="175"/>
      <c r="H4" s="175"/>
      <c r="I4" s="175"/>
    </row>
    <row r="5" spans="1:13" ht="15.75" customHeight="1">
      <c r="A5" s="174" t="s">
        <v>252</v>
      </c>
      <c r="B5" s="178"/>
      <c r="C5" s="178"/>
      <c r="D5" s="178"/>
      <c r="E5" s="178"/>
      <c r="F5" s="178"/>
      <c r="G5" s="178"/>
      <c r="H5" s="178"/>
      <c r="I5" s="178"/>
      <c r="J5" s="2"/>
      <c r="K5" s="2"/>
      <c r="L5" s="2"/>
      <c r="M5" s="2"/>
    </row>
    <row r="6" spans="1:13" ht="15.75" customHeight="1">
      <c r="A6" s="2"/>
      <c r="B6" s="75"/>
      <c r="C6" s="75"/>
      <c r="D6" s="75"/>
      <c r="E6" s="75"/>
      <c r="F6" s="75"/>
      <c r="G6" s="75"/>
      <c r="H6" s="75"/>
      <c r="I6" s="34">
        <v>44469</v>
      </c>
      <c r="J6" s="2"/>
      <c r="K6" s="2"/>
      <c r="L6" s="2"/>
      <c r="M6" s="2"/>
    </row>
    <row r="7" spans="1:13" ht="15.75" customHeight="1">
      <c r="B7" s="74"/>
      <c r="C7" s="74"/>
      <c r="D7" s="74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76" t="s">
        <v>220</v>
      </c>
      <c r="B8" s="176"/>
      <c r="C8" s="176"/>
      <c r="D8" s="176"/>
      <c r="E8" s="176"/>
      <c r="F8" s="176"/>
      <c r="G8" s="176"/>
      <c r="H8" s="176"/>
      <c r="I8" s="17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77" t="s">
        <v>144</v>
      </c>
      <c r="B10" s="177"/>
      <c r="C10" s="177"/>
      <c r="D10" s="177"/>
      <c r="E10" s="177"/>
      <c r="F10" s="177"/>
      <c r="G10" s="177"/>
      <c r="H10" s="177"/>
      <c r="I10" s="177"/>
      <c r="J10" s="2"/>
      <c r="K10" s="2"/>
      <c r="L10" s="2"/>
      <c r="M10" s="2"/>
    </row>
    <row r="11" spans="1:13" ht="15.75">
      <c r="A11" s="4"/>
    </row>
    <row r="12" spans="1:13" ht="76.5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79" t="s">
        <v>56</v>
      </c>
      <c r="B14" s="179"/>
      <c r="C14" s="179"/>
      <c r="D14" s="179"/>
      <c r="E14" s="179"/>
      <c r="F14" s="179"/>
      <c r="G14" s="179"/>
      <c r="H14" s="179"/>
      <c r="I14" s="179"/>
      <c r="J14" s="8"/>
      <c r="K14" s="8"/>
      <c r="L14" s="8"/>
      <c r="M14" s="8"/>
    </row>
    <row r="15" spans="1:13" ht="15.75" customHeight="1">
      <c r="A15" s="180" t="s">
        <v>4</v>
      </c>
      <c r="B15" s="180"/>
      <c r="C15" s="180"/>
      <c r="D15" s="180"/>
      <c r="E15" s="180"/>
      <c r="F15" s="180"/>
      <c r="G15" s="180"/>
      <c r="H15" s="180"/>
      <c r="I15" s="180"/>
      <c r="J15" s="8"/>
      <c r="K15" s="8"/>
      <c r="L15" s="8"/>
      <c r="M15" s="8"/>
    </row>
    <row r="16" spans="1:13" ht="15.75" customHeight="1">
      <c r="A16" s="33">
        <v>1</v>
      </c>
      <c r="B16" s="120" t="s">
        <v>81</v>
      </c>
      <c r="C16" s="44" t="s">
        <v>82</v>
      </c>
      <c r="D16" s="120" t="s">
        <v>178</v>
      </c>
      <c r="E16" s="132">
        <v>53.8</v>
      </c>
      <c r="F16" s="122">
        <f>SUM(E16*156/100)</f>
        <v>83.927999999999997</v>
      </c>
      <c r="G16" s="122">
        <v>481.7</v>
      </c>
      <c r="H16" s="93">
        <f t="shared" ref="H16:H22" si="0">SUM(F16*G16/1000)</f>
        <v>40.4281176</v>
      </c>
      <c r="I16" s="13">
        <f>F16/12*G16</f>
        <v>3369.0097999999998</v>
      </c>
      <c r="J16" s="8"/>
      <c r="K16" s="8"/>
      <c r="L16" s="8"/>
      <c r="M16" s="8"/>
    </row>
    <row r="17" spans="1:13" ht="15.75" customHeight="1">
      <c r="A17" s="33">
        <v>2</v>
      </c>
      <c r="B17" s="120" t="s">
        <v>120</v>
      </c>
      <c r="C17" s="44" t="s">
        <v>82</v>
      </c>
      <c r="D17" s="120" t="s">
        <v>179</v>
      </c>
      <c r="E17" s="132">
        <v>107.6</v>
      </c>
      <c r="F17" s="122">
        <f>SUM(E17*104/100)</f>
        <v>111.904</v>
      </c>
      <c r="G17" s="122">
        <v>380.58</v>
      </c>
      <c r="H17" s="93">
        <f t="shared" si="0"/>
        <v>42.588424320000001</v>
      </c>
      <c r="I17" s="13">
        <f>F17/12*G17</f>
        <v>3549.0353599999999</v>
      </c>
      <c r="J17" s="26"/>
      <c r="K17" s="8"/>
      <c r="L17" s="8"/>
      <c r="M17" s="8"/>
    </row>
    <row r="18" spans="1:13" ht="15.75" customHeight="1">
      <c r="A18" s="33">
        <v>3</v>
      </c>
      <c r="B18" s="120" t="s">
        <v>83</v>
      </c>
      <c r="C18" s="44" t="s">
        <v>82</v>
      </c>
      <c r="D18" s="120" t="s">
        <v>180</v>
      </c>
      <c r="E18" s="132">
        <f>SUM(E16+E17)</f>
        <v>161.39999999999998</v>
      </c>
      <c r="F18" s="122">
        <f>SUM(E18*18/100)</f>
        <v>29.052</v>
      </c>
      <c r="G18" s="122">
        <v>889.97</v>
      </c>
      <c r="H18" s="93">
        <f t="shared" si="0"/>
        <v>25.855408439999998</v>
      </c>
      <c r="I18" s="13">
        <f>F18/18*2*G18</f>
        <v>2872.8231599999999</v>
      </c>
      <c r="J18" s="26"/>
      <c r="K18" s="8"/>
      <c r="L18" s="8"/>
      <c r="M18" s="8"/>
    </row>
    <row r="19" spans="1:13" ht="15.75" hidden="1" customHeight="1">
      <c r="A19" s="33">
        <v>4</v>
      </c>
      <c r="B19" s="120" t="s">
        <v>84</v>
      </c>
      <c r="C19" s="44" t="s">
        <v>82</v>
      </c>
      <c r="D19" s="120" t="s">
        <v>186</v>
      </c>
      <c r="E19" s="132">
        <v>15.3</v>
      </c>
      <c r="F19" s="122">
        <f>SUM(E19/100)</f>
        <v>0.153</v>
      </c>
      <c r="G19" s="122">
        <v>1965.89</v>
      </c>
      <c r="H19" s="93">
        <f t="shared" si="0"/>
        <v>0.30078117000000004</v>
      </c>
      <c r="I19" s="13">
        <f>F19*G19</f>
        <v>300.78117000000003</v>
      </c>
      <c r="J19" s="26"/>
      <c r="K19" s="8"/>
      <c r="L19" s="8"/>
      <c r="M19" s="8"/>
    </row>
    <row r="20" spans="1:13" ht="15.75" customHeight="1">
      <c r="A20" s="33">
        <v>4</v>
      </c>
      <c r="B20" s="120" t="s">
        <v>91</v>
      </c>
      <c r="C20" s="44" t="s">
        <v>50</v>
      </c>
      <c r="D20" s="120" t="s">
        <v>184</v>
      </c>
      <c r="E20" s="132">
        <v>4.5</v>
      </c>
      <c r="F20" s="122">
        <f>E20/100*12</f>
        <v>0.54</v>
      </c>
      <c r="G20" s="122">
        <v>1037.97</v>
      </c>
      <c r="H20" s="93">
        <f>SUM(F20*G20/1000)</f>
        <v>0.56050380000000011</v>
      </c>
      <c r="I20" s="13">
        <f>F20*G20/12</f>
        <v>46.708650000000006</v>
      </c>
      <c r="J20" s="26"/>
      <c r="K20" s="8"/>
      <c r="L20" s="8"/>
      <c r="M20" s="8"/>
    </row>
    <row r="21" spans="1:13" ht="15.75" customHeight="1">
      <c r="A21" s="33">
        <v>5</v>
      </c>
      <c r="B21" s="120" t="s">
        <v>87</v>
      </c>
      <c r="C21" s="44" t="s">
        <v>82</v>
      </c>
      <c r="D21" s="120" t="s">
        <v>183</v>
      </c>
      <c r="E21" s="132">
        <v>19.62</v>
      </c>
      <c r="F21" s="122">
        <f>SUM(E21*12/100)</f>
        <v>2.3544</v>
      </c>
      <c r="G21" s="122">
        <v>848.17</v>
      </c>
      <c r="H21" s="93">
        <f t="shared" si="0"/>
        <v>1.996931448</v>
      </c>
      <c r="I21" s="13">
        <f>F21*G21/12</f>
        <v>166.410954</v>
      </c>
      <c r="J21" s="26"/>
      <c r="K21" s="8"/>
      <c r="L21" s="8"/>
      <c r="M21" s="8"/>
    </row>
    <row r="22" spans="1:13" ht="15.75" customHeight="1">
      <c r="A22" s="33">
        <v>6</v>
      </c>
      <c r="B22" s="120" t="s">
        <v>88</v>
      </c>
      <c r="C22" s="44" t="s">
        <v>82</v>
      </c>
      <c r="D22" s="120" t="s">
        <v>183</v>
      </c>
      <c r="E22" s="132">
        <v>8.68</v>
      </c>
      <c r="F22" s="122">
        <f>SUM(E22*12/100)</f>
        <v>1.0415999999999999</v>
      </c>
      <c r="G22" s="122">
        <v>523.94000000000005</v>
      </c>
      <c r="H22" s="93">
        <f t="shared" si="0"/>
        <v>0.54573590400000005</v>
      </c>
      <c r="I22" s="13">
        <f>F22*G22/12</f>
        <v>45.477992</v>
      </c>
      <c r="J22" s="26"/>
      <c r="K22" s="8"/>
      <c r="L22" s="8"/>
      <c r="M22" s="8"/>
    </row>
    <row r="23" spans="1:13" ht="15.75" hidden="1" customHeight="1">
      <c r="A23" s="33">
        <v>8</v>
      </c>
      <c r="B23" s="89" t="s">
        <v>89</v>
      </c>
      <c r="C23" s="90" t="s">
        <v>50</v>
      </c>
      <c r="D23" s="89" t="s">
        <v>86</v>
      </c>
      <c r="E23" s="91">
        <v>215</v>
      </c>
      <c r="F23" s="92">
        <f>SUM(E23/100)</f>
        <v>2.15</v>
      </c>
      <c r="G23" s="92">
        <v>335.05</v>
      </c>
      <c r="H23" s="93">
        <f t="shared" ref="H23:H26" si="1">SUM(F23*G23/1000)</f>
        <v>0.72035749999999998</v>
      </c>
      <c r="I23" s="13">
        <f>F23*G23</f>
        <v>720.35749999999996</v>
      </c>
      <c r="J23" s="26"/>
      <c r="K23" s="8"/>
      <c r="L23" s="8"/>
      <c r="M23" s="8"/>
    </row>
    <row r="24" spans="1:13" ht="15.75" hidden="1" customHeight="1">
      <c r="A24" s="33">
        <v>9</v>
      </c>
      <c r="B24" s="89" t="s">
        <v>90</v>
      </c>
      <c r="C24" s="90" t="s">
        <v>50</v>
      </c>
      <c r="D24" s="89" t="s">
        <v>86</v>
      </c>
      <c r="E24" s="94">
        <v>17.64</v>
      </c>
      <c r="F24" s="92">
        <f>SUM(E24/100)</f>
        <v>0.1764</v>
      </c>
      <c r="G24" s="92">
        <v>55.1</v>
      </c>
      <c r="H24" s="93">
        <f t="shared" si="1"/>
        <v>9.7196399999999999E-3</v>
      </c>
      <c r="I24" s="13">
        <f t="shared" ref="I24:I26" si="2">F24*G24</f>
        <v>9.7196400000000001</v>
      </c>
      <c r="J24" s="26"/>
      <c r="K24" s="8"/>
      <c r="L24" s="8"/>
      <c r="M24" s="8"/>
    </row>
    <row r="25" spans="1:13" ht="15.75" hidden="1" customHeight="1">
      <c r="A25" s="33">
        <v>10</v>
      </c>
      <c r="B25" s="89" t="s">
        <v>92</v>
      </c>
      <c r="C25" s="90" t="s">
        <v>50</v>
      </c>
      <c r="D25" s="89" t="s">
        <v>86</v>
      </c>
      <c r="E25" s="91">
        <v>14.4</v>
      </c>
      <c r="F25" s="92">
        <f>SUM(E25/100)</f>
        <v>0.14400000000000002</v>
      </c>
      <c r="G25" s="92">
        <v>648.04999999999995</v>
      </c>
      <c r="H25" s="93">
        <f>SUM(F25*G25/1000)</f>
        <v>9.3319200000000005E-2</v>
      </c>
      <c r="I25" s="13">
        <f t="shared" si="2"/>
        <v>93.319200000000009</v>
      </c>
      <c r="J25" s="26"/>
      <c r="K25" s="8"/>
      <c r="L25" s="8"/>
      <c r="M25" s="8"/>
    </row>
    <row r="26" spans="1:13" ht="15.75" hidden="1" customHeight="1">
      <c r="A26" s="33">
        <v>11</v>
      </c>
      <c r="B26" s="89" t="s">
        <v>122</v>
      </c>
      <c r="C26" s="90" t="s">
        <v>50</v>
      </c>
      <c r="D26" s="89" t="s">
        <v>51</v>
      </c>
      <c r="E26" s="91">
        <v>9.4499999999999993</v>
      </c>
      <c r="F26" s="92">
        <v>0.09</v>
      </c>
      <c r="G26" s="92">
        <v>268.92</v>
      </c>
      <c r="H26" s="93">
        <f t="shared" si="1"/>
        <v>2.42028E-2</v>
      </c>
      <c r="I26" s="13">
        <f t="shared" si="2"/>
        <v>24.2028</v>
      </c>
      <c r="J26" s="26"/>
      <c r="K26" s="8"/>
      <c r="L26" s="8"/>
      <c r="M26" s="8"/>
    </row>
    <row r="27" spans="1:13" ht="15.75" customHeight="1">
      <c r="A27" s="180" t="s">
        <v>79</v>
      </c>
      <c r="B27" s="180"/>
      <c r="C27" s="180"/>
      <c r="D27" s="180"/>
      <c r="E27" s="180"/>
      <c r="F27" s="180"/>
      <c r="G27" s="180"/>
      <c r="H27" s="180"/>
      <c r="I27" s="180"/>
      <c r="J27" s="26"/>
      <c r="K27" s="8"/>
      <c r="L27" s="8"/>
      <c r="M27" s="8"/>
    </row>
    <row r="28" spans="1:13" ht="15.75" customHeight="1">
      <c r="A28" s="45"/>
      <c r="B28" s="55" t="s">
        <v>26</v>
      </c>
      <c r="C28" s="55"/>
      <c r="D28" s="55"/>
      <c r="E28" s="55"/>
      <c r="F28" s="55"/>
      <c r="G28" s="55"/>
      <c r="H28" s="55"/>
      <c r="I28" s="19"/>
      <c r="J28" s="26"/>
      <c r="K28" s="8"/>
      <c r="L28" s="8"/>
      <c r="M28" s="8"/>
    </row>
    <row r="29" spans="1:13" ht="15.75" customHeight="1">
      <c r="A29" s="45">
        <v>7</v>
      </c>
      <c r="B29" s="120" t="s">
        <v>150</v>
      </c>
      <c r="C29" s="44" t="s">
        <v>52</v>
      </c>
      <c r="D29" s="120" t="s">
        <v>222</v>
      </c>
      <c r="E29" s="122">
        <v>303.39999999999998</v>
      </c>
      <c r="F29" s="122">
        <f>SUM(E29*24)</f>
        <v>7281.5999999999995</v>
      </c>
      <c r="G29" s="122">
        <v>4.67</v>
      </c>
      <c r="H29" s="93">
        <f t="shared" ref="H29:H32" si="3">SUM(F29*G29/1000)</f>
        <v>34.005071999999998</v>
      </c>
      <c r="I29" s="13">
        <f>F29/6*G29</f>
        <v>5667.5119999999997</v>
      </c>
      <c r="J29" s="26"/>
      <c r="K29" s="8"/>
      <c r="L29" s="8"/>
      <c r="M29" s="8"/>
    </row>
    <row r="30" spans="1:13" ht="31.5" customHeight="1">
      <c r="A30" s="45">
        <v>8</v>
      </c>
      <c r="B30" s="120" t="s">
        <v>221</v>
      </c>
      <c r="C30" s="44" t="s">
        <v>93</v>
      </c>
      <c r="D30" s="120" t="s">
        <v>223</v>
      </c>
      <c r="E30" s="122">
        <v>42.5</v>
      </c>
      <c r="F30" s="122">
        <f>SUM(E30*72/1000)</f>
        <v>3.06</v>
      </c>
      <c r="G30" s="122">
        <v>537.1</v>
      </c>
      <c r="H30" s="93">
        <f t="shared" si="3"/>
        <v>1.643526</v>
      </c>
      <c r="I30" s="13">
        <f t="shared" ref="I30:I32" si="4">F30/6*G30</f>
        <v>273.92099999999999</v>
      </c>
      <c r="J30" s="26"/>
      <c r="K30" s="8"/>
      <c r="L30" s="8"/>
      <c r="M30" s="8"/>
    </row>
    <row r="31" spans="1:13" ht="15.75" hidden="1" customHeight="1">
      <c r="A31" s="45">
        <v>16</v>
      </c>
      <c r="B31" s="120" t="s">
        <v>149</v>
      </c>
      <c r="C31" s="44" t="s">
        <v>52</v>
      </c>
      <c r="D31" s="120" t="s">
        <v>51</v>
      </c>
      <c r="E31" s="122">
        <v>632.4</v>
      </c>
      <c r="F31" s="122">
        <f>SUM(E31)</f>
        <v>632.4</v>
      </c>
      <c r="G31" s="122">
        <v>7.07</v>
      </c>
      <c r="H31" s="93">
        <f t="shared" si="3"/>
        <v>4.4710679999999998</v>
      </c>
      <c r="I31" s="13">
        <f>F31*G31</f>
        <v>4471.0680000000002</v>
      </c>
      <c r="J31" s="26"/>
      <c r="K31" s="8"/>
      <c r="L31" s="8"/>
      <c r="M31" s="8"/>
    </row>
    <row r="32" spans="1:13" ht="15.75" customHeight="1">
      <c r="A32" s="45">
        <v>9</v>
      </c>
      <c r="B32" s="120" t="s">
        <v>123</v>
      </c>
      <c r="C32" s="44" t="s">
        <v>38</v>
      </c>
      <c r="D32" s="120" t="s">
        <v>224</v>
      </c>
      <c r="E32" s="122">
        <v>3</v>
      </c>
      <c r="F32" s="122">
        <f>E32*156/100</f>
        <v>4.68</v>
      </c>
      <c r="G32" s="122">
        <v>2018.82</v>
      </c>
      <c r="H32" s="93">
        <f t="shared" si="3"/>
        <v>9.4480775999999995</v>
      </c>
      <c r="I32" s="13">
        <f t="shared" si="4"/>
        <v>1574.6795999999997</v>
      </c>
      <c r="J32" s="26"/>
      <c r="K32" s="8"/>
      <c r="L32" s="8"/>
      <c r="M32" s="8"/>
    </row>
    <row r="33" spans="1:14" ht="15.75" hidden="1" customHeight="1">
      <c r="A33" s="45">
        <v>4</v>
      </c>
      <c r="B33" s="89" t="s">
        <v>61</v>
      </c>
      <c r="C33" s="90" t="s">
        <v>30</v>
      </c>
      <c r="D33" s="89" t="s">
        <v>63</v>
      </c>
      <c r="E33" s="91"/>
      <c r="F33" s="92">
        <v>2</v>
      </c>
      <c r="G33" s="92">
        <v>238.07</v>
      </c>
      <c r="H33" s="93">
        <f t="shared" ref="H33:H34" si="5">SUM(F33*G33/1000)</f>
        <v>0.47614000000000001</v>
      </c>
      <c r="I33" s="13">
        <v>0</v>
      </c>
      <c r="J33" s="26"/>
      <c r="K33" s="8"/>
    </row>
    <row r="34" spans="1:14" ht="15.75" hidden="1" customHeight="1">
      <c r="A34" s="33">
        <v>8</v>
      </c>
      <c r="B34" s="89" t="s">
        <v>62</v>
      </c>
      <c r="C34" s="90" t="s">
        <v>29</v>
      </c>
      <c r="D34" s="89" t="s">
        <v>63</v>
      </c>
      <c r="E34" s="91"/>
      <c r="F34" s="92">
        <v>3</v>
      </c>
      <c r="G34" s="92">
        <v>1413.96</v>
      </c>
      <c r="H34" s="93">
        <f t="shared" si="5"/>
        <v>4.2418800000000001</v>
      </c>
      <c r="I34" s="13">
        <v>0</v>
      </c>
      <c r="J34" s="27"/>
    </row>
    <row r="35" spans="1:14" ht="15.75" hidden="1" customHeight="1">
      <c r="A35" s="45"/>
      <c r="B35" s="53" t="s">
        <v>5</v>
      </c>
      <c r="C35" s="53"/>
      <c r="D35" s="53"/>
      <c r="E35" s="13"/>
      <c r="F35" s="13"/>
      <c r="G35" s="14"/>
      <c r="H35" s="14"/>
      <c r="I35" s="19"/>
      <c r="J35" s="27"/>
    </row>
    <row r="36" spans="1:14" ht="15.75" hidden="1" customHeight="1">
      <c r="A36" s="37">
        <v>6</v>
      </c>
      <c r="B36" s="89" t="s">
        <v>25</v>
      </c>
      <c r="C36" s="90" t="s">
        <v>29</v>
      </c>
      <c r="D36" s="89"/>
      <c r="E36" s="91"/>
      <c r="F36" s="92">
        <v>2</v>
      </c>
      <c r="G36" s="92">
        <v>1900.37</v>
      </c>
      <c r="H36" s="93">
        <f t="shared" ref="H36:H41" si="6">SUM(F36*G36/1000)</f>
        <v>3.8007399999999998</v>
      </c>
      <c r="I36" s="13">
        <f t="shared" ref="I36:I41" si="7">F36/6*G36</f>
        <v>633.45666666666659</v>
      </c>
      <c r="J36" s="27"/>
    </row>
    <row r="37" spans="1:14" ht="15.75" hidden="1" customHeight="1">
      <c r="A37" s="37">
        <v>7</v>
      </c>
      <c r="B37" s="89" t="s">
        <v>64</v>
      </c>
      <c r="C37" s="90" t="s">
        <v>27</v>
      </c>
      <c r="D37" s="89" t="s">
        <v>98</v>
      </c>
      <c r="E37" s="92">
        <v>42.5</v>
      </c>
      <c r="F37" s="92">
        <f>SUM(E37*30/1000)</f>
        <v>1.2749999999999999</v>
      </c>
      <c r="G37" s="92">
        <v>2616.4899999999998</v>
      </c>
      <c r="H37" s="93">
        <f t="shared" si="6"/>
        <v>3.3360247499999995</v>
      </c>
      <c r="I37" s="13">
        <f t="shared" si="7"/>
        <v>556.00412499999993</v>
      </c>
      <c r="J37" s="27"/>
    </row>
    <row r="38" spans="1:14" ht="15.75" hidden="1" customHeight="1">
      <c r="A38" s="37">
        <v>8</v>
      </c>
      <c r="B38" s="89" t="s">
        <v>65</v>
      </c>
      <c r="C38" s="90" t="s">
        <v>27</v>
      </c>
      <c r="D38" s="89" t="s">
        <v>99</v>
      </c>
      <c r="E38" s="92">
        <v>42.5</v>
      </c>
      <c r="F38" s="92">
        <f>SUM(E38*155/1000)</f>
        <v>6.5875000000000004</v>
      </c>
      <c r="G38" s="92">
        <v>436.45</v>
      </c>
      <c r="H38" s="93">
        <f t="shared" si="6"/>
        <v>2.8751143749999999</v>
      </c>
      <c r="I38" s="13">
        <f t="shared" si="7"/>
        <v>479.18572916666665</v>
      </c>
      <c r="J38" s="27"/>
    </row>
    <row r="39" spans="1:14" ht="47.25" hidden="1" customHeight="1">
      <c r="A39" s="37">
        <v>9</v>
      </c>
      <c r="B39" s="89" t="s">
        <v>78</v>
      </c>
      <c r="C39" s="90" t="s">
        <v>93</v>
      </c>
      <c r="D39" s="89" t="s">
        <v>100</v>
      </c>
      <c r="E39" s="92">
        <v>42.5</v>
      </c>
      <c r="F39" s="92">
        <f>SUM(E39*35/1000)</f>
        <v>1.4875</v>
      </c>
      <c r="G39" s="92">
        <v>7221.21</v>
      </c>
      <c r="H39" s="93">
        <f t="shared" si="6"/>
        <v>10.741549875</v>
      </c>
      <c r="I39" s="13">
        <f t="shared" si="7"/>
        <v>1790.2583125000001</v>
      </c>
      <c r="J39" s="27"/>
    </row>
    <row r="40" spans="1:14" ht="15.75" hidden="1" customHeight="1">
      <c r="A40" s="37">
        <v>10</v>
      </c>
      <c r="B40" s="89" t="s">
        <v>101</v>
      </c>
      <c r="C40" s="90" t="s">
        <v>93</v>
      </c>
      <c r="D40" s="89" t="s">
        <v>102</v>
      </c>
      <c r="E40" s="92">
        <v>42.5</v>
      </c>
      <c r="F40" s="92">
        <f>SUM(E40*20/1000)</f>
        <v>0.85</v>
      </c>
      <c r="G40" s="92">
        <v>533.45000000000005</v>
      </c>
      <c r="H40" s="93">
        <f t="shared" si="6"/>
        <v>0.45343250000000002</v>
      </c>
      <c r="I40" s="13">
        <f t="shared" si="7"/>
        <v>75.572083333333339</v>
      </c>
      <c r="J40" s="27"/>
      <c r="L40" s="21"/>
      <c r="M40" s="22"/>
      <c r="N40" s="23"/>
    </row>
    <row r="41" spans="1:14" ht="15.75" hidden="1" customHeight="1">
      <c r="A41" s="37">
        <v>11</v>
      </c>
      <c r="B41" s="89" t="s">
        <v>66</v>
      </c>
      <c r="C41" s="90" t="s">
        <v>30</v>
      </c>
      <c r="D41" s="89"/>
      <c r="E41" s="91"/>
      <c r="F41" s="92">
        <v>0.5</v>
      </c>
      <c r="G41" s="92">
        <v>992.97</v>
      </c>
      <c r="H41" s="93">
        <f t="shared" si="6"/>
        <v>0.49648500000000001</v>
      </c>
      <c r="I41" s="13">
        <f t="shared" si="7"/>
        <v>82.747500000000002</v>
      </c>
      <c r="J41" s="27"/>
      <c r="L41" s="21"/>
      <c r="M41" s="22"/>
      <c r="N41" s="23"/>
    </row>
    <row r="42" spans="1:14" ht="15.75" customHeight="1">
      <c r="A42" s="170" t="s">
        <v>146</v>
      </c>
      <c r="B42" s="171"/>
      <c r="C42" s="171"/>
      <c r="D42" s="171"/>
      <c r="E42" s="171"/>
      <c r="F42" s="171"/>
      <c r="G42" s="171"/>
      <c r="H42" s="171"/>
      <c r="I42" s="172"/>
      <c r="J42" s="27"/>
      <c r="L42" s="21"/>
      <c r="M42" s="22"/>
      <c r="N42" s="23"/>
    </row>
    <row r="43" spans="1:14" ht="15.75" customHeight="1">
      <c r="A43" s="45">
        <v>10</v>
      </c>
      <c r="B43" s="120" t="s">
        <v>103</v>
      </c>
      <c r="C43" s="44" t="s">
        <v>93</v>
      </c>
      <c r="D43" s="120" t="s">
        <v>184</v>
      </c>
      <c r="E43" s="132">
        <v>1060.4000000000001</v>
      </c>
      <c r="F43" s="122">
        <f>SUM(E43*2/1000)</f>
        <v>2.1208</v>
      </c>
      <c r="G43" s="40">
        <v>1255.53</v>
      </c>
      <c r="H43" s="93">
        <f t="shared" ref="H43:H53" si="8">SUM(F43*G43/1000)</f>
        <v>2.6627280240000002</v>
      </c>
      <c r="I43" s="13">
        <f t="shared" ref="I43:I46" si="9">F43/2*G43</f>
        <v>1331.364012</v>
      </c>
      <c r="J43" s="27"/>
      <c r="L43" s="21"/>
      <c r="M43" s="22"/>
      <c r="N43" s="23"/>
    </row>
    <row r="44" spans="1:14" ht="15.75" customHeight="1">
      <c r="A44" s="45">
        <v>11</v>
      </c>
      <c r="B44" s="120" t="s">
        <v>34</v>
      </c>
      <c r="C44" s="44" t="s">
        <v>93</v>
      </c>
      <c r="D44" s="120" t="s">
        <v>184</v>
      </c>
      <c r="E44" s="132">
        <v>659.2</v>
      </c>
      <c r="F44" s="122">
        <f>SUM(E44*2/1000)</f>
        <v>1.3184</v>
      </c>
      <c r="G44" s="40">
        <v>898.48</v>
      </c>
      <c r="H44" s="93">
        <f t="shared" si="8"/>
        <v>1.1845560319999999</v>
      </c>
      <c r="I44" s="13">
        <f t="shared" si="9"/>
        <v>592.27801599999998</v>
      </c>
      <c r="J44" s="27"/>
      <c r="L44" s="21"/>
      <c r="M44" s="22"/>
      <c r="N44" s="23"/>
    </row>
    <row r="45" spans="1:14" ht="15.75" customHeight="1">
      <c r="A45" s="45">
        <v>12</v>
      </c>
      <c r="B45" s="120" t="s">
        <v>35</v>
      </c>
      <c r="C45" s="44" t="s">
        <v>93</v>
      </c>
      <c r="D45" s="120" t="s">
        <v>184</v>
      </c>
      <c r="E45" s="132">
        <v>1156.21</v>
      </c>
      <c r="F45" s="122">
        <f>SUM(E45*2/1000)</f>
        <v>2.3124199999999999</v>
      </c>
      <c r="G45" s="40">
        <v>940.84</v>
      </c>
      <c r="H45" s="93">
        <f t="shared" si="8"/>
        <v>2.1756172327999996</v>
      </c>
      <c r="I45" s="13">
        <f t="shared" si="9"/>
        <v>1087.8086163999999</v>
      </c>
      <c r="J45" s="27"/>
      <c r="L45" s="21"/>
      <c r="M45" s="22"/>
      <c r="N45" s="23"/>
    </row>
    <row r="46" spans="1:14" ht="15.75" customHeight="1">
      <c r="A46" s="45">
        <v>13</v>
      </c>
      <c r="B46" s="120" t="s">
        <v>31</v>
      </c>
      <c r="C46" s="44" t="s">
        <v>32</v>
      </c>
      <c r="D46" s="120" t="s">
        <v>184</v>
      </c>
      <c r="E46" s="132">
        <v>15.4</v>
      </c>
      <c r="F46" s="122">
        <f>SUM(E46*2/100)</f>
        <v>0.308</v>
      </c>
      <c r="G46" s="40">
        <v>112.9</v>
      </c>
      <c r="H46" s="93">
        <f t="shared" si="8"/>
        <v>3.4773200000000004E-2</v>
      </c>
      <c r="I46" s="13">
        <f t="shared" si="9"/>
        <v>17.386600000000001</v>
      </c>
      <c r="J46" s="27"/>
      <c r="L46" s="21"/>
      <c r="M46" s="22"/>
      <c r="N46" s="23"/>
    </row>
    <row r="47" spans="1:14" ht="15.75" customHeight="1">
      <c r="A47" s="45">
        <v>14</v>
      </c>
      <c r="B47" s="127" t="s">
        <v>53</v>
      </c>
      <c r="C47" s="128" t="s">
        <v>93</v>
      </c>
      <c r="D47" s="127" t="s">
        <v>184</v>
      </c>
      <c r="E47" s="129">
        <v>823</v>
      </c>
      <c r="F47" s="130">
        <f>SUM(E47*5/1000)</f>
        <v>4.1150000000000002</v>
      </c>
      <c r="G47" s="115">
        <v>1881.64</v>
      </c>
      <c r="H47" s="93">
        <f t="shared" si="8"/>
        <v>7.742948600000001</v>
      </c>
      <c r="I47" s="13">
        <f>F47/5*G47</f>
        <v>1548.5897200000002</v>
      </c>
      <c r="J47" s="27"/>
      <c r="L47" s="21"/>
      <c r="M47" s="22"/>
      <c r="N47" s="23"/>
    </row>
    <row r="48" spans="1:14" ht="34.5" customHeight="1">
      <c r="A48" s="45">
        <v>15</v>
      </c>
      <c r="B48" s="120" t="s">
        <v>104</v>
      </c>
      <c r="C48" s="44" t="s">
        <v>93</v>
      </c>
      <c r="D48" s="120" t="s">
        <v>184</v>
      </c>
      <c r="E48" s="132">
        <v>823</v>
      </c>
      <c r="F48" s="122">
        <f>SUM(E48*2/1000)</f>
        <v>1.6459999999999999</v>
      </c>
      <c r="G48" s="40">
        <v>1881.64</v>
      </c>
      <c r="H48" s="93">
        <f t="shared" si="8"/>
        <v>3.0971794399999997</v>
      </c>
      <c r="I48" s="13">
        <f>F48/2*G48</f>
        <v>1548.5897199999999</v>
      </c>
      <c r="J48" s="27"/>
      <c r="L48" s="21"/>
      <c r="M48" s="22"/>
      <c r="N48" s="23"/>
    </row>
    <row r="49" spans="1:14" ht="31.5" customHeight="1">
      <c r="A49" s="45">
        <v>16</v>
      </c>
      <c r="B49" s="120" t="s">
        <v>105</v>
      </c>
      <c r="C49" s="44" t="s">
        <v>36</v>
      </c>
      <c r="D49" s="120" t="s">
        <v>184</v>
      </c>
      <c r="E49" s="132">
        <v>9</v>
      </c>
      <c r="F49" s="122">
        <f>SUM(E49*2/100)</f>
        <v>0.18</v>
      </c>
      <c r="G49" s="40">
        <v>4233.72</v>
      </c>
      <c r="H49" s="93">
        <f t="shared" si="8"/>
        <v>0.76206960000000001</v>
      </c>
      <c r="I49" s="13">
        <f>F49/2*G49</f>
        <v>381.03480000000002</v>
      </c>
      <c r="J49" s="27"/>
      <c r="L49" s="21"/>
      <c r="M49" s="22"/>
      <c r="N49" s="23"/>
    </row>
    <row r="50" spans="1:14" ht="21" customHeight="1">
      <c r="A50" s="45">
        <v>17</v>
      </c>
      <c r="B50" s="120" t="s">
        <v>37</v>
      </c>
      <c r="C50" s="44" t="s">
        <v>38</v>
      </c>
      <c r="D50" s="120" t="s">
        <v>184</v>
      </c>
      <c r="E50" s="132">
        <v>1</v>
      </c>
      <c r="F50" s="122">
        <v>0.02</v>
      </c>
      <c r="G50" s="40">
        <v>8763.7900000000009</v>
      </c>
      <c r="H50" s="93">
        <f t="shared" si="8"/>
        <v>0.17527580000000004</v>
      </c>
      <c r="I50" s="13">
        <f t="shared" ref="I50:I51" si="10">F50/2*G50</f>
        <v>87.637900000000016</v>
      </c>
      <c r="J50" s="27"/>
      <c r="L50" s="21"/>
      <c r="M50" s="22"/>
      <c r="N50" s="23"/>
    </row>
    <row r="51" spans="1:14" ht="15.75" hidden="1" customHeight="1">
      <c r="A51" s="45">
        <v>18</v>
      </c>
      <c r="B51" s="120" t="s">
        <v>124</v>
      </c>
      <c r="C51" s="44" t="s">
        <v>106</v>
      </c>
      <c r="D51" s="120">
        <v>1</v>
      </c>
      <c r="E51" s="132">
        <v>30</v>
      </c>
      <c r="F51" s="122">
        <f>SUM(E51*3)</f>
        <v>90</v>
      </c>
      <c r="G51" s="134">
        <v>218.81</v>
      </c>
      <c r="H51" s="93">
        <f t="shared" si="8"/>
        <v>19.692900000000002</v>
      </c>
      <c r="I51" s="13">
        <f t="shared" si="10"/>
        <v>9846.4500000000007</v>
      </c>
      <c r="J51" s="27"/>
      <c r="L51" s="21"/>
      <c r="M51" s="22"/>
      <c r="N51" s="23"/>
    </row>
    <row r="52" spans="1:14" ht="15.75" hidden="1" customHeight="1">
      <c r="A52" s="45">
        <v>10</v>
      </c>
      <c r="B52" s="120" t="s">
        <v>39</v>
      </c>
      <c r="C52" s="44" t="s">
        <v>106</v>
      </c>
      <c r="D52" s="120" t="s">
        <v>67</v>
      </c>
      <c r="E52" s="132">
        <v>60</v>
      </c>
      <c r="F52" s="122">
        <f>SUM(E52)*3</f>
        <v>180</v>
      </c>
      <c r="G52" s="134">
        <v>101.85</v>
      </c>
      <c r="H52" s="93">
        <f t="shared" si="8"/>
        <v>18.332999999999998</v>
      </c>
      <c r="I52" s="13">
        <f>E52*G52</f>
        <v>6111</v>
      </c>
      <c r="J52" s="27"/>
      <c r="L52" s="21"/>
      <c r="M52" s="22"/>
      <c r="N52" s="23"/>
    </row>
    <row r="53" spans="1:14" ht="15.75" hidden="1" customHeight="1">
      <c r="A53" s="45">
        <v>11</v>
      </c>
      <c r="B53" s="89" t="s">
        <v>39</v>
      </c>
      <c r="C53" s="90" t="s">
        <v>106</v>
      </c>
      <c r="D53" s="89" t="s">
        <v>67</v>
      </c>
      <c r="E53" s="91">
        <v>36</v>
      </c>
      <c r="F53" s="92">
        <f>SUM(E53)*3</f>
        <v>108</v>
      </c>
      <c r="G53" s="13">
        <v>81.73</v>
      </c>
      <c r="H53" s="93">
        <f t="shared" si="8"/>
        <v>8.8268400000000007</v>
      </c>
      <c r="I53" s="13">
        <f>E53*G53</f>
        <v>2942.28</v>
      </c>
      <c r="J53" s="27"/>
      <c r="L53" s="21"/>
      <c r="M53" s="22"/>
      <c r="N53" s="23"/>
    </row>
    <row r="54" spans="1:14" ht="15.75" customHeight="1">
      <c r="A54" s="170" t="s">
        <v>147</v>
      </c>
      <c r="B54" s="171"/>
      <c r="C54" s="171"/>
      <c r="D54" s="171"/>
      <c r="E54" s="171"/>
      <c r="F54" s="171"/>
      <c r="G54" s="171"/>
      <c r="H54" s="171"/>
      <c r="I54" s="172"/>
      <c r="J54" s="27"/>
      <c r="L54" s="21"/>
      <c r="M54" s="22"/>
      <c r="N54" s="23"/>
    </row>
    <row r="55" spans="1:14" ht="15.75" hidden="1" customHeight="1">
      <c r="A55" s="57"/>
      <c r="B55" s="52" t="s">
        <v>41</v>
      </c>
      <c r="C55" s="17"/>
      <c r="D55" s="16"/>
      <c r="E55" s="16"/>
      <c r="F55" s="16"/>
      <c r="G55" s="33"/>
      <c r="H55" s="33"/>
      <c r="I55" s="19"/>
      <c r="J55" s="27"/>
      <c r="L55" s="21"/>
      <c r="M55" s="22"/>
      <c r="N55" s="23"/>
    </row>
    <row r="56" spans="1:14" ht="31.5" hidden="1" customHeight="1">
      <c r="A56" s="45">
        <v>12</v>
      </c>
      <c r="B56" s="89" t="s">
        <v>152</v>
      </c>
      <c r="C56" s="90" t="s">
        <v>82</v>
      </c>
      <c r="D56" s="89" t="s">
        <v>107</v>
      </c>
      <c r="E56" s="91">
        <v>71.02</v>
      </c>
      <c r="F56" s="92">
        <f>SUM(E56*6/100)</f>
        <v>4.2611999999999997</v>
      </c>
      <c r="G56" s="13">
        <v>2306.62</v>
      </c>
      <c r="H56" s="93">
        <f>SUM(F56*G56/1000)</f>
        <v>9.8289691439999984</v>
      </c>
      <c r="I56" s="13">
        <f>F56/6*G56</f>
        <v>1638.1615239999999</v>
      </c>
      <c r="J56" s="27"/>
      <c r="L56" s="21"/>
      <c r="M56" s="22"/>
      <c r="N56" s="23"/>
    </row>
    <row r="57" spans="1:14" ht="15.75" hidden="1" customHeight="1">
      <c r="A57" s="45"/>
      <c r="B57" s="89" t="s">
        <v>108</v>
      </c>
      <c r="C57" s="90" t="s">
        <v>153</v>
      </c>
      <c r="D57" s="89" t="s">
        <v>63</v>
      </c>
      <c r="E57" s="97"/>
      <c r="F57" s="92">
        <v>2</v>
      </c>
      <c r="G57" s="92">
        <v>1501</v>
      </c>
      <c r="H57" s="93">
        <f>SUM(F57*G57/1000)</f>
        <v>3.0019999999999998</v>
      </c>
      <c r="I57" s="13">
        <v>0</v>
      </c>
      <c r="J57" s="27"/>
      <c r="L57" s="21"/>
      <c r="M57" s="22"/>
      <c r="N57" s="23"/>
    </row>
    <row r="58" spans="1:14" ht="15.75" customHeight="1">
      <c r="A58" s="45"/>
      <c r="B58" s="76" t="s">
        <v>42</v>
      </c>
      <c r="C58" s="76"/>
      <c r="D58" s="76"/>
      <c r="E58" s="76"/>
      <c r="F58" s="76"/>
      <c r="G58" s="76"/>
      <c r="H58" s="76"/>
      <c r="I58" s="39"/>
      <c r="J58" s="27"/>
      <c r="L58" s="21"/>
      <c r="M58" s="22"/>
      <c r="N58" s="23"/>
    </row>
    <row r="59" spans="1:14" ht="15.75" hidden="1" customHeight="1">
      <c r="A59" s="45">
        <v>27</v>
      </c>
      <c r="B59" s="89" t="s">
        <v>154</v>
      </c>
      <c r="C59" s="90" t="s">
        <v>50</v>
      </c>
      <c r="D59" s="89" t="s">
        <v>51</v>
      </c>
      <c r="E59" s="91">
        <v>434.4</v>
      </c>
      <c r="F59" s="93">
        <f>SUM(E59/100)</f>
        <v>4.3439999999999994</v>
      </c>
      <c r="G59" s="13">
        <v>987.51</v>
      </c>
      <c r="H59" s="98">
        <f>F59*G59/1000</f>
        <v>4.2897434399999996</v>
      </c>
      <c r="I59" s="13">
        <v>0</v>
      </c>
      <c r="J59" s="27"/>
      <c r="L59" s="21"/>
      <c r="M59" s="22"/>
      <c r="N59" s="23"/>
    </row>
    <row r="60" spans="1:14" ht="15.75" customHeight="1">
      <c r="A60" s="45">
        <v>18</v>
      </c>
      <c r="B60" s="120" t="s">
        <v>172</v>
      </c>
      <c r="C60" s="44" t="s">
        <v>173</v>
      </c>
      <c r="D60" s="120" t="s">
        <v>184</v>
      </c>
      <c r="E60" s="132">
        <v>12</v>
      </c>
      <c r="F60" s="138">
        <f>E60*12</f>
        <v>144</v>
      </c>
      <c r="G60" s="40">
        <v>1.4</v>
      </c>
      <c r="H60" s="112"/>
      <c r="I60" s="13">
        <f>G60*F60/12</f>
        <v>16.8</v>
      </c>
      <c r="J60" s="27"/>
      <c r="L60" s="21"/>
      <c r="M60" s="22"/>
      <c r="N60" s="23"/>
    </row>
    <row r="61" spans="1:14" ht="15.75" hidden="1" customHeight="1">
      <c r="A61" s="45"/>
      <c r="B61" s="69" t="s">
        <v>125</v>
      </c>
      <c r="C61" s="44"/>
      <c r="D61" s="68"/>
      <c r="E61" s="67"/>
      <c r="F61" s="67"/>
      <c r="G61" s="40"/>
      <c r="H61" s="40"/>
      <c r="I61" s="20"/>
      <c r="J61" s="27"/>
      <c r="L61" s="21"/>
      <c r="M61" s="22"/>
      <c r="N61" s="23"/>
    </row>
    <row r="62" spans="1:14" ht="15.75" hidden="1" customHeight="1">
      <c r="A62" s="45"/>
      <c r="B62" s="89" t="s">
        <v>126</v>
      </c>
      <c r="C62" s="90" t="s">
        <v>106</v>
      </c>
      <c r="D62" s="41" t="s">
        <v>63</v>
      </c>
      <c r="E62" s="91">
        <v>1</v>
      </c>
      <c r="F62" s="92">
        <f>E62</f>
        <v>1</v>
      </c>
      <c r="G62" s="99">
        <v>323.38</v>
      </c>
      <c r="H62" s="93">
        <f t="shared" ref="H62" si="11">SUM(F62*G62/1000)</f>
        <v>0.32338</v>
      </c>
      <c r="I62" s="13">
        <v>0</v>
      </c>
      <c r="J62" s="27"/>
      <c r="L62" s="21"/>
      <c r="M62" s="22"/>
      <c r="N62" s="23"/>
    </row>
    <row r="63" spans="1:14" ht="15.75" customHeight="1">
      <c r="A63" s="45"/>
      <c r="B63" s="76" t="s">
        <v>43</v>
      </c>
      <c r="C63" s="17"/>
      <c r="D63" s="41"/>
      <c r="E63" s="16"/>
      <c r="F63" s="16"/>
      <c r="G63" s="33"/>
      <c r="H63" s="33"/>
      <c r="I63" s="19"/>
      <c r="J63" s="27"/>
      <c r="L63" s="21"/>
      <c r="M63" s="22"/>
      <c r="N63" s="23"/>
    </row>
    <row r="64" spans="1:14" ht="15.75" hidden="1" customHeight="1">
      <c r="A64" s="45">
        <v>17</v>
      </c>
      <c r="B64" s="15" t="s">
        <v>44</v>
      </c>
      <c r="C64" s="17" t="s">
        <v>106</v>
      </c>
      <c r="D64" s="41" t="s">
        <v>63</v>
      </c>
      <c r="E64" s="19">
        <v>10</v>
      </c>
      <c r="F64" s="92">
        <v>10</v>
      </c>
      <c r="G64" s="13">
        <v>276.74</v>
      </c>
      <c r="H64" s="100">
        <f t="shared" ref="H64:H71" si="12">SUM(F64*G64/1000)</f>
        <v>2.7674000000000003</v>
      </c>
      <c r="I64" s="13">
        <v>0</v>
      </c>
      <c r="J64" s="27"/>
      <c r="L64" s="21"/>
      <c r="M64" s="22"/>
      <c r="N64" s="23"/>
    </row>
    <row r="65" spans="1:21" ht="15.75" hidden="1" customHeight="1">
      <c r="A65" s="33">
        <v>29</v>
      </c>
      <c r="B65" s="15" t="s">
        <v>45</v>
      </c>
      <c r="C65" s="17" t="s">
        <v>106</v>
      </c>
      <c r="D65" s="41" t="s">
        <v>63</v>
      </c>
      <c r="E65" s="19">
        <v>3</v>
      </c>
      <c r="F65" s="92">
        <v>3</v>
      </c>
      <c r="G65" s="13">
        <v>94.89</v>
      </c>
      <c r="H65" s="100">
        <f t="shared" si="12"/>
        <v>0.28467000000000003</v>
      </c>
      <c r="I65" s="13">
        <v>0</v>
      </c>
      <c r="J65" s="27"/>
      <c r="L65" s="21"/>
      <c r="M65" s="22"/>
      <c r="N65" s="23"/>
    </row>
    <row r="66" spans="1:21" ht="15.75" hidden="1" customHeight="1">
      <c r="A66" s="33">
        <v>28</v>
      </c>
      <c r="B66" s="15" t="s">
        <v>46</v>
      </c>
      <c r="C66" s="17" t="s">
        <v>109</v>
      </c>
      <c r="D66" s="15" t="s">
        <v>51</v>
      </c>
      <c r="E66" s="91">
        <v>7265</v>
      </c>
      <c r="F66" s="13">
        <f>SUM(E66/100)</f>
        <v>72.650000000000006</v>
      </c>
      <c r="G66" s="13">
        <v>263.99</v>
      </c>
      <c r="H66" s="100">
        <f t="shared" si="12"/>
        <v>19.178873500000002</v>
      </c>
      <c r="I66" s="13">
        <f>F66*G66</f>
        <v>19178.873500000002</v>
      </c>
      <c r="J66" s="27"/>
      <c r="L66" s="21"/>
      <c r="M66" s="22"/>
      <c r="N66" s="23"/>
    </row>
    <row r="67" spans="1:21" ht="15.75" hidden="1" customHeight="1">
      <c r="A67" s="33">
        <v>29</v>
      </c>
      <c r="B67" s="15" t="s">
        <v>47</v>
      </c>
      <c r="C67" s="17" t="s">
        <v>110</v>
      </c>
      <c r="D67" s="15" t="s">
        <v>51</v>
      </c>
      <c r="E67" s="91">
        <v>7265</v>
      </c>
      <c r="F67" s="13">
        <f>SUM(E67/1000)</f>
        <v>7.2649999999999997</v>
      </c>
      <c r="G67" s="13">
        <v>205.57</v>
      </c>
      <c r="H67" s="100">
        <f t="shared" si="12"/>
        <v>1.4934660500000001</v>
      </c>
      <c r="I67" s="13">
        <f t="shared" ref="I67:I70" si="13">F67*G67</f>
        <v>1493.46605</v>
      </c>
      <c r="J67" s="27"/>
      <c r="L67" s="21"/>
      <c r="M67" s="22"/>
      <c r="N67" s="23"/>
    </row>
    <row r="68" spans="1:21" ht="15.75" hidden="1" customHeight="1">
      <c r="A68" s="33">
        <v>30</v>
      </c>
      <c r="B68" s="15" t="s">
        <v>48</v>
      </c>
      <c r="C68" s="17" t="s">
        <v>73</v>
      </c>
      <c r="D68" s="15" t="s">
        <v>51</v>
      </c>
      <c r="E68" s="91">
        <v>1090</v>
      </c>
      <c r="F68" s="13">
        <f>SUM(E68/100)</f>
        <v>10.9</v>
      </c>
      <c r="G68" s="13">
        <v>2581.5300000000002</v>
      </c>
      <c r="H68" s="100">
        <f t="shared" si="12"/>
        <v>28.138677000000005</v>
      </c>
      <c r="I68" s="13">
        <f t="shared" si="13"/>
        <v>28138.677000000003</v>
      </c>
      <c r="J68" s="27"/>
      <c r="L68" s="21"/>
    </row>
    <row r="69" spans="1:21" ht="15.75" hidden="1" customHeight="1">
      <c r="A69" s="33">
        <v>31</v>
      </c>
      <c r="B69" s="101" t="s">
        <v>111</v>
      </c>
      <c r="C69" s="17" t="s">
        <v>30</v>
      </c>
      <c r="D69" s="15"/>
      <c r="E69" s="91">
        <v>7.4</v>
      </c>
      <c r="F69" s="13">
        <f>SUM(E69)</f>
        <v>7.4</v>
      </c>
      <c r="G69" s="13">
        <v>47.45</v>
      </c>
      <c r="H69" s="100">
        <f t="shared" si="12"/>
        <v>0.35113000000000005</v>
      </c>
      <c r="I69" s="13">
        <f t="shared" si="13"/>
        <v>351.13000000000005</v>
      </c>
    </row>
    <row r="70" spans="1:21" ht="15.75" hidden="1" customHeight="1">
      <c r="A70" s="33">
        <v>32</v>
      </c>
      <c r="B70" s="101" t="s">
        <v>155</v>
      </c>
      <c r="C70" s="17" t="s">
        <v>30</v>
      </c>
      <c r="D70" s="15"/>
      <c r="E70" s="91">
        <v>7.4</v>
      </c>
      <c r="F70" s="13">
        <f>SUM(E70)</f>
        <v>7.4</v>
      </c>
      <c r="G70" s="13">
        <v>44.27</v>
      </c>
      <c r="H70" s="100">
        <f t="shared" si="12"/>
        <v>0.327598</v>
      </c>
      <c r="I70" s="13">
        <f t="shared" si="13"/>
        <v>327.59800000000001</v>
      </c>
    </row>
    <row r="71" spans="1:21" ht="15.75" customHeight="1">
      <c r="A71" s="33">
        <v>19</v>
      </c>
      <c r="B71" s="41" t="s">
        <v>54</v>
      </c>
      <c r="C71" s="42" t="s">
        <v>55</v>
      </c>
      <c r="D71" s="41" t="s">
        <v>183</v>
      </c>
      <c r="E71" s="18">
        <v>2</v>
      </c>
      <c r="F71" s="122">
        <f>SUM(E71)</f>
        <v>2</v>
      </c>
      <c r="G71" s="40">
        <v>77.34</v>
      </c>
      <c r="H71" s="100">
        <f t="shared" si="12"/>
        <v>0.15468000000000001</v>
      </c>
      <c r="I71" s="13">
        <f>G71*3</f>
        <v>232.02</v>
      </c>
    </row>
    <row r="72" spans="1:21" ht="15.75" hidden="1" customHeight="1">
      <c r="A72" s="57"/>
      <c r="B72" s="76" t="s">
        <v>112</v>
      </c>
      <c r="C72" s="76"/>
      <c r="D72" s="76"/>
      <c r="E72" s="76"/>
      <c r="F72" s="76"/>
      <c r="G72" s="76"/>
      <c r="H72" s="76"/>
      <c r="I72" s="19"/>
      <c r="J72" s="29"/>
      <c r="K72" s="29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ht="15.75" hidden="1" customHeight="1">
      <c r="A73" s="33">
        <v>20</v>
      </c>
      <c r="B73" s="102" t="s">
        <v>113</v>
      </c>
      <c r="C73" s="25"/>
      <c r="D73" s="24"/>
      <c r="E73" s="84"/>
      <c r="F73" s="103">
        <v>1</v>
      </c>
      <c r="G73" s="103">
        <v>380</v>
      </c>
      <c r="H73" s="13">
        <f>G73*F73/1000</f>
        <v>0.38</v>
      </c>
      <c r="I73" s="13">
        <f>G73</f>
        <v>380</v>
      </c>
      <c r="J73" s="3"/>
      <c r="K73" s="3"/>
      <c r="L73" s="3"/>
      <c r="M73" s="3"/>
      <c r="N73" s="3"/>
      <c r="O73" s="3"/>
      <c r="P73" s="3"/>
      <c r="Q73" s="3"/>
      <c r="S73" s="3"/>
      <c r="T73" s="3"/>
      <c r="U73" s="3"/>
    </row>
    <row r="74" spans="1:21" ht="15.75" hidden="1" customHeight="1">
      <c r="A74" s="33"/>
      <c r="B74" s="53" t="s">
        <v>68</v>
      </c>
      <c r="C74" s="53"/>
      <c r="D74" s="53"/>
      <c r="E74" s="19"/>
      <c r="F74" s="19"/>
      <c r="G74" s="33"/>
      <c r="H74" s="33"/>
      <c r="I74" s="19"/>
      <c r="J74" s="5"/>
      <c r="K74" s="5"/>
      <c r="L74" s="5"/>
      <c r="M74" s="5"/>
      <c r="N74" s="5"/>
      <c r="O74" s="5"/>
      <c r="P74" s="5"/>
      <c r="Q74" s="5"/>
      <c r="R74" s="168"/>
      <c r="S74" s="168"/>
      <c r="T74" s="168"/>
      <c r="U74" s="168"/>
    </row>
    <row r="75" spans="1:21" ht="15.75" hidden="1" customHeight="1">
      <c r="A75" s="33"/>
      <c r="B75" s="15" t="s">
        <v>127</v>
      </c>
      <c r="C75" s="17" t="s">
        <v>114</v>
      </c>
      <c r="D75" s="41" t="s">
        <v>63</v>
      </c>
      <c r="E75" s="19">
        <v>1</v>
      </c>
      <c r="F75" s="13">
        <f>E75</f>
        <v>1</v>
      </c>
      <c r="G75" s="13">
        <v>976.4</v>
      </c>
      <c r="H75" s="100">
        <f>F75*G75/1000</f>
        <v>0.97639999999999993</v>
      </c>
      <c r="I75" s="13">
        <v>0</v>
      </c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</row>
    <row r="76" spans="1:21" ht="15.75" hidden="1" customHeight="1">
      <c r="A76" s="33"/>
      <c r="B76" s="15" t="s">
        <v>115</v>
      </c>
      <c r="C76" s="17" t="s">
        <v>116</v>
      </c>
      <c r="D76" s="15"/>
      <c r="E76" s="19">
        <v>1</v>
      </c>
      <c r="F76" s="13">
        <v>1</v>
      </c>
      <c r="G76" s="13">
        <v>750</v>
      </c>
      <c r="H76" s="100">
        <f>F76*G76/1000</f>
        <v>0.75</v>
      </c>
      <c r="I76" s="13">
        <v>0</v>
      </c>
    </row>
    <row r="77" spans="1:21" ht="15.75" hidden="1" customHeight="1">
      <c r="A77" s="33"/>
      <c r="B77" s="15" t="s">
        <v>69</v>
      </c>
      <c r="C77" s="17" t="s">
        <v>71</v>
      </c>
      <c r="D77" s="41" t="s">
        <v>63</v>
      </c>
      <c r="E77" s="19">
        <v>3</v>
      </c>
      <c r="F77" s="13">
        <f>SUM(E77/100)</f>
        <v>0.03</v>
      </c>
      <c r="G77" s="13">
        <v>624.16999999999996</v>
      </c>
      <c r="H77" s="100">
        <f>F77*G77/1000</f>
        <v>1.8725099999999998E-2</v>
      </c>
      <c r="I77" s="13">
        <v>0</v>
      </c>
    </row>
    <row r="78" spans="1:21" ht="15.75" hidden="1" customHeight="1">
      <c r="A78" s="33"/>
      <c r="B78" s="15" t="s">
        <v>70</v>
      </c>
      <c r="C78" s="17" t="s">
        <v>28</v>
      </c>
      <c r="D78" s="41" t="s">
        <v>63</v>
      </c>
      <c r="E78" s="19">
        <v>1</v>
      </c>
      <c r="F78" s="13">
        <v>1</v>
      </c>
      <c r="G78" s="13">
        <v>1061.4100000000001</v>
      </c>
      <c r="H78" s="100">
        <f>F78*G78/1000</f>
        <v>1.0614100000000002</v>
      </c>
      <c r="I78" s="13">
        <v>0</v>
      </c>
    </row>
    <row r="79" spans="1:21" ht="15.75" hidden="1" customHeight="1">
      <c r="A79" s="33">
        <v>17</v>
      </c>
      <c r="B79" s="15" t="s">
        <v>128</v>
      </c>
      <c r="C79" s="17" t="s">
        <v>28</v>
      </c>
      <c r="D79" s="41" t="s">
        <v>63</v>
      </c>
      <c r="E79" s="19">
        <v>1</v>
      </c>
      <c r="F79" s="92">
        <f>SUM(E79)</f>
        <v>1</v>
      </c>
      <c r="G79" s="13">
        <v>446.12</v>
      </c>
      <c r="H79" s="100">
        <f t="shared" ref="H79" si="14">SUM(F79*G79/1000)</f>
        <v>0.44612000000000002</v>
      </c>
      <c r="I79" s="13">
        <v>0</v>
      </c>
    </row>
    <row r="80" spans="1:21" ht="15.75" hidden="1" customHeight="1">
      <c r="A80" s="33"/>
      <c r="B80" s="54" t="s">
        <v>72</v>
      </c>
      <c r="C80" s="42"/>
      <c r="D80" s="33"/>
      <c r="E80" s="19"/>
      <c r="F80" s="19"/>
      <c r="G80" s="40"/>
      <c r="H80" s="40"/>
      <c r="I80" s="19"/>
    </row>
    <row r="81" spans="1:9" ht="15.75" hidden="1" customHeight="1">
      <c r="A81" s="33">
        <v>39</v>
      </c>
      <c r="B81" s="56" t="s">
        <v>117</v>
      </c>
      <c r="C81" s="17" t="s">
        <v>73</v>
      </c>
      <c r="D81" s="15"/>
      <c r="E81" s="19"/>
      <c r="F81" s="13">
        <v>1.35</v>
      </c>
      <c r="G81" s="13">
        <v>3433.68</v>
      </c>
      <c r="H81" s="100">
        <f t="shared" ref="H81" si="15">SUM(F81*G81/1000)</f>
        <v>4.6354679999999995</v>
      </c>
      <c r="I81" s="13">
        <v>0</v>
      </c>
    </row>
    <row r="82" spans="1:9" ht="17.25" customHeight="1">
      <c r="A82" s="33"/>
      <c r="B82" s="76" t="s">
        <v>129</v>
      </c>
      <c r="C82" s="70"/>
      <c r="D82" s="35"/>
      <c r="E82" s="12"/>
      <c r="F82" s="12"/>
      <c r="G82" s="40"/>
      <c r="H82" s="40"/>
      <c r="I82" s="19"/>
    </row>
    <row r="83" spans="1:9" ht="17.25" hidden="1" customHeight="1">
      <c r="A83" s="33"/>
      <c r="B83" s="15" t="s">
        <v>130</v>
      </c>
      <c r="C83" s="17" t="s">
        <v>131</v>
      </c>
      <c r="D83" s="41" t="s">
        <v>63</v>
      </c>
      <c r="E83" s="19">
        <v>6</v>
      </c>
      <c r="F83" s="13">
        <f>E83</f>
        <v>6</v>
      </c>
      <c r="G83" s="13">
        <v>297.44</v>
      </c>
      <c r="H83" s="100">
        <f t="shared" ref="H83:H93" si="16">SUM(F83*G83/1000)</f>
        <v>1.7846399999999998</v>
      </c>
      <c r="I83" s="13">
        <v>0</v>
      </c>
    </row>
    <row r="84" spans="1:9" ht="14.25" hidden="1" customHeight="1">
      <c r="A84" s="33"/>
      <c r="B84" s="15" t="s">
        <v>132</v>
      </c>
      <c r="C84" s="17" t="s">
        <v>77</v>
      </c>
      <c r="D84" s="41" t="s">
        <v>63</v>
      </c>
      <c r="E84" s="19">
        <v>12</v>
      </c>
      <c r="F84" s="13">
        <f>E84</f>
        <v>12</v>
      </c>
      <c r="G84" s="13">
        <v>122.35</v>
      </c>
      <c r="H84" s="100">
        <f t="shared" si="16"/>
        <v>1.4681999999999997</v>
      </c>
      <c r="I84" s="13">
        <v>0</v>
      </c>
    </row>
    <row r="85" spans="1:9" ht="17.25" hidden="1" customHeight="1">
      <c r="A85" s="33">
        <v>12</v>
      </c>
      <c r="B85" s="15" t="s">
        <v>133</v>
      </c>
      <c r="C85" s="17" t="s">
        <v>134</v>
      </c>
      <c r="D85" s="41" t="s">
        <v>63</v>
      </c>
      <c r="E85" s="19">
        <v>9</v>
      </c>
      <c r="F85" s="13">
        <f>E85/3</f>
        <v>3</v>
      </c>
      <c r="G85" s="13">
        <v>1063.47</v>
      </c>
      <c r="H85" s="100">
        <f t="shared" si="16"/>
        <v>3.19041</v>
      </c>
      <c r="I85" s="13">
        <f>G85*((10+10+10+15+10)/3)</f>
        <v>19496.95</v>
      </c>
    </row>
    <row r="86" spans="1:9" ht="17.25" hidden="1" customHeight="1">
      <c r="A86" s="33">
        <v>19</v>
      </c>
      <c r="B86" s="15" t="s">
        <v>135</v>
      </c>
      <c r="C86" s="17" t="s">
        <v>136</v>
      </c>
      <c r="D86" s="41" t="s">
        <v>63</v>
      </c>
      <c r="E86" s="19">
        <v>10</v>
      </c>
      <c r="F86" s="13">
        <f>E86/10</f>
        <v>1</v>
      </c>
      <c r="G86" s="13">
        <v>297.99</v>
      </c>
      <c r="H86" s="100">
        <f t="shared" si="16"/>
        <v>0.29799000000000003</v>
      </c>
      <c r="I86" s="13">
        <f>G86*(4/10)</f>
        <v>119.19600000000001</v>
      </c>
    </row>
    <row r="87" spans="1:9" ht="21" hidden="1" customHeight="1">
      <c r="A87" s="33"/>
      <c r="B87" s="15" t="s">
        <v>137</v>
      </c>
      <c r="C87" s="17" t="s">
        <v>77</v>
      </c>
      <c r="D87" s="41" t="s">
        <v>63</v>
      </c>
      <c r="E87" s="19">
        <v>6</v>
      </c>
      <c r="F87" s="13">
        <f t="shared" ref="F87:F92" si="17">E87</f>
        <v>6</v>
      </c>
      <c r="G87" s="13">
        <v>1564.44</v>
      </c>
      <c r="H87" s="100">
        <f t="shared" si="16"/>
        <v>9.3866399999999999</v>
      </c>
      <c r="I87" s="13">
        <v>0</v>
      </c>
    </row>
    <row r="88" spans="1:9" ht="19.5" hidden="1" customHeight="1">
      <c r="A88" s="33"/>
      <c r="B88" s="15" t="s">
        <v>138</v>
      </c>
      <c r="C88" s="17" t="s">
        <v>77</v>
      </c>
      <c r="D88" s="41" t="s">
        <v>63</v>
      </c>
      <c r="E88" s="19">
        <v>6</v>
      </c>
      <c r="F88" s="13">
        <f t="shared" si="17"/>
        <v>6</v>
      </c>
      <c r="G88" s="13">
        <v>1906.89</v>
      </c>
      <c r="H88" s="100">
        <f t="shared" si="16"/>
        <v>11.44134</v>
      </c>
      <c r="I88" s="13">
        <v>0</v>
      </c>
    </row>
    <row r="89" spans="1:9" ht="21" hidden="1" customHeight="1">
      <c r="A89" s="33"/>
      <c r="B89" s="15" t="s">
        <v>139</v>
      </c>
      <c r="C89" s="17" t="s">
        <v>77</v>
      </c>
      <c r="D89" s="41" t="s">
        <v>63</v>
      </c>
      <c r="E89" s="19">
        <v>6</v>
      </c>
      <c r="F89" s="13">
        <f t="shared" si="17"/>
        <v>6</v>
      </c>
      <c r="G89" s="13">
        <v>664.35</v>
      </c>
      <c r="H89" s="100">
        <f t="shared" si="16"/>
        <v>3.9861000000000004</v>
      </c>
      <c r="I89" s="13">
        <v>0</v>
      </c>
    </row>
    <row r="90" spans="1:9" ht="18.75" hidden="1" customHeight="1">
      <c r="A90" s="33"/>
      <c r="B90" s="15" t="s">
        <v>140</v>
      </c>
      <c r="C90" s="17" t="s">
        <v>77</v>
      </c>
      <c r="D90" s="41" t="s">
        <v>63</v>
      </c>
      <c r="E90" s="19">
        <v>6</v>
      </c>
      <c r="F90" s="13">
        <f t="shared" si="17"/>
        <v>6</v>
      </c>
      <c r="G90" s="13">
        <v>778.85</v>
      </c>
      <c r="H90" s="100">
        <f t="shared" si="16"/>
        <v>4.6731000000000007</v>
      </c>
      <c r="I90" s="13">
        <v>0</v>
      </c>
    </row>
    <row r="91" spans="1:9" ht="18" hidden="1" customHeight="1">
      <c r="A91" s="33"/>
      <c r="B91" s="15" t="s">
        <v>141</v>
      </c>
      <c r="C91" s="17" t="s">
        <v>114</v>
      </c>
      <c r="D91" s="41" t="s">
        <v>63</v>
      </c>
      <c r="E91" s="19">
        <v>4</v>
      </c>
      <c r="F91" s="13">
        <f t="shared" si="17"/>
        <v>4</v>
      </c>
      <c r="G91" s="13">
        <v>498.11</v>
      </c>
      <c r="H91" s="100">
        <f t="shared" si="16"/>
        <v>1.99244</v>
      </c>
      <c r="I91" s="13">
        <v>0</v>
      </c>
    </row>
    <row r="92" spans="1:9" ht="15" hidden="1" customHeight="1">
      <c r="A92" s="33"/>
      <c r="B92" s="15" t="s">
        <v>142</v>
      </c>
      <c r="C92" s="17" t="s">
        <v>77</v>
      </c>
      <c r="D92" s="41" t="s">
        <v>63</v>
      </c>
      <c r="E92" s="19">
        <v>6</v>
      </c>
      <c r="F92" s="13">
        <f t="shared" si="17"/>
        <v>6</v>
      </c>
      <c r="G92" s="13">
        <v>1264.3399999999999</v>
      </c>
      <c r="H92" s="100">
        <f t="shared" si="16"/>
        <v>7.5860399999999988</v>
      </c>
      <c r="I92" s="13">
        <v>0</v>
      </c>
    </row>
    <row r="93" spans="1:9" ht="15.75" customHeight="1">
      <c r="A93" s="33">
        <v>20</v>
      </c>
      <c r="B93" s="15" t="s">
        <v>225</v>
      </c>
      <c r="C93" s="33" t="s">
        <v>226</v>
      </c>
      <c r="D93" s="15"/>
      <c r="E93" s="19">
        <v>1832</v>
      </c>
      <c r="F93" s="13">
        <f>E93*12</f>
        <v>21984</v>
      </c>
      <c r="G93" s="13">
        <v>2.7</v>
      </c>
      <c r="H93" s="100">
        <f t="shared" si="16"/>
        <v>59.3568</v>
      </c>
      <c r="I93" s="13">
        <f>G93*F93/12</f>
        <v>4946.4000000000005</v>
      </c>
    </row>
    <row r="94" spans="1:9" ht="15.75" customHeight="1">
      <c r="A94" s="181" t="s">
        <v>148</v>
      </c>
      <c r="B94" s="182"/>
      <c r="C94" s="182"/>
      <c r="D94" s="182"/>
      <c r="E94" s="182"/>
      <c r="F94" s="182"/>
      <c r="G94" s="182"/>
      <c r="H94" s="182"/>
      <c r="I94" s="183"/>
    </row>
    <row r="95" spans="1:9" ht="15.75" customHeight="1">
      <c r="A95" s="33">
        <v>21</v>
      </c>
      <c r="B95" s="120" t="s">
        <v>118</v>
      </c>
      <c r="C95" s="42" t="s">
        <v>52</v>
      </c>
      <c r="D95" s="142"/>
      <c r="E95" s="40">
        <v>1832</v>
      </c>
      <c r="F95" s="40">
        <f>SUM(E95*12)</f>
        <v>21984</v>
      </c>
      <c r="G95" s="40">
        <v>3.93</v>
      </c>
      <c r="H95" s="100">
        <f>SUM(F95*G95/1000)</f>
        <v>86.397120000000015</v>
      </c>
      <c r="I95" s="13">
        <f>F95/12*G95</f>
        <v>7199.76</v>
      </c>
    </row>
    <row r="96" spans="1:9" ht="31.5" customHeight="1">
      <c r="A96" s="33">
        <v>22</v>
      </c>
      <c r="B96" s="41" t="s">
        <v>227</v>
      </c>
      <c r="C96" s="42" t="s">
        <v>156</v>
      </c>
      <c r="D96" s="143"/>
      <c r="E96" s="132">
        <f>E95</f>
        <v>1832</v>
      </c>
      <c r="F96" s="40">
        <f>E96*12</f>
        <v>21984</v>
      </c>
      <c r="G96" s="40">
        <v>3.6</v>
      </c>
      <c r="H96" s="100">
        <f>F96*G96/1000</f>
        <v>79.142400000000009</v>
      </c>
      <c r="I96" s="13">
        <f>F96/12*G96</f>
        <v>6595.2</v>
      </c>
    </row>
    <row r="97" spans="1:9" ht="15.75" customHeight="1">
      <c r="A97" s="57"/>
      <c r="B97" s="43" t="s">
        <v>76</v>
      </c>
      <c r="C97" s="45"/>
      <c r="D97" s="16"/>
      <c r="E97" s="16"/>
      <c r="F97" s="16"/>
      <c r="G97" s="19"/>
      <c r="H97" s="19"/>
      <c r="I97" s="36">
        <f>I96+I95+I93+I71+I60+I50+I49+I48+I47+I46+I45+I44+I43+I32+I30+I29+I22+I21+I20+I18+I17+I16</f>
        <v>43150.44790040001</v>
      </c>
    </row>
    <row r="98" spans="1:9" ht="15.75" customHeight="1">
      <c r="A98" s="184" t="s">
        <v>57</v>
      </c>
      <c r="B98" s="185"/>
      <c r="C98" s="185"/>
      <c r="D98" s="185"/>
      <c r="E98" s="185"/>
      <c r="F98" s="185"/>
      <c r="G98" s="185"/>
      <c r="H98" s="185"/>
      <c r="I98" s="186"/>
    </row>
    <row r="99" spans="1:9" ht="32.25" customHeight="1">
      <c r="A99" s="105">
        <v>23</v>
      </c>
      <c r="B99" s="116" t="s">
        <v>193</v>
      </c>
      <c r="C99" s="117" t="s">
        <v>36</v>
      </c>
      <c r="D99" s="143" t="s">
        <v>180</v>
      </c>
      <c r="E99" s="40"/>
      <c r="F99" s="40">
        <v>0.02</v>
      </c>
      <c r="G99" s="40">
        <v>4233.72</v>
      </c>
      <c r="H99" s="113"/>
      <c r="I99" s="114">
        <v>0</v>
      </c>
    </row>
    <row r="100" spans="1:9" ht="15.75" customHeight="1">
      <c r="A100" s="105">
        <v>24</v>
      </c>
      <c r="B100" s="116" t="s">
        <v>262</v>
      </c>
      <c r="C100" s="117"/>
      <c r="D100" s="143"/>
      <c r="E100" s="40"/>
      <c r="F100" s="40">
        <v>1</v>
      </c>
      <c r="G100" s="40">
        <v>19969.64</v>
      </c>
      <c r="H100" s="112"/>
      <c r="I100" s="114">
        <f>G100*1</f>
        <v>19969.64</v>
      </c>
    </row>
    <row r="101" spans="1:9" ht="15.75" customHeight="1">
      <c r="A101" s="33"/>
      <c r="B101" s="50" t="s">
        <v>49</v>
      </c>
      <c r="C101" s="46"/>
      <c r="D101" s="58"/>
      <c r="E101" s="46">
        <v>1</v>
      </c>
      <c r="F101" s="46"/>
      <c r="G101" s="46"/>
      <c r="H101" s="46"/>
      <c r="I101" s="36">
        <f>SUM(I99:I100)</f>
        <v>19969.64</v>
      </c>
    </row>
    <row r="102" spans="1:9" ht="15.75" customHeight="1">
      <c r="A102" s="33"/>
      <c r="B102" s="56" t="s">
        <v>75</v>
      </c>
      <c r="C102" s="16"/>
      <c r="D102" s="16"/>
      <c r="E102" s="47"/>
      <c r="F102" s="47"/>
      <c r="G102" s="48"/>
      <c r="H102" s="48"/>
      <c r="I102" s="18">
        <v>0</v>
      </c>
    </row>
    <row r="103" spans="1:9" ht="15.75" customHeight="1">
      <c r="A103" s="59"/>
      <c r="B103" s="51" t="s">
        <v>157</v>
      </c>
      <c r="C103" s="38"/>
      <c r="D103" s="38"/>
      <c r="E103" s="38"/>
      <c r="F103" s="38"/>
      <c r="G103" s="38"/>
      <c r="H103" s="38"/>
      <c r="I103" s="49">
        <f>I97+I101</f>
        <v>63120.087900400009</v>
      </c>
    </row>
    <row r="104" spans="1:9" ht="15.75" customHeight="1">
      <c r="A104" s="173" t="s">
        <v>263</v>
      </c>
      <c r="B104" s="173"/>
      <c r="C104" s="173"/>
      <c r="D104" s="173"/>
      <c r="E104" s="173"/>
      <c r="F104" s="173"/>
      <c r="G104" s="173"/>
      <c r="H104" s="173"/>
      <c r="I104" s="173"/>
    </row>
    <row r="105" spans="1:9" ht="15.75" customHeight="1">
      <c r="A105" s="77"/>
      <c r="B105" s="187" t="s">
        <v>264</v>
      </c>
      <c r="C105" s="187"/>
      <c r="D105" s="187"/>
      <c r="E105" s="187"/>
      <c r="F105" s="187"/>
      <c r="G105" s="187"/>
      <c r="H105" s="87"/>
      <c r="I105" s="3"/>
    </row>
    <row r="106" spans="1:9" ht="15.75" customHeight="1">
      <c r="A106" s="71"/>
      <c r="B106" s="161" t="s">
        <v>6</v>
      </c>
      <c r="C106" s="161"/>
      <c r="D106" s="161"/>
      <c r="E106" s="161"/>
      <c r="F106" s="161"/>
      <c r="G106" s="161"/>
      <c r="H106" s="28"/>
      <c r="I106" s="5"/>
    </row>
    <row r="107" spans="1:9" ht="8.25" customHeight="1">
      <c r="A107" s="9"/>
      <c r="B107" s="9"/>
      <c r="C107" s="9"/>
      <c r="D107" s="9"/>
      <c r="E107" s="9"/>
      <c r="F107" s="9"/>
      <c r="G107" s="9"/>
      <c r="H107" s="9"/>
      <c r="I107" s="9"/>
    </row>
    <row r="108" spans="1:9" ht="15.75" customHeight="1">
      <c r="A108" s="162" t="s">
        <v>7</v>
      </c>
      <c r="B108" s="162"/>
      <c r="C108" s="162"/>
      <c r="D108" s="162"/>
      <c r="E108" s="162"/>
      <c r="F108" s="162"/>
      <c r="G108" s="162"/>
      <c r="H108" s="162"/>
      <c r="I108" s="162"/>
    </row>
    <row r="109" spans="1:9" ht="15.75" customHeight="1">
      <c r="A109" s="162" t="s">
        <v>8</v>
      </c>
      <c r="B109" s="162"/>
      <c r="C109" s="162"/>
      <c r="D109" s="162"/>
      <c r="E109" s="162"/>
      <c r="F109" s="162"/>
      <c r="G109" s="162"/>
      <c r="H109" s="162"/>
      <c r="I109" s="162"/>
    </row>
    <row r="110" spans="1:9" ht="15.75" customHeight="1">
      <c r="A110" s="163" t="s">
        <v>58</v>
      </c>
      <c r="B110" s="163"/>
      <c r="C110" s="163"/>
      <c r="D110" s="163"/>
      <c r="E110" s="163"/>
      <c r="F110" s="163"/>
      <c r="G110" s="163"/>
      <c r="H110" s="163"/>
      <c r="I110" s="163"/>
    </row>
    <row r="111" spans="1:9" ht="15.75" customHeight="1">
      <c r="A111" s="10"/>
    </row>
    <row r="112" spans="1:9" ht="15.75" customHeight="1">
      <c r="A112" s="164" t="s">
        <v>9</v>
      </c>
      <c r="B112" s="164"/>
      <c r="C112" s="164"/>
      <c r="D112" s="164"/>
      <c r="E112" s="164"/>
      <c r="F112" s="164"/>
      <c r="G112" s="164"/>
      <c r="H112" s="164"/>
      <c r="I112" s="164"/>
    </row>
    <row r="113" spans="1:9" ht="15.75" customHeight="1">
      <c r="A113" s="4"/>
    </row>
    <row r="114" spans="1:9" ht="15.75" customHeight="1">
      <c r="B114" s="74" t="s">
        <v>10</v>
      </c>
      <c r="C114" s="165" t="s">
        <v>195</v>
      </c>
      <c r="D114" s="165"/>
      <c r="E114" s="165"/>
      <c r="F114" s="85"/>
      <c r="I114" s="73"/>
    </row>
    <row r="115" spans="1:9" ht="15.75" customHeight="1">
      <c r="A115" s="71"/>
      <c r="C115" s="161" t="s">
        <v>11</v>
      </c>
      <c r="D115" s="161"/>
      <c r="E115" s="161"/>
      <c r="F115" s="28"/>
      <c r="I115" s="72" t="s">
        <v>12</v>
      </c>
    </row>
    <row r="116" spans="1:9" ht="15.75" customHeight="1">
      <c r="A116" s="29"/>
      <c r="C116" s="11"/>
      <c r="D116" s="11"/>
      <c r="G116" s="11"/>
      <c r="H116" s="11"/>
    </row>
    <row r="117" spans="1:9" ht="15.75" customHeight="1">
      <c r="B117" s="74" t="s">
        <v>13</v>
      </c>
      <c r="C117" s="166"/>
      <c r="D117" s="166"/>
      <c r="E117" s="166"/>
      <c r="F117" s="86"/>
      <c r="I117" s="73"/>
    </row>
    <row r="118" spans="1:9" ht="15.75" customHeight="1">
      <c r="A118" s="71"/>
      <c r="C118" s="168" t="s">
        <v>11</v>
      </c>
      <c r="D118" s="168"/>
      <c r="E118" s="168"/>
      <c r="F118" s="71"/>
      <c r="I118" s="72" t="s">
        <v>12</v>
      </c>
    </row>
    <row r="119" spans="1:9" ht="15.75" customHeight="1">
      <c r="A119" s="4" t="s">
        <v>14</v>
      </c>
    </row>
    <row r="120" spans="1:9" ht="15.75" customHeight="1">
      <c r="A120" s="169" t="s">
        <v>15</v>
      </c>
      <c r="B120" s="169"/>
      <c r="C120" s="169"/>
      <c r="D120" s="169"/>
      <c r="E120" s="169"/>
      <c r="F120" s="169"/>
      <c r="G120" s="169"/>
      <c r="H120" s="169"/>
      <c r="I120" s="169"/>
    </row>
    <row r="121" spans="1:9" ht="45" customHeight="1">
      <c r="A121" s="167" t="s">
        <v>16</v>
      </c>
      <c r="B121" s="167"/>
      <c r="C121" s="167"/>
      <c r="D121" s="167"/>
      <c r="E121" s="167"/>
      <c r="F121" s="167"/>
      <c r="G121" s="167"/>
      <c r="H121" s="167"/>
      <c r="I121" s="167"/>
    </row>
    <row r="122" spans="1:9" ht="30" customHeight="1">
      <c r="A122" s="167" t="s">
        <v>17</v>
      </c>
      <c r="B122" s="167"/>
      <c r="C122" s="167"/>
      <c r="D122" s="167"/>
      <c r="E122" s="167"/>
      <c r="F122" s="167"/>
      <c r="G122" s="167"/>
      <c r="H122" s="167"/>
      <c r="I122" s="167"/>
    </row>
    <row r="123" spans="1:9" ht="30" customHeight="1">
      <c r="A123" s="167" t="s">
        <v>21</v>
      </c>
      <c r="B123" s="167"/>
      <c r="C123" s="167"/>
      <c r="D123" s="167"/>
      <c r="E123" s="167"/>
      <c r="F123" s="167"/>
      <c r="G123" s="167"/>
      <c r="H123" s="167"/>
      <c r="I123" s="167"/>
    </row>
    <row r="124" spans="1:9" ht="15" customHeight="1">
      <c r="A124" s="167" t="s">
        <v>20</v>
      </c>
      <c r="B124" s="167"/>
      <c r="C124" s="167"/>
      <c r="D124" s="167"/>
      <c r="E124" s="167"/>
      <c r="F124" s="167"/>
      <c r="G124" s="167"/>
      <c r="H124" s="167"/>
      <c r="I124" s="167"/>
    </row>
  </sheetData>
  <autoFilter ref="I12:I70"/>
  <mergeCells count="29">
    <mergeCell ref="A14:I14"/>
    <mergeCell ref="A15:I15"/>
    <mergeCell ref="A27:I27"/>
    <mergeCell ref="A42:I42"/>
    <mergeCell ref="A54:I54"/>
    <mergeCell ref="A3:I3"/>
    <mergeCell ref="A4:I4"/>
    <mergeCell ref="A5:I5"/>
    <mergeCell ref="A8:I8"/>
    <mergeCell ref="A10:I10"/>
    <mergeCell ref="R74:U74"/>
    <mergeCell ref="C118:E118"/>
    <mergeCell ref="A98:I98"/>
    <mergeCell ref="A104:I104"/>
    <mergeCell ref="B105:G105"/>
    <mergeCell ref="B106:G106"/>
    <mergeCell ref="A108:I108"/>
    <mergeCell ref="A109:I109"/>
    <mergeCell ref="A110:I110"/>
    <mergeCell ref="A112:I112"/>
    <mergeCell ref="C114:E114"/>
    <mergeCell ref="C115:E115"/>
    <mergeCell ref="C117:E117"/>
    <mergeCell ref="A94:I94"/>
    <mergeCell ref="A120:I120"/>
    <mergeCell ref="A121:I121"/>
    <mergeCell ref="A122:I122"/>
    <mergeCell ref="A123:I123"/>
    <mergeCell ref="A124:I12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01.21</vt:lpstr>
      <vt:lpstr>02.21</vt:lpstr>
      <vt:lpstr>03.21</vt:lpstr>
      <vt:lpstr>04.24</vt:lpstr>
      <vt:lpstr>05.21</vt:lpstr>
      <vt:lpstr>06.21</vt:lpstr>
      <vt:lpstr>07.21</vt:lpstr>
      <vt:lpstr>08.21</vt:lpstr>
      <vt:lpstr>09.21</vt:lpstr>
      <vt:lpstr>10.21</vt:lpstr>
      <vt:lpstr>11.21</vt:lpstr>
      <vt:lpstr>12.21</vt:lpstr>
      <vt:lpstr>'01.21'!Область_печати</vt:lpstr>
      <vt:lpstr>'02.21'!Область_печати</vt:lpstr>
      <vt:lpstr>'03.21'!Область_печати</vt:lpstr>
      <vt:lpstr>'04.24'!Область_печати</vt:lpstr>
      <vt:lpstr>'05.21'!Область_печати</vt:lpstr>
      <vt:lpstr>'06.21'!Область_печати</vt:lpstr>
      <vt:lpstr>'07.21'!Область_печати</vt:lpstr>
      <vt:lpstr>'08.21'!Область_печати</vt:lpstr>
      <vt:lpstr>'09.21'!Область_печати</vt:lpstr>
      <vt:lpstr>'10.21'!Область_печати</vt:lpstr>
      <vt:lpstr>'11.21'!Область_печати</vt:lpstr>
      <vt:lpstr>'12.21'!Область_печати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Яковлева</cp:lastModifiedBy>
  <cp:lastPrinted>2017-12-12T12:00:47Z</cp:lastPrinted>
  <dcterms:created xsi:type="dcterms:W3CDTF">2016-03-25T08:33:47Z</dcterms:created>
  <dcterms:modified xsi:type="dcterms:W3CDTF">2022-01-19T10:30:22Z</dcterms:modified>
</cp:coreProperties>
</file>