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9455" windowHeight="7905"/>
  </bookViews>
  <sheets>
    <sheet name="Нефт.,4а" sheetId="1" r:id="rId1"/>
  </sheets>
  <definedNames>
    <definedName name="_xlnm.Print_Area" localSheetId="0">'Нефт.,4а'!$A$1:$U$144</definedName>
  </definedNames>
  <calcPr calcId="124519"/>
</workbook>
</file>

<file path=xl/calcChain.xml><?xml version="1.0" encoding="utf-8"?>
<calcChain xmlns="http://schemas.openxmlformats.org/spreadsheetml/2006/main">
  <c r="L39" i="1"/>
  <c r="K39"/>
  <c r="F39"/>
  <c r="S131"/>
  <c r="U131" s="1"/>
  <c r="H131"/>
  <c r="C142"/>
  <c r="C139"/>
  <c r="G129" l="1"/>
  <c r="R129" l="1"/>
  <c r="U129" s="1"/>
  <c r="H129"/>
  <c r="T95" l="1"/>
  <c r="R128" l="1"/>
  <c r="U128" s="1"/>
  <c r="F128"/>
  <c r="H128"/>
  <c r="R113" l="1"/>
  <c r="R62"/>
  <c r="T93"/>
  <c r="T87"/>
  <c r="R125"/>
  <c r="S89"/>
  <c r="S87"/>
  <c r="T88"/>
  <c r="S88"/>
  <c r="R88"/>
  <c r="Q88"/>
  <c r="R87"/>
  <c r="R89"/>
  <c r="T62"/>
  <c r="T94"/>
  <c r="F94"/>
  <c r="T91"/>
  <c r="T112"/>
  <c r="S112"/>
  <c r="S113"/>
  <c r="S92"/>
  <c r="S62"/>
  <c r="S91"/>
  <c r="S130"/>
  <c r="U130" s="1"/>
  <c r="H130"/>
  <c r="S90"/>
  <c r="R101"/>
  <c r="R112"/>
  <c r="R127"/>
  <c r="U127" s="1"/>
  <c r="H127"/>
  <c r="R90"/>
  <c r="R126"/>
  <c r="U126" s="1"/>
  <c r="H126"/>
  <c r="R94"/>
  <c r="U76"/>
  <c r="U57"/>
  <c r="U60"/>
  <c r="U63"/>
  <c r="U71"/>
  <c r="U72"/>
  <c r="U74"/>
  <c r="U54"/>
  <c r="U30"/>
  <c r="U31"/>
  <c r="H124"/>
  <c r="P107"/>
  <c r="O119"/>
  <c r="U119" s="1"/>
  <c r="H119"/>
  <c r="Q95"/>
  <c r="Q125"/>
  <c r="U125" s="1"/>
  <c r="Q93"/>
  <c r="Q124"/>
  <c r="U124" s="1"/>
  <c r="Q89"/>
  <c r="Q120"/>
  <c r="Q87"/>
  <c r="Q62"/>
  <c r="Q101"/>
  <c r="Q94"/>
  <c r="Q90"/>
  <c r="Q113"/>
  <c r="P123"/>
  <c r="U123" s="1"/>
  <c r="H123"/>
  <c r="P90" l="1"/>
  <c r="P91"/>
  <c r="P121"/>
  <c r="U121" s="1"/>
  <c r="N62"/>
  <c r="P122"/>
  <c r="U122" s="1"/>
  <c r="F122"/>
  <c r="H122" s="1"/>
  <c r="P88" l="1"/>
  <c r="N116"/>
  <c r="U116" s="1"/>
  <c r="N115"/>
  <c r="U115" s="1"/>
  <c r="F115"/>
  <c r="H115" s="1"/>
  <c r="H116"/>
  <c r="N114" l="1"/>
  <c r="U114" s="1"/>
  <c r="F114"/>
  <c r="H114" s="1"/>
  <c r="O89" l="1"/>
  <c r="O120"/>
  <c r="U120" s="1"/>
  <c r="H120"/>
  <c r="O87" l="1"/>
  <c r="O88"/>
  <c r="N88"/>
  <c r="O118"/>
  <c r="U118" s="1"/>
  <c r="F118"/>
  <c r="H118" s="1"/>
  <c r="N87"/>
  <c r="O117"/>
  <c r="U117" s="1"/>
  <c r="O62"/>
  <c r="O101"/>
  <c r="H117"/>
  <c r="O91"/>
  <c r="N113"/>
  <c r="U113" s="1"/>
  <c r="H113"/>
  <c r="H121"/>
  <c r="N94"/>
  <c r="N107"/>
  <c r="N112"/>
  <c r="U112" s="1"/>
  <c r="N90"/>
  <c r="H111"/>
  <c r="N111"/>
  <c r="U111" s="1"/>
  <c r="N110"/>
  <c r="U110" s="1"/>
  <c r="H110"/>
  <c r="R51" l="1"/>
  <c r="N51"/>
  <c r="I51"/>
  <c r="F104"/>
  <c r="H104" s="1"/>
  <c r="F103"/>
  <c r="L103" s="1"/>
  <c r="U103" s="1"/>
  <c r="F102"/>
  <c r="H102" s="1"/>
  <c r="H103"/>
  <c r="K95"/>
  <c r="H95"/>
  <c r="I95"/>
  <c r="U95" s="1"/>
  <c r="M88"/>
  <c r="M93"/>
  <c r="M89"/>
  <c r="L88"/>
  <c r="L93"/>
  <c r="L87"/>
  <c r="K89"/>
  <c r="K88"/>
  <c r="M109"/>
  <c r="U109" s="1"/>
  <c r="H109"/>
  <c r="U51" l="1"/>
  <c r="L104"/>
  <c r="U104" s="1"/>
  <c r="L102"/>
  <c r="U102" s="1"/>
  <c r="M62"/>
  <c r="M108"/>
  <c r="U108" s="1"/>
  <c r="H108"/>
  <c r="M107"/>
  <c r="U107" s="1"/>
  <c r="M94"/>
  <c r="M92"/>
  <c r="H107"/>
  <c r="M106"/>
  <c r="U106" s="1"/>
  <c r="H106"/>
  <c r="M105"/>
  <c r="U105" s="1"/>
  <c r="H105"/>
  <c r="M91"/>
  <c r="L101"/>
  <c r="U101" s="1"/>
  <c r="L100"/>
  <c r="U100" s="1"/>
  <c r="H100"/>
  <c r="L99"/>
  <c r="U99" s="1"/>
  <c r="H99"/>
  <c r="L98"/>
  <c r="U98" s="1"/>
  <c r="H98"/>
  <c r="L97"/>
  <c r="U97" s="1"/>
  <c r="H97"/>
  <c r="L96"/>
  <c r="U96" s="1"/>
  <c r="H96"/>
  <c r="K94" l="1"/>
  <c r="U94" s="1"/>
  <c r="J88"/>
  <c r="J89"/>
  <c r="J93"/>
  <c r="U93" s="1"/>
  <c r="J92"/>
  <c r="U92" s="1"/>
  <c r="H92"/>
  <c r="J91" l="1"/>
  <c r="U91" s="1"/>
  <c r="J90"/>
  <c r="U90" s="1"/>
  <c r="I89" l="1"/>
  <c r="U89" s="1"/>
  <c r="I88"/>
  <c r="U88" s="1"/>
  <c r="I87"/>
  <c r="U87" s="1"/>
  <c r="F55"/>
  <c r="S55" s="1"/>
  <c r="T40"/>
  <c r="T35"/>
  <c r="S35"/>
  <c r="U132" l="1"/>
  <c r="T55"/>
  <c r="H112"/>
  <c r="Q69" l="1"/>
  <c r="U69" s="1"/>
  <c r="L55"/>
  <c r="R50"/>
  <c r="S40"/>
  <c r="L35"/>
  <c r="Q27"/>
  <c r="R27"/>
  <c r="Q28"/>
  <c r="R28"/>
  <c r="H90"/>
  <c r="P27"/>
  <c r="P28"/>
  <c r="H87" l="1"/>
  <c r="O27" l="1"/>
  <c r="O28"/>
  <c r="N27"/>
  <c r="N28"/>
  <c r="K50" l="1"/>
  <c r="U50" s="1"/>
  <c r="H125"/>
  <c r="M27" l="1"/>
  <c r="U27" s="1"/>
  <c r="M28"/>
  <c r="U28" s="1"/>
  <c r="M20"/>
  <c r="U20" s="1"/>
  <c r="H89" l="1"/>
  <c r="K55"/>
  <c r="L40" l="1"/>
  <c r="K35"/>
  <c r="H94"/>
  <c r="J55" l="1"/>
  <c r="K40"/>
  <c r="J35" l="1"/>
  <c r="H91" l="1"/>
  <c r="H101" l="1"/>
  <c r="I62" l="1"/>
  <c r="U62" s="1"/>
  <c r="H88" l="1"/>
  <c r="H93"/>
  <c r="J40"/>
  <c r="F59"/>
  <c r="I55"/>
  <c r="U55" s="1"/>
  <c r="I40"/>
  <c r="U40" s="1"/>
  <c r="I35"/>
  <c r="U35" s="1"/>
  <c r="H35"/>
  <c r="F32"/>
  <c r="T32" s="1"/>
  <c r="H132" l="1"/>
  <c r="S59"/>
  <c r="T59"/>
  <c r="R32"/>
  <c r="P32"/>
  <c r="Q32"/>
  <c r="S32"/>
  <c r="O32"/>
  <c r="N32"/>
  <c r="Q59"/>
  <c r="R59"/>
  <c r="P59"/>
  <c r="O59"/>
  <c r="N59"/>
  <c r="M59"/>
  <c r="I32"/>
  <c r="M32"/>
  <c r="L32"/>
  <c r="K32"/>
  <c r="J32"/>
  <c r="I59"/>
  <c r="L59"/>
  <c r="K59"/>
  <c r="J59"/>
  <c r="H76"/>
  <c r="F56"/>
  <c r="F54"/>
  <c r="H60"/>
  <c r="H57"/>
  <c r="U59" l="1"/>
  <c r="U32"/>
  <c r="S56"/>
  <c r="T56"/>
  <c r="L56"/>
  <c r="K56"/>
  <c r="J56"/>
  <c r="H56"/>
  <c r="I56"/>
  <c r="F51"/>
  <c r="U56" l="1"/>
  <c r="F38"/>
  <c r="S38" l="1"/>
  <c r="T38"/>
  <c r="L38"/>
  <c r="K38"/>
  <c r="I38"/>
  <c r="J38"/>
  <c r="H28"/>
  <c r="F24"/>
  <c r="H20"/>
  <c r="F19"/>
  <c r="T19" s="1"/>
  <c r="F21"/>
  <c r="T21" s="1"/>
  <c r="H59"/>
  <c r="H55"/>
  <c r="H54"/>
  <c r="U38" l="1"/>
  <c r="R21"/>
  <c r="Q21"/>
  <c r="S21"/>
  <c r="P21"/>
  <c r="O21"/>
  <c r="N21"/>
  <c r="Q19"/>
  <c r="S19"/>
  <c r="P19"/>
  <c r="R19"/>
  <c r="O19"/>
  <c r="N19"/>
  <c r="Q24"/>
  <c r="R24"/>
  <c r="P24"/>
  <c r="O24"/>
  <c r="N24"/>
  <c r="M24"/>
  <c r="M21"/>
  <c r="L21"/>
  <c r="K21"/>
  <c r="J21"/>
  <c r="M19"/>
  <c r="L19"/>
  <c r="K19"/>
  <c r="J19"/>
  <c r="I21"/>
  <c r="U21" s="1"/>
  <c r="H19"/>
  <c r="I19"/>
  <c r="U19" l="1"/>
  <c r="U24"/>
  <c r="H72"/>
  <c r="C141" l="1"/>
  <c r="H134"/>
  <c r="F135"/>
  <c r="E79"/>
  <c r="H83" s="1"/>
  <c r="F77"/>
  <c r="H74"/>
  <c r="F71"/>
  <c r="H71" s="1"/>
  <c r="F69"/>
  <c r="F68"/>
  <c r="M68" s="1"/>
  <c r="U68" s="1"/>
  <c r="F67"/>
  <c r="M67" s="1"/>
  <c r="U67" s="1"/>
  <c r="F66"/>
  <c r="M66" s="1"/>
  <c r="U66" s="1"/>
  <c r="F65"/>
  <c r="M65" s="1"/>
  <c r="U65" s="1"/>
  <c r="F64"/>
  <c r="M64" s="1"/>
  <c r="U64" s="1"/>
  <c r="H63"/>
  <c r="H62"/>
  <c r="H51"/>
  <c r="H50"/>
  <c r="F49"/>
  <c r="F48"/>
  <c r="F47"/>
  <c r="F46"/>
  <c r="F45"/>
  <c r="F44"/>
  <c r="F43"/>
  <c r="H40"/>
  <c r="H38"/>
  <c r="F37"/>
  <c r="F36"/>
  <c r="H32"/>
  <c r="H31"/>
  <c r="H30"/>
  <c r="F29"/>
  <c r="F26"/>
  <c r="M26" s="1"/>
  <c r="U26" s="1"/>
  <c r="F25"/>
  <c r="H24"/>
  <c r="H21"/>
  <c r="F18"/>
  <c r="M18" s="1"/>
  <c r="U18" s="1"/>
  <c r="F17"/>
  <c r="M17" s="1"/>
  <c r="U17" s="1"/>
  <c r="F16"/>
  <c r="T16" s="1"/>
  <c r="F15"/>
  <c r="T15" s="1"/>
  <c r="F14"/>
  <c r="M14" s="1"/>
  <c r="U14" s="1"/>
  <c r="E13"/>
  <c r="F13" s="1"/>
  <c r="T13" s="1"/>
  <c r="F12"/>
  <c r="T12" s="1"/>
  <c r="F11"/>
  <c r="T11" l="1"/>
  <c r="S11"/>
  <c r="T29"/>
  <c r="S29"/>
  <c r="S36"/>
  <c r="T36"/>
  <c r="S77"/>
  <c r="T77"/>
  <c r="S37"/>
  <c r="T37"/>
  <c r="T47"/>
  <c r="Q47"/>
  <c r="Q11"/>
  <c r="O11"/>
  <c r="R11"/>
  <c r="P11"/>
  <c r="N11"/>
  <c r="M11"/>
  <c r="R13"/>
  <c r="Q13"/>
  <c r="S13"/>
  <c r="P13"/>
  <c r="O13"/>
  <c r="N13"/>
  <c r="Q15"/>
  <c r="S15"/>
  <c r="P15"/>
  <c r="R15"/>
  <c r="O15"/>
  <c r="N15"/>
  <c r="M25"/>
  <c r="R25"/>
  <c r="P25"/>
  <c r="Q25"/>
  <c r="O25"/>
  <c r="N25"/>
  <c r="Q29"/>
  <c r="R29"/>
  <c r="P29"/>
  <c r="O29"/>
  <c r="N29"/>
  <c r="M44"/>
  <c r="U44" s="1"/>
  <c r="Q44"/>
  <c r="M46"/>
  <c r="U46" s="1"/>
  <c r="Q46"/>
  <c r="L48"/>
  <c r="U48" s="1"/>
  <c r="R48"/>
  <c r="R77"/>
  <c r="P77"/>
  <c r="O77"/>
  <c r="Q77"/>
  <c r="N77"/>
  <c r="M77"/>
  <c r="Q12"/>
  <c r="S12"/>
  <c r="P12"/>
  <c r="R12"/>
  <c r="O12"/>
  <c r="N12"/>
  <c r="R16"/>
  <c r="Q16"/>
  <c r="S16"/>
  <c r="P16"/>
  <c r="O16"/>
  <c r="N16"/>
  <c r="M43"/>
  <c r="U43" s="1"/>
  <c r="Q43"/>
  <c r="M45"/>
  <c r="U45" s="1"/>
  <c r="Q45"/>
  <c r="L49"/>
  <c r="U49" s="1"/>
  <c r="R49"/>
  <c r="L11"/>
  <c r="K11"/>
  <c r="J11"/>
  <c r="M13"/>
  <c r="L13"/>
  <c r="K13"/>
  <c r="M15"/>
  <c r="K15"/>
  <c r="L15"/>
  <c r="J15"/>
  <c r="M29"/>
  <c r="L29"/>
  <c r="K29"/>
  <c r="J29"/>
  <c r="L36"/>
  <c r="K36"/>
  <c r="L77"/>
  <c r="K77"/>
  <c r="J77"/>
  <c r="M12"/>
  <c r="L12"/>
  <c r="K12"/>
  <c r="M16"/>
  <c r="L16"/>
  <c r="K16"/>
  <c r="L37"/>
  <c r="K37"/>
  <c r="M47"/>
  <c r="J47"/>
  <c r="H14"/>
  <c r="H18"/>
  <c r="H17"/>
  <c r="H69"/>
  <c r="H26"/>
  <c r="H25"/>
  <c r="H44"/>
  <c r="H46"/>
  <c r="H64"/>
  <c r="H66"/>
  <c r="H68"/>
  <c r="H43"/>
  <c r="H45"/>
  <c r="H65"/>
  <c r="H67"/>
  <c r="I11"/>
  <c r="U11" s="1"/>
  <c r="I13"/>
  <c r="J13"/>
  <c r="I15"/>
  <c r="I29"/>
  <c r="U29" s="1"/>
  <c r="J36"/>
  <c r="I77"/>
  <c r="U77" s="1"/>
  <c r="I12"/>
  <c r="J12"/>
  <c r="I16"/>
  <c r="J16"/>
  <c r="J37"/>
  <c r="I47"/>
  <c r="H36"/>
  <c r="I36"/>
  <c r="U36" s="1"/>
  <c r="H48"/>
  <c r="H37"/>
  <c r="I37"/>
  <c r="U37" s="1"/>
  <c r="H39"/>
  <c r="U39"/>
  <c r="H49"/>
  <c r="H77"/>
  <c r="H78" s="1"/>
  <c r="H29"/>
  <c r="H47"/>
  <c r="H11"/>
  <c r="H12"/>
  <c r="H16"/>
  <c r="H13"/>
  <c r="H15"/>
  <c r="F79"/>
  <c r="T79" s="1"/>
  <c r="U47" l="1"/>
  <c r="U15"/>
  <c r="U16"/>
  <c r="U12"/>
  <c r="U13"/>
  <c r="U25"/>
  <c r="H75"/>
  <c r="H52"/>
  <c r="H33"/>
  <c r="H22"/>
  <c r="R79"/>
  <c r="P79"/>
  <c r="S79"/>
  <c r="S135" s="1"/>
  <c r="Q79"/>
  <c r="O79"/>
  <c r="M79"/>
  <c r="N79"/>
  <c r="N135" s="1"/>
  <c r="L79"/>
  <c r="K79"/>
  <c r="J79"/>
  <c r="T135"/>
  <c r="P135"/>
  <c r="O135"/>
  <c r="H41"/>
  <c r="R135"/>
  <c r="Q135"/>
  <c r="L135"/>
  <c r="M135"/>
  <c r="U75"/>
  <c r="I79"/>
  <c r="K135"/>
  <c r="U78"/>
  <c r="U33"/>
  <c r="J135"/>
  <c r="U52"/>
  <c r="H79"/>
  <c r="H80" s="1"/>
  <c r="U79" l="1"/>
  <c r="H81"/>
  <c r="H84" s="1"/>
  <c r="G135" s="1"/>
  <c r="H135" s="1"/>
  <c r="U41"/>
  <c r="U22"/>
  <c r="U80"/>
  <c r="I135"/>
  <c r="U81" l="1"/>
  <c r="U135" s="1"/>
  <c r="C144" l="1"/>
  <c r="C140"/>
</calcChain>
</file>

<file path=xl/sharedStrings.xml><?xml version="1.0" encoding="utf-8"?>
<sst xmlns="http://schemas.openxmlformats.org/spreadsheetml/2006/main" count="400" uniqueCount="281">
  <si>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</si>
  <si>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</si>
  <si>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</si>
  <si>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</si>
  <si>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</si>
  <si>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</si>
  <si>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</si>
  <si>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</si>
  <si>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</si>
  <si>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</si>
  <si>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</si>
  <si>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</si>
  <si>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</si>
  <si>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</si>
  <si>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</si>
  <si>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</si>
  <si>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</si>
  <si>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</si>
  <si>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</si>
  <si>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</si>
  <si>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</si>
  <si>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</si>
  <si>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</si>
  <si>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</si>
  <si>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</si>
  <si>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</si>
  <si>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</si>
  <si>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</si>
  <si>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</si>
  <si>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</si>
  <si>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</si>
  <si>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</si>
  <si>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</si>
  <si>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</si>
  <si>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</si>
  <si>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</si>
  <si>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</si>
  <si>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</si>
  <si>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</si>
  <si>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</si>
  <si>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</si>
  <si>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</si>
  <si>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</si>
  <si>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</si>
  <si>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</si>
  <si>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</si>
  <si>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</si>
  <si>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</si>
  <si>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50 раз за сезон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</si>
  <si>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</si>
  <si>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</si>
  <si>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</si>
  <si>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</si>
  <si>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</si>
  <si>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</si>
  <si>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</si>
  <si>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</si>
  <si>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</si>
  <si>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</si>
  <si>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</si>
  <si>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</si>
  <si>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</si>
  <si>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</si>
  <si>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</si>
  <si>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</si>
  <si>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Очистка кровли от мусора</t>
  </si>
  <si>
    <t>Чердак, подвал, технический этаж</t>
  </si>
  <si>
    <t>м2</t>
  </si>
  <si>
    <t>12 раз в год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</si>
  <si>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</si>
  <si>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</si>
  <si>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</si>
  <si>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</si>
  <si>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</si>
  <si>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</si>
  <si>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</si>
  <si>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</si>
  <si>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</si>
  <si>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</si>
  <si>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</si>
  <si>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</si>
  <si>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</si>
  <si>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</si>
  <si>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</si>
  <si>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</si>
  <si>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</si>
  <si>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</si>
  <si>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</si>
  <si>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</si>
  <si>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</si>
  <si>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</si>
  <si>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</si>
  <si>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</si>
  <si>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</si>
  <si>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</si>
  <si>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</si>
  <si>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</si>
  <si>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</si>
  <si>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</si>
  <si>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</si>
  <si>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</si>
  <si>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</si>
  <si>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</si>
  <si>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</si>
  <si>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8 раз в год</t>
  </si>
  <si>
    <t>Очистка внутреннего водостока</t>
  </si>
  <si>
    <t>водосток</t>
  </si>
  <si>
    <t>Дератизация</t>
  </si>
  <si>
    <t xml:space="preserve">1 раз в месяц   </t>
  </si>
  <si>
    <t>Влажная протирка подоконников</t>
  </si>
  <si>
    <t>2 раза в неделю26 раз в сезон</t>
  </si>
  <si>
    <t>12 раз за сезон</t>
  </si>
  <si>
    <t xml:space="preserve">6 раз за сезон </t>
  </si>
  <si>
    <t>Очистка водостоков от наледи</t>
  </si>
  <si>
    <t>Очистка от мусора</t>
  </si>
  <si>
    <t>Очистка урн от мусора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</si>
  <si>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</si>
  <si>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</si>
  <si>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</si>
  <si>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</si>
  <si>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</si>
  <si>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</si>
  <si>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</si>
  <si>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</si>
  <si>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</si>
  <si>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</si>
  <si>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</si>
  <si>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</si>
  <si>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Снятие показаний эл.счетчика коммунального назначения</t>
  </si>
  <si>
    <t>калькуляция</t>
  </si>
  <si>
    <t>Ремонт и регулировка доводчика (без стоимости доводчика)</t>
  </si>
  <si>
    <t>1шт.</t>
  </si>
  <si>
    <t>5 этажей, 8 подъездов</t>
  </si>
  <si>
    <t>Стоимость (руб.)</t>
  </si>
  <si>
    <t>договор</t>
  </si>
  <si>
    <t>ТО внутридомового газ.оборудования</t>
  </si>
  <si>
    <t>Подключение и отключение сварочного аппарата</t>
  </si>
  <si>
    <t>1 шт</t>
  </si>
  <si>
    <t>1 м</t>
  </si>
  <si>
    <t>смета</t>
  </si>
  <si>
    <t>Смена арматуры - вентилей и клапанов обратных муфтовых диаметром до 20 мм</t>
  </si>
  <si>
    <t>место</t>
  </si>
  <si>
    <t>Ремонт и регулировка доводчика (со стоимостью доводчика)</t>
  </si>
  <si>
    <t>3м</t>
  </si>
  <si>
    <t>Смена стекол в деревянных переплетах при площади стекла до 1,0 м2</t>
  </si>
  <si>
    <t>10 м2</t>
  </si>
  <si>
    <t>Ремонт групповых щитков на лестничной клетке без ремонта автоматов</t>
  </si>
  <si>
    <t>Влажная протирка шкафов для щитов и слаботочн. устройств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</si>
  <si>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</si>
  <si>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</si>
  <si>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</si>
  <si>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</si>
  <si>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</si>
  <si>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</si>
  <si>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</si>
  <si>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</si>
  <si>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Осмотр электросетей, арматуры и электооборудования на лестничных клетках</t>
  </si>
  <si>
    <t>Очистка края кровли от слежавшегося снега со сбрасыванием сосулек (козырьки)</t>
  </si>
  <si>
    <t>Устройство хомута диаметром до 50мм</t>
  </si>
  <si>
    <t>100шт</t>
  </si>
  <si>
    <t>Смена дверных приборов (замки навесные)</t>
  </si>
  <si>
    <t>Внеплановый осмотр вводных электрических щитков</t>
  </si>
  <si>
    <t>Внеплановый осмотр электросетей, армазуры и электрооборудования на лестничных клетках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</si>
  <si>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</si>
  <si>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</si>
  <si>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</si>
  <si>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</si>
  <si>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</si>
  <si>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</si>
  <si>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</si>
  <si>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</si>
  <si>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</si>
  <si>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</si>
  <si>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</si>
  <si>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</si>
  <si>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</si>
  <si>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</si>
  <si>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</si>
  <si>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</si>
  <si>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</si>
  <si>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</si>
  <si>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</si>
  <si>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</si>
  <si>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</si>
  <si>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</si>
  <si>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</si>
  <si>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</si>
  <si>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</si>
  <si>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</si>
  <si>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</si>
  <si>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</si>
  <si>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</si>
  <si>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17-071</t>
  </si>
  <si>
    <t>ТЕР 54-041 и 42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</si>
  <si>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</si>
  <si>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</si>
  <si>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</si>
  <si>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</si>
  <si>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</si>
  <si>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</si>
  <si>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</si>
  <si>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</si>
  <si>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</si>
  <si>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33-049</t>
  </si>
  <si>
    <t>ТЕР 33-043</t>
  </si>
  <si>
    <t>ТЕР 33-037</t>
  </si>
  <si>
    <t>ТЕР 33-060</t>
  </si>
  <si>
    <t>ТЕР 32-027</t>
  </si>
  <si>
    <t>пр.ТЕР 32-098</t>
  </si>
  <si>
    <t>пр.ТЕР 32-101</t>
  </si>
  <si>
    <t>ТЕР 15-009</t>
  </si>
  <si>
    <t>ТЕР 33-030</t>
  </si>
  <si>
    <t>ТЕР 15-051</t>
  </si>
  <si>
    <t>1 сгон</t>
  </si>
  <si>
    <t>10шт</t>
  </si>
  <si>
    <t>Смена трубопроводов на полипропиленовые трубы PN25 диаметром 20 мм</t>
  </si>
  <si>
    <t>пр.ТЕР 32-083</t>
  </si>
  <si>
    <t>счёт</t>
  </si>
  <si>
    <t>Манжета 110 мм</t>
  </si>
  <si>
    <t>Переход чугун-пластик Ду 110 с манжетой</t>
  </si>
  <si>
    <t>Смена трубопроводов на полипропиленовые трубы PN25 диаметром 25 мм</t>
  </si>
  <si>
    <t>ТЕР 2-1-1б</t>
  </si>
  <si>
    <t>Внеплановая проверка вентканалов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</si>
  <si>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</si>
  <si>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</si>
  <si>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</si>
  <si>
    <t>Баланс выполненных работ на 01.01.2017 г. ( -долг за предприятием, +долг за населением)</t>
  </si>
  <si>
    <t xml:space="preserve">ТЕР 31-010 </t>
  </si>
  <si>
    <t>Смена сгонов у трубопроводов диаметром до 32 мм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</si>
  <si>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4а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</si>
  <si>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Осмотр рулонной кровли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</si>
  <si>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</si>
  <si>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</si>
  <si>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</si>
  <si>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</si>
  <si>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Прочистка засоров канализации</t>
  </si>
  <si>
    <t>пр.ТЕР 32-082</t>
  </si>
  <si>
    <r>
      <t>Смена полипропиленовых канализационных труб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 xml:space="preserve">2000 мм </t>
    </r>
  </si>
  <si>
    <r>
      <t>Отвод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90°</t>
    </r>
  </si>
  <si>
    <t>Тройник Ду-50*90°</t>
  </si>
  <si>
    <t>Переход чугун-пластик Ду 50 с манжетой</t>
  </si>
  <si>
    <t>Муфта 110</t>
  </si>
  <si>
    <t>Смена полиэтиленовых канализационных труб 110×2000 мм</t>
  </si>
  <si>
    <t>пр.ТЕР 2-2-1-2-17</t>
  </si>
  <si>
    <t xml:space="preserve">Герметизация стыков трубопроводов    </t>
  </si>
  <si>
    <t>1 место</t>
  </si>
  <si>
    <t>пр.ТЕР 32-028</t>
  </si>
  <si>
    <t>Смена вентилей диаметром до 32 мм (без учёта материала)</t>
  </si>
  <si>
    <t>Разборка короба для работ ВДИС</t>
  </si>
  <si>
    <t>Восстановление короба после работ ВДИС</t>
  </si>
  <si>
    <t>ТЕР 12-048</t>
  </si>
  <si>
    <t>ТЕР 10-01-012-1</t>
  </si>
  <si>
    <r>
      <t>Муфта разъемная с НР 32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25</t>
    </r>
  </si>
  <si>
    <r>
      <t>Муфта разъемная с ВР 32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25</t>
    </r>
  </si>
  <si>
    <t>Смена вентилей диаметром до 20 мм (без учёиа материала)</t>
  </si>
  <si>
    <t>пр.ТЕР 32-027</t>
  </si>
  <si>
    <t>пр.ТЕР 33-018</t>
  </si>
  <si>
    <t>Демонтаж тепловычислителя на госповерку</t>
  </si>
  <si>
    <t>Ремонт штукатурки внугренних стен по камню известковым раствором площадью до 1 м2 толщиной слоя до 20 мм</t>
  </si>
  <si>
    <t>ТЕР 21-001</t>
  </si>
  <si>
    <t>ТЕР 17-011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</si>
  <si>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</si>
  <si>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Работа автовышки</t>
  </si>
  <si>
    <t>маш/час</t>
  </si>
  <si>
    <t>пр.ТЕР 22-038</t>
  </si>
  <si>
    <t>Простая масляная окраска ранее окрашенных входных металлических дверей (I-VIII под.)</t>
  </si>
  <si>
    <t>Поверка средств измерений: тепловычислитель СПТ943</t>
  </si>
  <si>
    <t>Прочистка ливневой канализации</t>
  </si>
  <si>
    <t>пр.ТЕР 33-027</t>
  </si>
  <si>
    <t>Монтаж тепловычислителя после госповерки</t>
  </si>
  <si>
    <t>Смена трубопроводов на полипропиленовые трубы PN20 диаметром 20мм</t>
  </si>
  <si>
    <t>Муфта ремонтная 110</t>
  </si>
  <si>
    <t>пр.ТЕР 12-001</t>
  </si>
  <si>
    <t>Заделка "шахты" после работ ВДИС</t>
  </si>
  <si>
    <t>п.м.</t>
  </si>
  <si>
    <t>Герметизация межпанельных швов (кв.13,28,29,35,36,44,73,97)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</si>
  <si>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</si>
  <si>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</si>
  <si>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Утепление стены тамбура (VIпод.)</t>
  </si>
  <si>
    <t>руб.</t>
  </si>
  <si>
    <t>15 раз за сезон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</si>
</sst>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8" borderId="3" xfId="0" applyFont="1" applyFill="1" applyBorder="1"/>
    <xf numFmtId="0" fontId="1" fillId="8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vertical="center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0" borderId="21" xfId="0" applyFont="1" applyBorder="1"/>
    <xf numFmtId="0" fontId="8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4" fontId="1" fillId="8" borderId="12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13" borderId="0" xfId="0" applyFill="1"/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4" borderId="10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center" vertical="center"/>
    </xf>
    <xf numFmtId="0" fontId="0" fillId="8" borderId="0" xfId="0" applyFill="1" applyBorder="1"/>
    <xf numFmtId="0" fontId="0" fillId="0" borderId="0" xfId="0" applyBorder="1"/>
    <xf numFmtId="2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48"/>
  <sheetViews>
    <sheetView tabSelected="1" view="pageBreakPreview" zoomScaleNormal="75" zoomScaleSheetLayoutView="100" workbookViewId="0">
      <pane ySplit="7" topLeftCell="A8" activePane="bottomLeft" state="frozen"/>
      <selection activeCell="B1" sqref="B1"/>
      <selection pane="bottomLeft" activeCell="U84" sqref="U84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9" width="10.42578125" customWidth="1"/>
    <col min="10" max="10" width="10.5703125" customWidth="1"/>
    <col min="11" max="14" width="10.42578125" customWidth="1"/>
    <col min="15" max="15" width="10.5703125" customWidth="1"/>
    <col min="16" max="16" width="11.28515625" customWidth="1"/>
    <col min="17" max="17" width="10.5703125" customWidth="1"/>
    <col min="18" max="18" width="10.7109375" customWidth="1"/>
    <col min="19" max="20" width="10.85546875" customWidth="1"/>
    <col min="21" max="21" width="12.28515625" customWidth="1"/>
  </cols>
  <sheetData>
    <row r="1" spans="1:21" ht="14.25" customHeight="1"/>
    <row r="3" spans="1:21" ht="18">
      <c r="A3" s="132"/>
      <c r="B3" s="190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28"/>
      <c r="N3" s="28"/>
      <c r="O3" s="28"/>
      <c r="P3" s="28"/>
      <c r="Q3" s="28"/>
      <c r="R3" s="28"/>
      <c r="S3" s="28"/>
      <c r="T3" s="28"/>
      <c r="U3" s="28"/>
    </row>
    <row r="4" spans="1:21" ht="33.75" customHeight="1">
      <c r="A4" s="28"/>
      <c r="B4" s="191" t="s">
        <v>1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28"/>
      <c r="N4" s="28"/>
      <c r="O4" s="28"/>
      <c r="P4" s="28"/>
      <c r="Q4" s="28"/>
      <c r="R4" s="28"/>
      <c r="S4" s="28"/>
      <c r="T4" s="28"/>
      <c r="U4" s="28"/>
    </row>
    <row r="5" spans="1:21" ht="18">
      <c r="A5" s="28"/>
      <c r="B5" s="191" t="s">
        <v>229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28"/>
      <c r="N5" s="28"/>
      <c r="O5" s="28"/>
      <c r="P5" s="28"/>
      <c r="Q5" s="28"/>
      <c r="R5" s="28"/>
      <c r="S5" s="28"/>
      <c r="T5" s="28"/>
      <c r="U5" s="28"/>
    </row>
    <row r="6" spans="1:21" ht="14.25">
      <c r="A6" s="28"/>
      <c r="B6" s="192" t="s">
        <v>132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28"/>
      <c r="N6" s="28"/>
      <c r="O6" s="28"/>
      <c r="P6" s="28"/>
      <c r="Q6" s="28"/>
      <c r="R6" s="28"/>
      <c r="S6" s="28"/>
      <c r="T6" s="28"/>
      <c r="U6" s="28"/>
    </row>
    <row r="7" spans="1:21" ht="54" customHeight="1">
      <c r="A7" s="141" t="s">
        <v>2</v>
      </c>
      <c r="B7" s="142" t="s">
        <v>3</v>
      </c>
      <c r="C7" s="142" t="s">
        <v>4</v>
      </c>
      <c r="D7" s="142" t="s">
        <v>5</v>
      </c>
      <c r="E7" s="142" t="s">
        <v>6</v>
      </c>
      <c r="F7" s="142" t="s">
        <v>7</v>
      </c>
      <c r="G7" s="142" t="s">
        <v>8</v>
      </c>
      <c r="H7" s="143" t="s">
        <v>9</v>
      </c>
      <c r="I7" s="27" t="s">
        <v>116</v>
      </c>
      <c r="J7" s="27" t="s">
        <v>117</v>
      </c>
      <c r="K7" s="27" t="s">
        <v>118</v>
      </c>
      <c r="L7" s="27" t="s">
        <v>119</v>
      </c>
      <c r="M7" s="27" t="s">
        <v>120</v>
      </c>
      <c r="N7" s="27" t="s">
        <v>121</v>
      </c>
      <c r="O7" s="27" t="s">
        <v>122</v>
      </c>
      <c r="P7" s="27" t="s">
        <v>123</v>
      </c>
      <c r="Q7" s="27" t="s">
        <v>124</v>
      </c>
      <c r="R7" s="27" t="s">
        <v>125</v>
      </c>
      <c r="S7" s="27" t="s">
        <v>126</v>
      </c>
      <c r="T7" s="27" t="s">
        <v>127</v>
      </c>
      <c r="U7" s="27" t="s">
        <v>133</v>
      </c>
    </row>
    <row r="8" spans="1:21">
      <c r="A8" s="144">
        <v>1</v>
      </c>
      <c r="B8" s="8">
        <v>2</v>
      </c>
      <c r="C8" s="26">
        <v>3</v>
      </c>
      <c r="D8" s="8">
        <v>4</v>
      </c>
      <c r="E8" s="8">
        <v>5</v>
      </c>
      <c r="F8" s="26">
        <v>6</v>
      </c>
      <c r="G8" s="26">
        <v>7</v>
      </c>
      <c r="H8" s="32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</row>
    <row r="9" spans="1:21" ht="38.25">
      <c r="A9" s="144"/>
      <c r="B9" s="10" t="s">
        <v>10</v>
      </c>
      <c r="C9" s="26"/>
      <c r="D9" s="11"/>
      <c r="E9" s="11"/>
      <c r="F9" s="26"/>
      <c r="G9" s="26"/>
      <c r="H9" s="33"/>
      <c r="I9" s="30"/>
      <c r="J9" s="30"/>
      <c r="K9" s="30"/>
      <c r="L9" s="30"/>
      <c r="M9" s="34"/>
      <c r="N9" s="29"/>
      <c r="O9" s="29"/>
      <c r="P9" s="29"/>
      <c r="Q9" s="29"/>
      <c r="R9" s="29"/>
      <c r="S9" s="29"/>
      <c r="T9" s="29"/>
      <c r="U9" s="29"/>
    </row>
    <row r="10" spans="1:21">
      <c r="A10" s="144"/>
      <c r="B10" s="10" t="s">
        <v>11</v>
      </c>
      <c r="C10" s="26"/>
      <c r="D10" s="11"/>
      <c r="E10" s="11"/>
      <c r="F10" s="26"/>
      <c r="G10" s="26"/>
      <c r="H10" s="33"/>
      <c r="I10" s="30"/>
      <c r="J10" s="30"/>
      <c r="K10" s="30"/>
      <c r="L10" s="30"/>
      <c r="M10" s="34"/>
      <c r="N10" s="29"/>
      <c r="O10" s="29"/>
      <c r="P10" s="29"/>
      <c r="Q10" s="29"/>
      <c r="R10" s="29"/>
      <c r="S10" s="29"/>
      <c r="T10" s="29"/>
      <c r="U10" s="29"/>
    </row>
    <row r="11" spans="1:21" ht="25.5">
      <c r="A11" s="144" t="s">
        <v>163</v>
      </c>
      <c r="B11" s="11" t="s">
        <v>12</v>
      </c>
      <c r="C11" s="26" t="s">
        <v>13</v>
      </c>
      <c r="D11" s="11" t="s">
        <v>14</v>
      </c>
      <c r="E11" s="35">
        <v>160.5</v>
      </c>
      <c r="F11" s="36">
        <f>SUM(E11*156/100)</f>
        <v>250.38</v>
      </c>
      <c r="G11" s="36">
        <v>175.38</v>
      </c>
      <c r="H11" s="37">
        <f t="shared" ref="H11:H21" si="0">SUM(F11*G11/1000)</f>
        <v>43.9116444</v>
      </c>
      <c r="I11" s="38">
        <f>F11/12*G11</f>
        <v>3659.3036999999995</v>
      </c>
      <c r="J11" s="38">
        <f>F11/12*G11</f>
        <v>3659.3036999999995</v>
      </c>
      <c r="K11" s="38">
        <f>F11/12*G11</f>
        <v>3659.3036999999995</v>
      </c>
      <c r="L11" s="38">
        <f>F11/12*G11</f>
        <v>3659.3036999999995</v>
      </c>
      <c r="M11" s="38">
        <f>F11/12*G11</f>
        <v>3659.3036999999995</v>
      </c>
      <c r="N11" s="38">
        <f>F11/12*G11</f>
        <v>3659.3036999999995</v>
      </c>
      <c r="O11" s="38">
        <f>F11/12*G11</f>
        <v>3659.3036999999995</v>
      </c>
      <c r="P11" s="38">
        <f>F11/12*G11</f>
        <v>3659.3036999999995</v>
      </c>
      <c r="Q11" s="38">
        <f>F11/12*G11</f>
        <v>3659.3036999999995</v>
      </c>
      <c r="R11" s="38">
        <f>F11/12*G11</f>
        <v>3659.3036999999995</v>
      </c>
      <c r="S11" s="38">
        <f>F11/12*G11</f>
        <v>3659.3036999999995</v>
      </c>
      <c r="T11" s="38">
        <f>F11/12*G11</f>
        <v>3659.3036999999995</v>
      </c>
      <c r="U11" s="38">
        <f>SUM(I11:T11)</f>
        <v>43911.64439999999</v>
      </c>
    </row>
    <row r="12" spans="1:21" ht="25.5">
      <c r="A12" s="144" t="s">
        <v>163</v>
      </c>
      <c r="B12" s="11" t="s">
        <v>15</v>
      </c>
      <c r="C12" s="26" t="s">
        <v>13</v>
      </c>
      <c r="D12" s="11" t="s">
        <v>16</v>
      </c>
      <c r="E12" s="35">
        <v>642</v>
      </c>
      <c r="F12" s="36">
        <f>SUM(E12*104/100)</f>
        <v>667.68</v>
      </c>
      <c r="G12" s="36">
        <v>175.38</v>
      </c>
      <c r="H12" s="37">
        <f t="shared" si="0"/>
        <v>117.09771839999998</v>
      </c>
      <c r="I12" s="38">
        <f>F12/12*G12</f>
        <v>9758.1431999999986</v>
      </c>
      <c r="J12" s="38">
        <f>F12/12*G12</f>
        <v>9758.1431999999986</v>
      </c>
      <c r="K12" s="38">
        <f t="shared" ref="K12:K13" si="1">F12/12*G12</f>
        <v>9758.1431999999986</v>
      </c>
      <c r="L12" s="38">
        <f t="shared" ref="L12:L13" si="2">F12/12*G12</f>
        <v>9758.1431999999986</v>
      </c>
      <c r="M12" s="38">
        <f t="shared" ref="M12:M21" si="3">F12/12*G12</f>
        <v>9758.1431999999986</v>
      </c>
      <c r="N12" s="38">
        <f t="shared" ref="N12:N21" si="4">F12/12*G12</f>
        <v>9758.1431999999986</v>
      </c>
      <c r="O12" s="38">
        <f t="shared" ref="O12:O21" si="5">F12/12*G12</f>
        <v>9758.1431999999986</v>
      </c>
      <c r="P12" s="38">
        <f t="shared" ref="P12:P21" si="6">F12/12*G12</f>
        <v>9758.1431999999986</v>
      </c>
      <c r="Q12" s="38">
        <f t="shared" ref="Q12:Q21" si="7">F12/12*G12</f>
        <v>9758.1431999999986</v>
      </c>
      <c r="R12" s="38">
        <f t="shared" ref="R12:R21" si="8">F12/12*G12</f>
        <v>9758.1431999999986</v>
      </c>
      <c r="S12" s="38">
        <f t="shared" ref="S12:S21" si="9">F12/12*G12</f>
        <v>9758.1431999999986</v>
      </c>
      <c r="T12" s="38">
        <f t="shared" ref="T12:T21" si="10">F12/12*G12</f>
        <v>9758.1431999999986</v>
      </c>
      <c r="U12" s="38">
        <f t="shared" ref="U12:U21" si="11">SUM(I12:T12)</f>
        <v>117097.71839999995</v>
      </c>
    </row>
    <row r="13" spans="1:21" ht="25.5">
      <c r="A13" s="144" t="s">
        <v>164</v>
      </c>
      <c r="B13" s="11" t="s">
        <v>17</v>
      </c>
      <c r="C13" s="26" t="s">
        <v>13</v>
      </c>
      <c r="D13" s="11" t="s">
        <v>18</v>
      </c>
      <c r="E13" s="35">
        <f>SUM(E11+E12)</f>
        <v>802.5</v>
      </c>
      <c r="F13" s="36">
        <f>SUM(E13*24/100)</f>
        <v>192.6</v>
      </c>
      <c r="G13" s="36">
        <v>504.5</v>
      </c>
      <c r="H13" s="37">
        <f t="shared" si="0"/>
        <v>97.166699999999992</v>
      </c>
      <c r="I13" s="38">
        <f>F13/12*G13</f>
        <v>8097.2250000000004</v>
      </c>
      <c r="J13" s="38">
        <f>F13/12*G13</f>
        <v>8097.2250000000004</v>
      </c>
      <c r="K13" s="38">
        <f t="shared" si="1"/>
        <v>8097.2250000000004</v>
      </c>
      <c r="L13" s="38">
        <f t="shared" si="2"/>
        <v>8097.2250000000004</v>
      </c>
      <c r="M13" s="38">
        <f t="shared" si="3"/>
        <v>8097.2250000000004</v>
      </c>
      <c r="N13" s="38">
        <f t="shared" si="4"/>
        <v>8097.2250000000004</v>
      </c>
      <c r="O13" s="38">
        <f t="shared" si="5"/>
        <v>8097.2250000000004</v>
      </c>
      <c r="P13" s="38">
        <f t="shared" si="6"/>
        <v>8097.2250000000004</v>
      </c>
      <c r="Q13" s="38">
        <f t="shared" si="7"/>
        <v>8097.2250000000004</v>
      </c>
      <c r="R13" s="38">
        <f t="shared" si="8"/>
        <v>8097.2250000000004</v>
      </c>
      <c r="S13" s="38">
        <f t="shared" si="9"/>
        <v>8097.2250000000004</v>
      </c>
      <c r="T13" s="38">
        <f t="shared" si="10"/>
        <v>8097.2250000000004</v>
      </c>
      <c r="U13" s="38">
        <f t="shared" si="11"/>
        <v>97166.700000000012</v>
      </c>
    </row>
    <row r="14" spans="1:21">
      <c r="A14" s="144" t="s">
        <v>165</v>
      </c>
      <c r="B14" s="11" t="s">
        <v>19</v>
      </c>
      <c r="C14" s="26" t="s">
        <v>20</v>
      </c>
      <c r="D14" s="11" t="s">
        <v>97</v>
      </c>
      <c r="E14" s="35">
        <v>38.4</v>
      </c>
      <c r="F14" s="36">
        <f>SUM(E14/10)</f>
        <v>3.84</v>
      </c>
      <c r="G14" s="36">
        <v>170.16</v>
      </c>
      <c r="H14" s="37">
        <f t="shared" si="0"/>
        <v>0.65341439999999995</v>
      </c>
      <c r="I14" s="38">
        <v>0</v>
      </c>
      <c r="J14" s="38">
        <v>0</v>
      </c>
      <c r="K14" s="38">
        <v>0</v>
      </c>
      <c r="L14" s="38">
        <v>0</v>
      </c>
      <c r="M14" s="38">
        <f>F14/2*G14</f>
        <v>326.7072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f t="shared" si="11"/>
        <v>326.7072</v>
      </c>
    </row>
    <row r="15" spans="1:21">
      <c r="A15" s="144" t="s">
        <v>166</v>
      </c>
      <c r="B15" s="11" t="s">
        <v>21</v>
      </c>
      <c r="C15" s="26" t="s">
        <v>13</v>
      </c>
      <c r="D15" s="11" t="s">
        <v>98</v>
      </c>
      <c r="E15" s="35">
        <v>58.4</v>
      </c>
      <c r="F15" s="36">
        <f>SUM(E15*12/100)</f>
        <v>7.0079999999999991</v>
      </c>
      <c r="G15" s="36">
        <v>217.88</v>
      </c>
      <c r="H15" s="37">
        <f t="shared" si="0"/>
        <v>1.5269030399999997</v>
      </c>
      <c r="I15" s="38">
        <f>F15/12*G15</f>
        <v>127.24191999999999</v>
      </c>
      <c r="J15" s="38">
        <f>F15/12*G15</f>
        <v>127.24191999999999</v>
      </c>
      <c r="K15" s="38">
        <f>F15/12*G15</f>
        <v>127.24191999999999</v>
      </c>
      <c r="L15" s="38">
        <f>F15/12*G15</f>
        <v>127.24191999999999</v>
      </c>
      <c r="M15" s="38">
        <f t="shared" si="3"/>
        <v>127.24191999999999</v>
      </c>
      <c r="N15" s="38">
        <f t="shared" si="4"/>
        <v>127.24191999999999</v>
      </c>
      <c r="O15" s="38">
        <f t="shared" si="5"/>
        <v>127.24191999999999</v>
      </c>
      <c r="P15" s="38">
        <f t="shared" si="6"/>
        <v>127.24191999999999</v>
      </c>
      <c r="Q15" s="38">
        <f t="shared" si="7"/>
        <v>127.24191999999999</v>
      </c>
      <c r="R15" s="38">
        <f t="shared" si="8"/>
        <v>127.24191999999999</v>
      </c>
      <c r="S15" s="38">
        <f t="shared" si="9"/>
        <v>127.24191999999999</v>
      </c>
      <c r="T15" s="38">
        <f t="shared" si="10"/>
        <v>127.24191999999999</v>
      </c>
      <c r="U15" s="38">
        <f t="shared" si="11"/>
        <v>1526.9030399999995</v>
      </c>
    </row>
    <row r="16" spans="1:21">
      <c r="A16" s="144" t="s">
        <v>167</v>
      </c>
      <c r="B16" s="11" t="s">
        <v>22</v>
      </c>
      <c r="C16" s="26" t="s">
        <v>13</v>
      </c>
      <c r="D16" s="11" t="s">
        <v>98</v>
      </c>
      <c r="E16" s="35">
        <v>9.08</v>
      </c>
      <c r="F16" s="36">
        <f>SUM(E16*12/100)</f>
        <v>1.0896000000000001</v>
      </c>
      <c r="G16" s="36">
        <v>216.12</v>
      </c>
      <c r="H16" s="37">
        <f t="shared" si="0"/>
        <v>0.23548435200000004</v>
      </c>
      <c r="I16" s="38">
        <f>F16/12*G16</f>
        <v>19.623696000000002</v>
      </c>
      <c r="J16" s="38">
        <f>F16/12*G16</f>
        <v>19.623696000000002</v>
      </c>
      <c r="K16" s="38">
        <f>F16/12*G16</f>
        <v>19.623696000000002</v>
      </c>
      <c r="L16" s="38">
        <f>F16/12*G16</f>
        <v>19.623696000000002</v>
      </c>
      <c r="M16" s="38">
        <f t="shared" si="3"/>
        <v>19.623696000000002</v>
      </c>
      <c r="N16" s="38">
        <f t="shared" si="4"/>
        <v>19.623696000000002</v>
      </c>
      <c r="O16" s="38">
        <f t="shared" si="5"/>
        <v>19.623696000000002</v>
      </c>
      <c r="P16" s="38">
        <f t="shared" si="6"/>
        <v>19.623696000000002</v>
      </c>
      <c r="Q16" s="38">
        <f t="shared" si="7"/>
        <v>19.623696000000002</v>
      </c>
      <c r="R16" s="38">
        <f t="shared" si="8"/>
        <v>19.623696000000002</v>
      </c>
      <c r="S16" s="38">
        <f t="shared" si="9"/>
        <v>19.623696000000002</v>
      </c>
      <c r="T16" s="38">
        <f t="shared" si="10"/>
        <v>19.623696000000002</v>
      </c>
      <c r="U16" s="38">
        <f t="shared" si="11"/>
        <v>235.48435199999997</v>
      </c>
    </row>
    <row r="17" spans="1:21">
      <c r="A17" s="144" t="s">
        <v>168</v>
      </c>
      <c r="B17" s="11" t="s">
        <v>23</v>
      </c>
      <c r="C17" s="26" t="s">
        <v>24</v>
      </c>
      <c r="D17" s="11" t="s">
        <v>97</v>
      </c>
      <c r="E17" s="35">
        <v>822.72</v>
      </c>
      <c r="F17" s="36">
        <f>SUM(E17/100)</f>
        <v>8.2271999999999998</v>
      </c>
      <c r="G17" s="36">
        <v>269.26</v>
      </c>
      <c r="H17" s="37">
        <f t="shared" si="0"/>
        <v>2.2152558719999997</v>
      </c>
      <c r="I17" s="38">
        <v>0</v>
      </c>
      <c r="J17" s="38">
        <v>0</v>
      </c>
      <c r="K17" s="38">
        <v>0</v>
      </c>
      <c r="L17" s="38">
        <v>0</v>
      </c>
      <c r="M17" s="38">
        <f>F17*G17</f>
        <v>2215.2558719999997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f t="shared" si="11"/>
        <v>2215.2558719999997</v>
      </c>
    </row>
    <row r="18" spans="1:21">
      <c r="A18" s="144" t="s">
        <v>169</v>
      </c>
      <c r="B18" s="11" t="s">
        <v>25</v>
      </c>
      <c r="C18" s="26" t="s">
        <v>24</v>
      </c>
      <c r="D18" s="11" t="s">
        <v>97</v>
      </c>
      <c r="E18" s="40">
        <v>96.6</v>
      </c>
      <c r="F18" s="36">
        <f>SUM(E18/100)</f>
        <v>0.96599999999999997</v>
      </c>
      <c r="G18" s="36">
        <v>44.29</v>
      </c>
      <c r="H18" s="37">
        <f t="shared" si="0"/>
        <v>4.2784139999999998E-2</v>
      </c>
      <c r="I18" s="38">
        <v>0</v>
      </c>
      <c r="J18" s="38">
        <v>0</v>
      </c>
      <c r="K18" s="38">
        <v>0</v>
      </c>
      <c r="L18" s="38">
        <v>0</v>
      </c>
      <c r="M18" s="38">
        <f>F18*G18</f>
        <v>42.784140000000001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f t="shared" si="11"/>
        <v>42.784140000000001</v>
      </c>
    </row>
    <row r="19" spans="1:21">
      <c r="A19" s="144" t="s">
        <v>170</v>
      </c>
      <c r="B19" s="11" t="s">
        <v>109</v>
      </c>
      <c r="C19" s="26" t="s">
        <v>24</v>
      </c>
      <c r="D19" s="11" t="s">
        <v>98</v>
      </c>
      <c r="E19" s="41">
        <v>32</v>
      </c>
      <c r="F19" s="36">
        <f>32*12/1000</f>
        <v>0.38400000000000001</v>
      </c>
      <c r="G19" s="36">
        <v>389.42</v>
      </c>
      <c r="H19" s="37">
        <f>G19*F19/100</f>
        <v>1.4953728000000002</v>
      </c>
      <c r="I19" s="38">
        <f>F19/12*G19</f>
        <v>12.461440000000001</v>
      </c>
      <c r="J19" s="38">
        <f>F19/12*G19</f>
        <v>12.461440000000001</v>
      </c>
      <c r="K19" s="38">
        <f>F19/12*G19</f>
        <v>12.461440000000001</v>
      </c>
      <c r="L19" s="38">
        <f>F19/12*G19</f>
        <v>12.461440000000001</v>
      </c>
      <c r="M19" s="38">
        <f t="shared" si="3"/>
        <v>12.461440000000001</v>
      </c>
      <c r="N19" s="38">
        <f t="shared" si="4"/>
        <v>12.461440000000001</v>
      </c>
      <c r="O19" s="38">
        <f t="shared" si="5"/>
        <v>12.461440000000001</v>
      </c>
      <c r="P19" s="38">
        <f t="shared" si="6"/>
        <v>12.461440000000001</v>
      </c>
      <c r="Q19" s="38">
        <f t="shared" si="7"/>
        <v>12.461440000000001</v>
      </c>
      <c r="R19" s="38">
        <f t="shared" si="8"/>
        <v>12.461440000000001</v>
      </c>
      <c r="S19" s="38">
        <f t="shared" si="9"/>
        <v>12.461440000000001</v>
      </c>
      <c r="T19" s="38">
        <f t="shared" si="10"/>
        <v>12.461440000000001</v>
      </c>
      <c r="U19" s="38">
        <f t="shared" si="11"/>
        <v>149.53728000000001</v>
      </c>
    </row>
    <row r="20" spans="1:21" ht="25.5">
      <c r="A20" s="144" t="s">
        <v>171</v>
      </c>
      <c r="B20" s="11" t="s">
        <v>147</v>
      </c>
      <c r="C20" s="26" t="s">
        <v>24</v>
      </c>
      <c r="D20" s="11" t="s">
        <v>32</v>
      </c>
      <c r="E20" s="42">
        <v>38</v>
      </c>
      <c r="F20" s="36">
        <v>0.38</v>
      </c>
      <c r="G20" s="36">
        <v>216.12</v>
      </c>
      <c r="H20" s="37">
        <f>G20*F20/1000</f>
        <v>8.2125600000000007E-2</v>
      </c>
      <c r="I20" s="38">
        <v>0</v>
      </c>
      <c r="J20" s="38">
        <v>0</v>
      </c>
      <c r="K20" s="38">
        <v>0</v>
      </c>
      <c r="L20" s="38">
        <v>0</v>
      </c>
      <c r="M20" s="38">
        <f>F20*G20</f>
        <v>82.125600000000006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f t="shared" si="11"/>
        <v>82.125600000000006</v>
      </c>
    </row>
    <row r="21" spans="1:21">
      <c r="A21" s="144" t="s">
        <v>172</v>
      </c>
      <c r="B21" s="11" t="s">
        <v>26</v>
      </c>
      <c r="C21" s="26" t="s">
        <v>24</v>
      </c>
      <c r="D21" s="11" t="s">
        <v>108</v>
      </c>
      <c r="E21" s="35">
        <v>17</v>
      </c>
      <c r="F21" s="36">
        <f>SUM(E21*12/100)</f>
        <v>2.04</v>
      </c>
      <c r="G21" s="36">
        <v>520.79999999999995</v>
      </c>
      <c r="H21" s="37">
        <f t="shared" si="0"/>
        <v>1.062432</v>
      </c>
      <c r="I21" s="38">
        <f>F21/12*G21</f>
        <v>88.536000000000001</v>
      </c>
      <c r="J21" s="38">
        <f>F21/12*G21</f>
        <v>88.536000000000001</v>
      </c>
      <c r="K21" s="38">
        <f>F21/12*G21</f>
        <v>88.536000000000001</v>
      </c>
      <c r="L21" s="38">
        <f>F21/12*G21</f>
        <v>88.536000000000001</v>
      </c>
      <c r="M21" s="38">
        <f t="shared" si="3"/>
        <v>88.536000000000001</v>
      </c>
      <c r="N21" s="38">
        <f t="shared" si="4"/>
        <v>88.536000000000001</v>
      </c>
      <c r="O21" s="38">
        <f t="shared" si="5"/>
        <v>88.536000000000001</v>
      </c>
      <c r="P21" s="38">
        <f t="shared" si="6"/>
        <v>88.536000000000001</v>
      </c>
      <c r="Q21" s="38">
        <f t="shared" si="7"/>
        <v>88.536000000000001</v>
      </c>
      <c r="R21" s="38">
        <f t="shared" si="8"/>
        <v>88.536000000000001</v>
      </c>
      <c r="S21" s="38">
        <f t="shared" si="9"/>
        <v>88.536000000000001</v>
      </c>
      <c r="T21" s="38">
        <f t="shared" si="10"/>
        <v>88.536000000000001</v>
      </c>
      <c r="U21" s="38">
        <f t="shared" si="11"/>
        <v>1062.4320000000002</v>
      </c>
    </row>
    <row r="22" spans="1:21" s="19" customFormat="1">
      <c r="A22" s="145"/>
      <c r="B22" s="20" t="s">
        <v>27</v>
      </c>
      <c r="C22" s="43"/>
      <c r="D22" s="20"/>
      <c r="E22" s="44"/>
      <c r="F22" s="45"/>
      <c r="G22" s="45"/>
      <c r="H22" s="46">
        <f>SUM(H11:H21)</f>
        <v>265.48983500399987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>
        <f>SUM(U11:U21)</f>
        <v>263817.29228399997</v>
      </c>
    </row>
    <row r="23" spans="1:21">
      <c r="A23" s="144"/>
      <c r="B23" s="12" t="s">
        <v>28</v>
      </c>
      <c r="C23" s="26"/>
      <c r="D23" s="11"/>
      <c r="E23" s="35"/>
      <c r="F23" s="36"/>
      <c r="G23" s="36"/>
      <c r="H23" s="3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5.5" customHeight="1">
      <c r="A24" s="144" t="s">
        <v>173</v>
      </c>
      <c r="B24" s="11" t="s">
        <v>148</v>
      </c>
      <c r="C24" s="26" t="s">
        <v>29</v>
      </c>
      <c r="D24" s="11" t="s">
        <v>110</v>
      </c>
      <c r="E24" s="36">
        <v>2732.4</v>
      </c>
      <c r="F24" s="36">
        <f>SUM(E24*26/1000)</f>
        <v>71.042400000000015</v>
      </c>
      <c r="G24" s="36">
        <v>155.88999999999999</v>
      </c>
      <c r="H24" s="37">
        <f t="shared" ref="H24:H32" si="12">SUM(F24*G24/1000)</f>
        <v>11.074799736000001</v>
      </c>
      <c r="I24" s="38">
        <v>0</v>
      </c>
      <c r="J24" s="38">
        <v>0</v>
      </c>
      <c r="K24" s="38">
        <v>0</v>
      </c>
      <c r="L24" s="38">
        <v>0</v>
      </c>
      <c r="M24" s="38">
        <f>F24/6*G24</f>
        <v>1845.7999560000003</v>
      </c>
      <c r="N24" s="38">
        <f>F24/6*G24</f>
        <v>1845.7999560000003</v>
      </c>
      <c r="O24" s="38">
        <f>F24/6*G24</f>
        <v>1845.7999560000003</v>
      </c>
      <c r="P24" s="38">
        <f>F24/6*G24</f>
        <v>1845.7999560000003</v>
      </c>
      <c r="Q24" s="38">
        <f>F24/6*G24</f>
        <v>1845.7999560000003</v>
      </c>
      <c r="R24" s="38">
        <f>F24/6*G24</f>
        <v>1845.7999560000003</v>
      </c>
      <c r="S24" s="38">
        <v>0</v>
      </c>
      <c r="T24" s="38">
        <v>0</v>
      </c>
      <c r="U24" s="38">
        <f t="shared" ref="U24:U32" si="13">SUM(I24:T24)</f>
        <v>11074.799736000003</v>
      </c>
    </row>
    <row r="25" spans="1:21" ht="38.25" customHeight="1">
      <c r="A25" s="144" t="s">
        <v>174</v>
      </c>
      <c r="B25" s="11" t="s">
        <v>149</v>
      </c>
      <c r="C25" s="26" t="s">
        <v>29</v>
      </c>
      <c r="D25" s="11" t="s">
        <v>30</v>
      </c>
      <c r="E25" s="36">
        <v>547.85</v>
      </c>
      <c r="F25" s="36">
        <f>SUM(E25*78/1000)</f>
        <v>42.732300000000002</v>
      </c>
      <c r="G25" s="36">
        <v>258.63</v>
      </c>
      <c r="H25" s="37">
        <f t="shared" si="12"/>
        <v>11.051854749</v>
      </c>
      <c r="I25" s="38">
        <v>0</v>
      </c>
      <c r="J25" s="38">
        <v>0</v>
      </c>
      <c r="K25" s="38">
        <v>0</v>
      </c>
      <c r="L25" s="38">
        <v>0</v>
      </c>
      <c r="M25" s="38">
        <f t="shared" ref="M25:M28" si="14">F25/6*G25</f>
        <v>1841.9757915000002</v>
      </c>
      <c r="N25" s="38">
        <f t="shared" ref="N25:N28" si="15">F25/6*G25</f>
        <v>1841.9757915000002</v>
      </c>
      <c r="O25" s="38">
        <f t="shared" ref="O25:O28" si="16">F25/6*G25</f>
        <v>1841.9757915000002</v>
      </c>
      <c r="P25" s="38">
        <f t="shared" ref="P25:P28" si="17">F25/6*G25</f>
        <v>1841.9757915000002</v>
      </c>
      <c r="Q25" s="38">
        <f t="shared" ref="Q25:Q28" si="18">F25/6*G25</f>
        <v>1841.9757915000002</v>
      </c>
      <c r="R25" s="38">
        <f t="shared" ref="R25:R28" si="19">F25/6*G25</f>
        <v>1841.9757915000002</v>
      </c>
      <c r="S25" s="38">
        <v>0</v>
      </c>
      <c r="T25" s="38">
        <v>0</v>
      </c>
      <c r="U25" s="38">
        <f t="shared" si="13"/>
        <v>11051.854749000002</v>
      </c>
    </row>
    <row r="26" spans="1:21">
      <c r="A26" s="144" t="s">
        <v>175</v>
      </c>
      <c r="B26" s="11" t="s">
        <v>31</v>
      </c>
      <c r="C26" s="26" t="s">
        <v>29</v>
      </c>
      <c r="D26" s="11" t="s">
        <v>32</v>
      </c>
      <c r="E26" s="36">
        <v>2732.4</v>
      </c>
      <c r="F26" s="36">
        <f>SUM(E26/1000)</f>
        <v>2.7324000000000002</v>
      </c>
      <c r="G26" s="36">
        <v>3020.33</v>
      </c>
      <c r="H26" s="37">
        <f t="shared" si="12"/>
        <v>8.2527496920000001</v>
      </c>
      <c r="I26" s="38">
        <v>0</v>
      </c>
      <c r="J26" s="38">
        <v>0</v>
      </c>
      <c r="K26" s="38">
        <v>0</v>
      </c>
      <c r="L26" s="38">
        <v>0</v>
      </c>
      <c r="M26" s="38">
        <f>F26*G26</f>
        <v>8252.7496919999994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f t="shared" si="13"/>
        <v>8252.7496919999994</v>
      </c>
    </row>
    <row r="27" spans="1:21">
      <c r="A27" s="144" t="s">
        <v>176</v>
      </c>
      <c r="B27" s="11" t="s">
        <v>115</v>
      </c>
      <c r="C27" s="26" t="s">
        <v>60</v>
      </c>
      <c r="D27" s="11" t="s">
        <v>35</v>
      </c>
      <c r="E27" s="36">
        <v>8</v>
      </c>
      <c r="F27" s="36">
        <v>12.4</v>
      </c>
      <c r="G27" s="36">
        <v>1302.02</v>
      </c>
      <c r="H27" s="37">
        <v>16.145</v>
      </c>
      <c r="I27" s="38">
        <v>0</v>
      </c>
      <c r="J27" s="38">
        <v>0</v>
      </c>
      <c r="K27" s="38">
        <v>0</v>
      </c>
      <c r="L27" s="38">
        <v>0</v>
      </c>
      <c r="M27" s="38">
        <f t="shared" si="14"/>
        <v>2690.8413333333338</v>
      </c>
      <c r="N27" s="38">
        <f t="shared" si="15"/>
        <v>2690.8413333333338</v>
      </c>
      <c r="O27" s="38">
        <f t="shared" si="16"/>
        <v>2690.8413333333338</v>
      </c>
      <c r="P27" s="38">
        <f t="shared" si="17"/>
        <v>2690.8413333333338</v>
      </c>
      <c r="Q27" s="38">
        <f t="shared" si="18"/>
        <v>2690.8413333333338</v>
      </c>
      <c r="R27" s="38">
        <f t="shared" si="19"/>
        <v>2690.8413333333338</v>
      </c>
      <c r="S27" s="38">
        <v>0</v>
      </c>
      <c r="T27" s="38">
        <v>0</v>
      </c>
      <c r="U27" s="38">
        <f t="shared" si="13"/>
        <v>16145.048000000003</v>
      </c>
    </row>
    <row r="28" spans="1:21">
      <c r="A28" s="144" t="s">
        <v>177</v>
      </c>
      <c r="B28" s="11" t="s">
        <v>33</v>
      </c>
      <c r="C28" s="26" t="s">
        <v>34</v>
      </c>
      <c r="D28" s="11" t="s">
        <v>35</v>
      </c>
      <c r="E28" s="49">
        <v>1</v>
      </c>
      <c r="F28" s="36">
        <v>155</v>
      </c>
      <c r="G28" s="36">
        <v>56.69</v>
      </c>
      <c r="H28" s="37">
        <f>SUM(G28*155/1000)</f>
        <v>8.7869499999999992</v>
      </c>
      <c r="I28" s="38">
        <v>0</v>
      </c>
      <c r="J28" s="38">
        <v>0</v>
      </c>
      <c r="K28" s="38">
        <v>0</v>
      </c>
      <c r="L28" s="38">
        <v>0</v>
      </c>
      <c r="M28" s="38">
        <f t="shared" si="14"/>
        <v>1464.4916666666666</v>
      </c>
      <c r="N28" s="38">
        <f t="shared" si="15"/>
        <v>1464.4916666666666</v>
      </c>
      <c r="O28" s="38">
        <f t="shared" si="16"/>
        <v>1464.4916666666666</v>
      </c>
      <c r="P28" s="38">
        <f t="shared" si="17"/>
        <v>1464.4916666666666</v>
      </c>
      <c r="Q28" s="38">
        <f t="shared" si="18"/>
        <v>1464.4916666666666</v>
      </c>
      <c r="R28" s="38">
        <f t="shared" si="19"/>
        <v>1464.4916666666666</v>
      </c>
      <c r="S28" s="38">
        <v>0</v>
      </c>
      <c r="T28" s="38">
        <v>0</v>
      </c>
      <c r="U28" s="38">
        <f t="shared" si="13"/>
        <v>8786.9499999999989</v>
      </c>
    </row>
    <row r="29" spans="1:21" ht="12.75" customHeight="1">
      <c r="A29" s="144" t="s">
        <v>178</v>
      </c>
      <c r="B29" s="11" t="s">
        <v>36</v>
      </c>
      <c r="C29" s="26" t="s">
        <v>37</v>
      </c>
      <c r="D29" s="11" t="s">
        <v>38</v>
      </c>
      <c r="E29" s="50">
        <v>0.1</v>
      </c>
      <c r="F29" s="36">
        <f>SUM(E29*365)</f>
        <v>36.5</v>
      </c>
      <c r="G29" s="36">
        <v>147.03</v>
      </c>
      <c r="H29" s="37">
        <f t="shared" si="12"/>
        <v>5.3665950000000002</v>
      </c>
      <c r="I29" s="38">
        <f>F29/12*G29</f>
        <v>447.21625</v>
      </c>
      <c r="J29" s="38">
        <f>F29/12*G29</f>
        <v>447.21625</v>
      </c>
      <c r="K29" s="38">
        <f>F29/12*G29</f>
        <v>447.21625</v>
      </c>
      <c r="L29" s="38">
        <f>F29/12*G29</f>
        <v>447.21625</v>
      </c>
      <c r="M29" s="38">
        <f>F29/12*G29</f>
        <v>447.21625</v>
      </c>
      <c r="N29" s="38">
        <f>F29/12*G29</f>
        <v>447.21625</v>
      </c>
      <c r="O29" s="38">
        <f>F29/12*G29</f>
        <v>447.21625</v>
      </c>
      <c r="P29" s="38">
        <f>F29/12*G29</f>
        <v>447.21625</v>
      </c>
      <c r="Q29" s="38">
        <f>F29/12*G29</f>
        <v>447.21625</v>
      </c>
      <c r="R29" s="38">
        <f>F29/12*G29</f>
        <v>447.21625</v>
      </c>
      <c r="S29" s="38">
        <f>F29/12*G29</f>
        <v>447.21625</v>
      </c>
      <c r="T29" s="38">
        <f>F29/12*G29</f>
        <v>447.21625</v>
      </c>
      <c r="U29" s="38">
        <f t="shared" si="13"/>
        <v>5366.5950000000012</v>
      </c>
    </row>
    <row r="30" spans="1:21" ht="12.75" customHeight="1">
      <c r="A30" s="144" t="s">
        <v>179</v>
      </c>
      <c r="B30" s="11" t="s">
        <v>150</v>
      </c>
      <c r="C30" s="26" t="s">
        <v>37</v>
      </c>
      <c r="D30" s="11" t="s">
        <v>39</v>
      </c>
      <c r="E30" s="35"/>
      <c r="F30" s="36">
        <v>2</v>
      </c>
      <c r="G30" s="36">
        <v>191.32</v>
      </c>
      <c r="H30" s="37">
        <f t="shared" si="12"/>
        <v>0.38263999999999998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f t="shared" si="13"/>
        <v>0</v>
      </c>
    </row>
    <row r="31" spans="1:21" ht="12.75" customHeight="1">
      <c r="A31" s="144" t="s">
        <v>129</v>
      </c>
      <c r="B31" s="11" t="s">
        <v>151</v>
      </c>
      <c r="C31" s="26" t="s">
        <v>40</v>
      </c>
      <c r="D31" s="11" t="s">
        <v>39</v>
      </c>
      <c r="E31" s="35"/>
      <c r="F31" s="36">
        <v>3</v>
      </c>
      <c r="G31" s="36">
        <v>1136.32</v>
      </c>
      <c r="H31" s="37">
        <f t="shared" si="12"/>
        <v>3.40896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f t="shared" si="13"/>
        <v>0</v>
      </c>
    </row>
    <row r="32" spans="1:21">
      <c r="A32" s="144"/>
      <c r="B32" s="51" t="s">
        <v>41</v>
      </c>
      <c r="C32" s="26" t="s">
        <v>42</v>
      </c>
      <c r="D32" s="51" t="s">
        <v>38</v>
      </c>
      <c r="E32" s="35">
        <v>5926.8</v>
      </c>
      <c r="F32" s="36">
        <f>SUM(E32*12)</f>
        <v>71121.600000000006</v>
      </c>
      <c r="G32" s="36">
        <v>4.53</v>
      </c>
      <c r="H32" s="37">
        <f t="shared" si="12"/>
        <v>322.18084800000008</v>
      </c>
      <c r="I32" s="38">
        <f>F32/12*G32</f>
        <v>26848.404000000002</v>
      </c>
      <c r="J32" s="38">
        <f>F32/12*G32</f>
        <v>26848.404000000002</v>
      </c>
      <c r="K32" s="38">
        <f>F32/12*G32</f>
        <v>26848.404000000002</v>
      </c>
      <c r="L32" s="38">
        <f>F32/12*G32</f>
        <v>26848.404000000002</v>
      </c>
      <c r="M32" s="38">
        <f>F32/12*G32</f>
        <v>26848.404000000002</v>
      </c>
      <c r="N32" s="38">
        <f>F32/12*G32</f>
        <v>26848.404000000002</v>
      </c>
      <c r="O32" s="38">
        <f>F32/12*G32</f>
        <v>26848.404000000002</v>
      </c>
      <c r="P32" s="38">
        <f>F32/12*G32</f>
        <v>26848.404000000002</v>
      </c>
      <c r="Q32" s="38">
        <f t="shared" ref="Q32" si="20">F32/12*G32</f>
        <v>26848.404000000002</v>
      </c>
      <c r="R32" s="38">
        <f t="shared" ref="R32" si="21">F32/12*G32</f>
        <v>26848.404000000002</v>
      </c>
      <c r="S32" s="38">
        <f t="shared" ref="S32" si="22">F32/12*G32</f>
        <v>26848.404000000002</v>
      </c>
      <c r="T32" s="38">
        <f t="shared" ref="T32" si="23">F32/12*G32</f>
        <v>26848.404000000002</v>
      </c>
      <c r="U32" s="38">
        <f t="shared" si="13"/>
        <v>322180.848</v>
      </c>
    </row>
    <row r="33" spans="1:21" s="19" customFormat="1">
      <c r="A33" s="145"/>
      <c r="B33" s="20" t="s">
        <v>27</v>
      </c>
      <c r="C33" s="43"/>
      <c r="D33" s="20"/>
      <c r="E33" s="44"/>
      <c r="F33" s="45"/>
      <c r="G33" s="45"/>
      <c r="H33" s="52">
        <f>SUM(H24:H32)</f>
        <v>386.65039717700006</v>
      </c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>
        <f>SUM(U24:U32)</f>
        <v>382858.84517699998</v>
      </c>
    </row>
    <row r="34" spans="1:21">
      <c r="A34" s="144"/>
      <c r="B34" s="12" t="s">
        <v>44</v>
      </c>
      <c r="C34" s="26"/>
      <c r="D34" s="11"/>
      <c r="E34" s="35"/>
      <c r="F34" s="36"/>
      <c r="G34" s="36"/>
      <c r="H34" s="37" t="s">
        <v>43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2.75" customHeight="1">
      <c r="A35" s="144" t="s">
        <v>129</v>
      </c>
      <c r="B35" s="13" t="s">
        <v>45</v>
      </c>
      <c r="C35" s="26" t="s">
        <v>40</v>
      </c>
      <c r="D35" s="11"/>
      <c r="E35" s="35"/>
      <c r="F35" s="36">
        <v>15</v>
      </c>
      <c r="G35" s="36">
        <v>1527.22</v>
      </c>
      <c r="H35" s="37">
        <f>SUM(F35*G35/1000)</f>
        <v>22.908300000000001</v>
      </c>
      <c r="I35" s="38">
        <f t="shared" ref="I35:I40" si="24">F35/6*G35</f>
        <v>3818.05</v>
      </c>
      <c r="J35" s="38">
        <f t="shared" ref="J35:J40" si="25">F35/6*G35</f>
        <v>3818.05</v>
      </c>
      <c r="K35" s="38">
        <f>F35/6*G35</f>
        <v>3818.05</v>
      </c>
      <c r="L35" s="38">
        <f>F35/6*G35</f>
        <v>3818.05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f>F35/6*G35</f>
        <v>3818.05</v>
      </c>
      <c r="T35" s="38">
        <f>F35/6*G35</f>
        <v>3818.05</v>
      </c>
      <c r="U35" s="38">
        <f t="shared" ref="U35:U40" si="26">SUM(I35:T35)</f>
        <v>22908.3</v>
      </c>
    </row>
    <row r="36" spans="1:21" s="1" customFormat="1">
      <c r="A36" s="146" t="s">
        <v>180</v>
      </c>
      <c r="B36" s="13" t="s">
        <v>46</v>
      </c>
      <c r="C36" s="53" t="s">
        <v>47</v>
      </c>
      <c r="D36" s="13" t="s">
        <v>48</v>
      </c>
      <c r="E36" s="54">
        <v>547.85</v>
      </c>
      <c r="F36" s="54">
        <f>SUM(E36*50/1000)</f>
        <v>27.392499999999998</v>
      </c>
      <c r="G36" s="54">
        <v>2102.71</v>
      </c>
      <c r="H36" s="37">
        <f t="shared" ref="H36:H40" si="27">SUM(F36*G36/1000)</f>
        <v>57.598483674999997</v>
      </c>
      <c r="I36" s="55">
        <f t="shared" si="24"/>
        <v>9599.747279166666</v>
      </c>
      <c r="J36" s="55">
        <f t="shared" si="25"/>
        <v>9599.747279166666</v>
      </c>
      <c r="K36" s="38">
        <f>F36/6*G36</f>
        <v>9599.747279166666</v>
      </c>
      <c r="L36" s="38">
        <f t="shared" ref="L36:L40" si="28">F36/6*G36</f>
        <v>9599.747279166666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f t="shared" ref="S36:S40" si="29">F36/6*G36</f>
        <v>9599.747279166666</v>
      </c>
      <c r="T36" s="38">
        <f t="shared" ref="T36:T40" si="30">F36/6*G36</f>
        <v>9599.747279166666</v>
      </c>
      <c r="U36" s="38">
        <f t="shared" si="26"/>
        <v>57598.483674999996</v>
      </c>
    </row>
    <row r="37" spans="1:21" ht="24.75" customHeight="1">
      <c r="A37" s="144" t="s">
        <v>181</v>
      </c>
      <c r="B37" s="11" t="s">
        <v>152</v>
      </c>
      <c r="C37" s="26" t="s">
        <v>47</v>
      </c>
      <c r="D37" s="11" t="s">
        <v>49</v>
      </c>
      <c r="E37" s="36">
        <v>140</v>
      </c>
      <c r="F37" s="54">
        <f>SUM(E37*155/1000)</f>
        <v>21.7</v>
      </c>
      <c r="G37" s="36">
        <v>350.75</v>
      </c>
      <c r="H37" s="37">
        <f t="shared" si="27"/>
        <v>7.611275</v>
      </c>
      <c r="I37" s="38">
        <f t="shared" si="24"/>
        <v>1268.5458333333333</v>
      </c>
      <c r="J37" s="38">
        <f t="shared" si="25"/>
        <v>1268.5458333333333</v>
      </c>
      <c r="K37" s="38">
        <f>F37/6*G37</f>
        <v>1268.5458333333333</v>
      </c>
      <c r="L37" s="38">
        <f t="shared" si="28"/>
        <v>1268.5458333333333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f t="shared" si="29"/>
        <v>1268.5458333333333</v>
      </c>
      <c r="T37" s="38">
        <f t="shared" si="30"/>
        <v>1268.5458333333333</v>
      </c>
      <c r="U37" s="38">
        <f t="shared" si="26"/>
        <v>7611.2750000000005</v>
      </c>
    </row>
    <row r="38" spans="1:21" ht="51" customHeight="1">
      <c r="A38" s="144" t="s">
        <v>182</v>
      </c>
      <c r="B38" s="11" t="s">
        <v>153</v>
      </c>
      <c r="C38" s="26" t="s">
        <v>29</v>
      </c>
      <c r="D38" s="11" t="s">
        <v>111</v>
      </c>
      <c r="E38" s="36">
        <v>140</v>
      </c>
      <c r="F38" s="54">
        <f>SUM(E38*12/1000)</f>
        <v>1.68</v>
      </c>
      <c r="G38" s="36">
        <v>5803.28</v>
      </c>
      <c r="H38" s="37">
        <f t="shared" si="27"/>
        <v>9.7495103999999984</v>
      </c>
      <c r="I38" s="38">
        <f t="shared" si="24"/>
        <v>1624.9183999999998</v>
      </c>
      <c r="J38" s="38">
        <f t="shared" si="25"/>
        <v>1624.9183999999998</v>
      </c>
      <c r="K38" s="38">
        <f t="shared" ref="K38:K40" si="31">F38/6*G38</f>
        <v>1624.9183999999998</v>
      </c>
      <c r="L38" s="38">
        <f t="shared" si="28"/>
        <v>1624.9183999999998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f t="shared" si="29"/>
        <v>1624.9183999999998</v>
      </c>
      <c r="T38" s="38">
        <f t="shared" si="30"/>
        <v>1624.9183999999998</v>
      </c>
      <c r="U38" s="38">
        <f t="shared" si="26"/>
        <v>9749.5103999999992</v>
      </c>
    </row>
    <row r="39" spans="1:21" ht="12.75" customHeight="1">
      <c r="A39" s="144" t="s">
        <v>183</v>
      </c>
      <c r="B39" s="11" t="s">
        <v>154</v>
      </c>
      <c r="C39" s="26" t="s">
        <v>29</v>
      </c>
      <c r="D39" s="11" t="s">
        <v>280</v>
      </c>
      <c r="E39" s="36">
        <v>140</v>
      </c>
      <c r="F39" s="54">
        <f>SUM(E39*15/1000)</f>
        <v>2.1</v>
      </c>
      <c r="G39" s="36">
        <v>428.7</v>
      </c>
      <c r="H39" s="37">
        <f t="shared" si="27"/>
        <v>0.90027000000000001</v>
      </c>
      <c r="I39" s="38">
        <v>0</v>
      </c>
      <c r="J39" s="38">
        <v>0</v>
      </c>
      <c r="K39" s="38">
        <f>F39/2*G39</f>
        <v>450.13499999999999</v>
      </c>
      <c r="L39" s="38">
        <f>F39/2*G39</f>
        <v>450.13499999999999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f t="shared" si="26"/>
        <v>900.27</v>
      </c>
    </row>
    <row r="40" spans="1:21" s="2" customFormat="1">
      <c r="A40" s="146"/>
      <c r="B40" s="13" t="s">
        <v>155</v>
      </c>
      <c r="C40" s="53" t="s">
        <v>37</v>
      </c>
      <c r="D40" s="13"/>
      <c r="E40" s="50"/>
      <c r="F40" s="54">
        <v>0.9</v>
      </c>
      <c r="G40" s="54">
        <v>798</v>
      </c>
      <c r="H40" s="37">
        <f t="shared" si="27"/>
        <v>0.71820000000000006</v>
      </c>
      <c r="I40" s="55">
        <f t="shared" si="24"/>
        <v>119.69999999999999</v>
      </c>
      <c r="J40" s="55">
        <f t="shared" si="25"/>
        <v>119.69999999999999</v>
      </c>
      <c r="K40" s="38">
        <f t="shared" si="31"/>
        <v>119.69999999999999</v>
      </c>
      <c r="L40" s="38">
        <f t="shared" si="28"/>
        <v>119.69999999999999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f t="shared" si="29"/>
        <v>119.69999999999999</v>
      </c>
      <c r="T40" s="38">
        <f t="shared" si="30"/>
        <v>119.69999999999999</v>
      </c>
      <c r="U40" s="38">
        <f t="shared" si="26"/>
        <v>718.2</v>
      </c>
    </row>
    <row r="41" spans="1:21" s="19" customFormat="1">
      <c r="A41" s="145"/>
      <c r="B41" s="20" t="s">
        <v>27</v>
      </c>
      <c r="C41" s="43"/>
      <c r="D41" s="20"/>
      <c r="E41" s="44"/>
      <c r="F41" s="45" t="s">
        <v>43</v>
      </c>
      <c r="G41" s="45"/>
      <c r="H41" s="52">
        <f>SUM(H35:H40)</f>
        <v>99.486039075000008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>
        <f>SUM(U35:U40)</f>
        <v>99486.039074999993</v>
      </c>
    </row>
    <row r="42" spans="1:21">
      <c r="A42" s="144"/>
      <c r="B42" s="14" t="s">
        <v>50</v>
      </c>
      <c r="C42" s="26"/>
      <c r="D42" s="11"/>
      <c r="E42" s="35"/>
      <c r="F42" s="36"/>
      <c r="G42" s="36"/>
      <c r="H42" s="37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1:21">
      <c r="A43" s="144" t="s">
        <v>184</v>
      </c>
      <c r="B43" s="11" t="s">
        <v>230</v>
      </c>
      <c r="C43" s="26" t="s">
        <v>29</v>
      </c>
      <c r="D43" s="11" t="s">
        <v>51</v>
      </c>
      <c r="E43" s="35">
        <v>1640.4</v>
      </c>
      <c r="F43" s="36">
        <f>SUM(E43*2/1000)</f>
        <v>3.2808000000000002</v>
      </c>
      <c r="G43" s="56">
        <v>849.49</v>
      </c>
      <c r="H43" s="37">
        <f t="shared" ref="H43:H51" si="32">SUM(F43*G43/1000)</f>
        <v>2.7870067920000001</v>
      </c>
      <c r="I43" s="38">
        <v>0</v>
      </c>
      <c r="J43" s="38">
        <v>0</v>
      </c>
      <c r="K43" s="38">
        <v>0</v>
      </c>
      <c r="L43" s="38">
        <v>0</v>
      </c>
      <c r="M43" s="38">
        <f>F43/2*G43</f>
        <v>1393.5033960000001</v>
      </c>
      <c r="N43" s="38">
        <v>0</v>
      </c>
      <c r="O43" s="38">
        <v>0</v>
      </c>
      <c r="P43" s="38">
        <v>0</v>
      </c>
      <c r="Q43" s="38">
        <f>F43/2*G43</f>
        <v>1393.5033960000001</v>
      </c>
      <c r="R43" s="38">
        <v>0</v>
      </c>
      <c r="S43" s="38">
        <v>0</v>
      </c>
      <c r="T43" s="38">
        <v>0</v>
      </c>
      <c r="U43" s="38">
        <f t="shared" ref="U43:U51" si="33">SUM(I43:T43)</f>
        <v>2787.0067920000001</v>
      </c>
    </row>
    <row r="44" spans="1:21">
      <c r="A44" s="144" t="s">
        <v>185</v>
      </c>
      <c r="B44" s="11" t="s">
        <v>52</v>
      </c>
      <c r="C44" s="26" t="s">
        <v>29</v>
      </c>
      <c r="D44" s="11" t="s">
        <v>51</v>
      </c>
      <c r="E44" s="35">
        <v>918.25</v>
      </c>
      <c r="F44" s="36">
        <f>SUM(E44*2/1000)</f>
        <v>1.8365</v>
      </c>
      <c r="G44" s="56">
        <v>579.48</v>
      </c>
      <c r="H44" s="37">
        <f t="shared" si="32"/>
        <v>1.06421502</v>
      </c>
      <c r="I44" s="38">
        <v>0</v>
      </c>
      <c r="J44" s="38">
        <v>0</v>
      </c>
      <c r="K44" s="38">
        <v>0</v>
      </c>
      <c r="L44" s="38">
        <v>0</v>
      </c>
      <c r="M44" s="38">
        <f t="shared" ref="M44:M46" si="34">F44/2*G44</f>
        <v>532.10751000000005</v>
      </c>
      <c r="N44" s="38">
        <v>0</v>
      </c>
      <c r="O44" s="38">
        <v>0</v>
      </c>
      <c r="P44" s="38">
        <v>0</v>
      </c>
      <c r="Q44" s="38">
        <f t="shared" ref="Q44:Q46" si="35">F44/2*G44</f>
        <v>532.10751000000005</v>
      </c>
      <c r="R44" s="38">
        <v>0</v>
      </c>
      <c r="S44" s="38">
        <v>0</v>
      </c>
      <c r="T44" s="38">
        <v>0</v>
      </c>
      <c r="U44" s="38">
        <f t="shared" si="33"/>
        <v>1064.2150200000001</v>
      </c>
    </row>
    <row r="45" spans="1:21" ht="12.75" customHeight="1">
      <c r="A45" s="144" t="s">
        <v>186</v>
      </c>
      <c r="B45" s="11" t="s">
        <v>53</v>
      </c>
      <c r="C45" s="26" t="s">
        <v>29</v>
      </c>
      <c r="D45" s="11" t="s">
        <v>51</v>
      </c>
      <c r="E45" s="35">
        <v>5592.26</v>
      </c>
      <c r="F45" s="36">
        <f>SUM(E45*2/1000)</f>
        <v>11.184520000000001</v>
      </c>
      <c r="G45" s="56">
        <v>579.48</v>
      </c>
      <c r="H45" s="37">
        <f t="shared" si="32"/>
        <v>6.4812056496000006</v>
      </c>
      <c r="I45" s="38">
        <v>0</v>
      </c>
      <c r="J45" s="38">
        <v>0</v>
      </c>
      <c r="K45" s="38">
        <v>0</v>
      </c>
      <c r="L45" s="38">
        <v>0</v>
      </c>
      <c r="M45" s="38">
        <f t="shared" si="34"/>
        <v>3240.6028248000002</v>
      </c>
      <c r="N45" s="38">
        <v>0</v>
      </c>
      <c r="O45" s="38">
        <v>0</v>
      </c>
      <c r="P45" s="38">
        <v>0</v>
      </c>
      <c r="Q45" s="38">
        <f t="shared" si="35"/>
        <v>3240.6028248000002</v>
      </c>
      <c r="R45" s="38">
        <v>0</v>
      </c>
      <c r="S45" s="38">
        <v>0</v>
      </c>
      <c r="T45" s="38">
        <v>0</v>
      </c>
      <c r="U45" s="38">
        <f t="shared" si="33"/>
        <v>6481.2056496000005</v>
      </c>
    </row>
    <row r="46" spans="1:21">
      <c r="A46" s="144" t="s">
        <v>187</v>
      </c>
      <c r="B46" s="11" t="s">
        <v>54</v>
      </c>
      <c r="C46" s="26" t="s">
        <v>29</v>
      </c>
      <c r="D46" s="11" t="s">
        <v>51</v>
      </c>
      <c r="E46" s="35">
        <v>2817.65</v>
      </c>
      <c r="F46" s="36">
        <f>SUM(E46*2/1000)</f>
        <v>5.6353</v>
      </c>
      <c r="G46" s="56">
        <v>606.77</v>
      </c>
      <c r="H46" s="37">
        <f t="shared" si="32"/>
        <v>3.4193309809999999</v>
      </c>
      <c r="I46" s="38">
        <v>0</v>
      </c>
      <c r="J46" s="38">
        <v>0</v>
      </c>
      <c r="K46" s="38">
        <v>0</v>
      </c>
      <c r="L46" s="38">
        <v>0</v>
      </c>
      <c r="M46" s="38">
        <f t="shared" si="34"/>
        <v>1709.6654905</v>
      </c>
      <c r="N46" s="38">
        <v>0</v>
      </c>
      <c r="O46" s="38">
        <v>0</v>
      </c>
      <c r="P46" s="38">
        <v>0</v>
      </c>
      <c r="Q46" s="38">
        <f t="shared" si="35"/>
        <v>1709.6654905</v>
      </c>
      <c r="R46" s="38">
        <v>0</v>
      </c>
      <c r="S46" s="38">
        <v>0</v>
      </c>
      <c r="T46" s="38">
        <v>0</v>
      </c>
      <c r="U46" s="38">
        <f t="shared" si="33"/>
        <v>3419.3309810000001</v>
      </c>
    </row>
    <row r="47" spans="1:21" ht="25.5">
      <c r="A47" s="144" t="s">
        <v>188</v>
      </c>
      <c r="B47" s="11" t="s">
        <v>55</v>
      </c>
      <c r="C47" s="26" t="s">
        <v>29</v>
      </c>
      <c r="D47" s="11" t="s">
        <v>56</v>
      </c>
      <c r="E47" s="35">
        <v>3280.8</v>
      </c>
      <c r="F47" s="36">
        <f>SUM(E47*5/1000)</f>
        <v>16.404</v>
      </c>
      <c r="G47" s="56">
        <v>1213.55</v>
      </c>
      <c r="H47" s="37">
        <f t="shared" si="32"/>
        <v>19.9070742</v>
      </c>
      <c r="I47" s="38">
        <f>F47/5*G47</f>
        <v>3981.4148399999999</v>
      </c>
      <c r="J47" s="38">
        <f>F47/5*G47</f>
        <v>3981.4148399999999</v>
      </c>
      <c r="K47" s="38">
        <v>0</v>
      </c>
      <c r="L47" s="38">
        <v>0</v>
      </c>
      <c r="M47" s="38">
        <f>F47/5*G47</f>
        <v>3981.4148399999999</v>
      </c>
      <c r="N47" s="38">
        <v>0</v>
      </c>
      <c r="O47" s="38">
        <v>0</v>
      </c>
      <c r="P47" s="38">
        <v>0</v>
      </c>
      <c r="Q47" s="38">
        <f>F47/5*G47</f>
        <v>3981.4148399999999</v>
      </c>
      <c r="R47" s="38">
        <v>0</v>
      </c>
      <c r="S47" s="38">
        <v>0</v>
      </c>
      <c r="T47" s="38">
        <f>F47/5*G47</f>
        <v>3981.4148399999999</v>
      </c>
      <c r="U47" s="38">
        <f t="shared" si="33"/>
        <v>19907.074199999999</v>
      </c>
    </row>
    <row r="48" spans="1:21" ht="38.25" customHeight="1">
      <c r="A48" s="144" t="s">
        <v>189</v>
      </c>
      <c r="B48" s="11" t="s">
        <v>57</v>
      </c>
      <c r="C48" s="26" t="s">
        <v>29</v>
      </c>
      <c r="D48" s="11" t="s">
        <v>51</v>
      </c>
      <c r="E48" s="35">
        <v>3280.8</v>
      </c>
      <c r="F48" s="36">
        <f>SUM(E48*2/1000)</f>
        <v>6.5616000000000003</v>
      </c>
      <c r="G48" s="56">
        <v>1213.55</v>
      </c>
      <c r="H48" s="37">
        <f t="shared" si="32"/>
        <v>7.9628296799999996</v>
      </c>
      <c r="I48" s="38">
        <v>0</v>
      </c>
      <c r="J48" s="38">
        <v>0</v>
      </c>
      <c r="K48" s="38">
        <v>0</v>
      </c>
      <c r="L48" s="38">
        <f>F48/2*G48</f>
        <v>3981.4148399999999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f>F48/2*G48</f>
        <v>3981.4148399999999</v>
      </c>
      <c r="S48" s="38">
        <v>0</v>
      </c>
      <c r="T48" s="38">
        <v>0</v>
      </c>
      <c r="U48" s="38">
        <f t="shared" si="33"/>
        <v>7962.8296799999998</v>
      </c>
    </row>
    <row r="49" spans="1:21" ht="25.5" customHeight="1">
      <c r="A49" s="144" t="s">
        <v>190</v>
      </c>
      <c r="B49" s="11" t="s">
        <v>156</v>
      </c>
      <c r="C49" s="26" t="s">
        <v>58</v>
      </c>
      <c r="D49" s="11" t="s">
        <v>51</v>
      </c>
      <c r="E49" s="35">
        <v>40</v>
      </c>
      <c r="F49" s="36">
        <f>SUM(E49*2/100)</f>
        <v>0.8</v>
      </c>
      <c r="G49" s="56">
        <v>2730.49</v>
      </c>
      <c r="H49" s="37">
        <f t="shared" si="32"/>
        <v>2.1843919999999999</v>
      </c>
      <c r="I49" s="38">
        <v>0</v>
      </c>
      <c r="J49" s="38">
        <v>0</v>
      </c>
      <c r="K49" s="38">
        <v>0</v>
      </c>
      <c r="L49" s="38">
        <f>F49/2*G49</f>
        <v>1092.1959999999999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f t="shared" ref="R49:R50" si="36">F49/2*G49</f>
        <v>1092.1959999999999</v>
      </c>
      <c r="S49" s="38">
        <v>0</v>
      </c>
      <c r="T49" s="38">
        <v>0</v>
      </c>
      <c r="U49" s="38">
        <f t="shared" si="33"/>
        <v>2184.3919999999998</v>
      </c>
    </row>
    <row r="50" spans="1:21">
      <c r="A50" s="144" t="s">
        <v>191</v>
      </c>
      <c r="B50" s="11" t="s">
        <v>59</v>
      </c>
      <c r="C50" s="26" t="s">
        <v>60</v>
      </c>
      <c r="D50" s="11" t="s">
        <v>51</v>
      </c>
      <c r="E50" s="35">
        <v>1</v>
      </c>
      <c r="F50" s="36">
        <v>0.02</v>
      </c>
      <c r="G50" s="56">
        <v>5652.13</v>
      </c>
      <c r="H50" s="37">
        <f t="shared" si="32"/>
        <v>0.11304260000000001</v>
      </c>
      <c r="I50" s="38">
        <v>0</v>
      </c>
      <c r="J50" s="38">
        <v>0</v>
      </c>
      <c r="K50" s="38">
        <f>F50/2*G50</f>
        <v>56.521300000000004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f t="shared" si="36"/>
        <v>56.521300000000004</v>
      </c>
      <c r="S50" s="38">
        <v>0</v>
      </c>
      <c r="T50" s="38">
        <v>0</v>
      </c>
      <c r="U50" s="38">
        <f t="shared" si="33"/>
        <v>113.04260000000001</v>
      </c>
    </row>
    <row r="51" spans="1:21" ht="13.5" customHeight="1">
      <c r="A51" s="144" t="s">
        <v>62</v>
      </c>
      <c r="B51" s="11" t="s">
        <v>63</v>
      </c>
      <c r="C51" s="26" t="s">
        <v>61</v>
      </c>
      <c r="D51" s="11" t="s">
        <v>99</v>
      </c>
      <c r="E51" s="35">
        <v>238</v>
      </c>
      <c r="F51" s="36">
        <f>SUM(E51)*3</f>
        <v>714</v>
      </c>
      <c r="G51" s="57">
        <v>65.67</v>
      </c>
      <c r="H51" s="37">
        <f t="shared" si="32"/>
        <v>46.888380000000005</v>
      </c>
      <c r="I51" s="38">
        <f>E51*G51</f>
        <v>15629.460000000001</v>
      </c>
      <c r="J51" s="38">
        <v>0</v>
      </c>
      <c r="K51" s="38">
        <v>0</v>
      </c>
      <c r="L51" s="38">
        <v>0</v>
      </c>
      <c r="M51" s="38">
        <v>0</v>
      </c>
      <c r="N51" s="38">
        <f>E51*G51</f>
        <v>15629.460000000001</v>
      </c>
      <c r="O51" s="38">
        <v>0</v>
      </c>
      <c r="P51" s="38">
        <v>0</v>
      </c>
      <c r="Q51" s="38">
        <v>0</v>
      </c>
      <c r="R51" s="38">
        <f>E51*G51</f>
        <v>15629.460000000001</v>
      </c>
      <c r="S51" s="38">
        <v>0</v>
      </c>
      <c r="T51" s="38">
        <v>0</v>
      </c>
      <c r="U51" s="38">
        <f t="shared" si="33"/>
        <v>46888.380000000005</v>
      </c>
    </row>
    <row r="52" spans="1:21" s="21" customFormat="1">
      <c r="A52" s="147"/>
      <c r="B52" s="20" t="s">
        <v>27</v>
      </c>
      <c r="C52" s="58"/>
      <c r="D52" s="20"/>
      <c r="E52" s="59"/>
      <c r="F52" s="60"/>
      <c r="G52" s="60"/>
      <c r="H52" s="52">
        <f>SUM(H43:H51)</f>
        <v>90.807476922600017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>
        <f>SUM(U43:U51)</f>
        <v>90807.476922600006</v>
      </c>
    </row>
    <row r="53" spans="1:21">
      <c r="A53" s="144"/>
      <c r="B53" s="12" t="s">
        <v>64</v>
      </c>
      <c r="C53" s="26"/>
      <c r="D53" s="11"/>
      <c r="E53" s="35"/>
      <c r="F53" s="36"/>
      <c r="G53" s="36"/>
      <c r="H53" s="37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spans="1:21">
      <c r="A54" s="144" t="s">
        <v>192</v>
      </c>
      <c r="B54" s="11" t="s">
        <v>65</v>
      </c>
      <c r="C54" s="26" t="s">
        <v>13</v>
      </c>
      <c r="D54" s="11" t="s">
        <v>32</v>
      </c>
      <c r="E54" s="62">
        <v>1640.4</v>
      </c>
      <c r="F54" s="56">
        <f>E54/100</f>
        <v>16.404</v>
      </c>
      <c r="G54" s="54">
        <v>472.59</v>
      </c>
      <c r="H54" s="37">
        <f>SUM(F54*G54/1000)</f>
        <v>7.7523663599999999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f t="shared" ref="U54:U79" si="37">SUM(I54:T54)</f>
        <v>0</v>
      </c>
    </row>
    <row r="55" spans="1:21" ht="25.5">
      <c r="A55" s="148" t="s">
        <v>193</v>
      </c>
      <c r="B55" s="11" t="s">
        <v>157</v>
      </c>
      <c r="C55" s="26" t="s">
        <v>13</v>
      </c>
      <c r="D55" s="11" t="s">
        <v>112</v>
      </c>
      <c r="E55" s="35">
        <v>164.04</v>
      </c>
      <c r="F55" s="56">
        <f>E55*6/100</f>
        <v>9.8423999999999996</v>
      </c>
      <c r="G55" s="63">
        <v>1547.28</v>
      </c>
      <c r="H55" s="37">
        <f>F55*G55/1000</f>
        <v>15.228948671999998</v>
      </c>
      <c r="I55" s="38">
        <f>F55/6*G55</f>
        <v>2538.1581119999996</v>
      </c>
      <c r="J55" s="38">
        <f>F55/6*G55</f>
        <v>2538.1581119999996</v>
      </c>
      <c r="K55" s="38">
        <f>F55/6*G55</f>
        <v>2538.1581119999996</v>
      </c>
      <c r="L55" s="38">
        <f>F55/6*G55</f>
        <v>2538.1581119999996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f>F55/6*G55</f>
        <v>2538.1581119999996</v>
      </c>
      <c r="T55" s="38">
        <f>F55/6*G55</f>
        <v>2538.1581119999996</v>
      </c>
      <c r="U55" s="38">
        <f t="shared" si="37"/>
        <v>15228.948671999997</v>
      </c>
    </row>
    <row r="56" spans="1:21" ht="12.75" customHeight="1">
      <c r="A56" s="148" t="s">
        <v>194</v>
      </c>
      <c r="B56" s="23" t="s">
        <v>113</v>
      </c>
      <c r="C56" s="64" t="s">
        <v>13</v>
      </c>
      <c r="D56" s="23" t="s">
        <v>104</v>
      </c>
      <c r="E56" s="65">
        <v>8</v>
      </c>
      <c r="F56" s="66">
        <f>E56*8/100</f>
        <v>0.64</v>
      </c>
      <c r="G56" s="63">
        <v>1547.28</v>
      </c>
      <c r="H56" s="67">
        <f>F56*G56/1000</f>
        <v>0.99025920000000001</v>
      </c>
      <c r="I56" s="38">
        <f>F56/6*G56</f>
        <v>165.04320000000001</v>
      </c>
      <c r="J56" s="38">
        <f>F56/6*G56</f>
        <v>165.04320000000001</v>
      </c>
      <c r="K56" s="38">
        <f>F56/6*G56</f>
        <v>165.04320000000001</v>
      </c>
      <c r="L56" s="38">
        <f>F56/6*G56</f>
        <v>165.04320000000001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f>F56/6*G56</f>
        <v>165.04320000000001</v>
      </c>
      <c r="T56" s="38">
        <f>F56/6*G56</f>
        <v>165.04320000000001</v>
      </c>
      <c r="U56" s="38">
        <f t="shared" si="37"/>
        <v>990.25920000000019</v>
      </c>
    </row>
    <row r="57" spans="1:21" ht="12.75" customHeight="1">
      <c r="A57" s="144" t="s">
        <v>195</v>
      </c>
      <c r="B57" s="23" t="s">
        <v>105</v>
      </c>
      <c r="C57" s="64" t="s">
        <v>106</v>
      </c>
      <c r="D57" s="23" t="s">
        <v>51</v>
      </c>
      <c r="E57" s="65">
        <v>8</v>
      </c>
      <c r="F57" s="66">
        <v>16</v>
      </c>
      <c r="G57" s="68">
        <v>180.78</v>
      </c>
      <c r="H57" s="67">
        <f>F57*G57/1000</f>
        <v>2.8924799999999999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f t="shared" si="37"/>
        <v>0</v>
      </c>
    </row>
    <row r="58" spans="1:21" ht="12.75" customHeight="1">
      <c r="A58" s="149"/>
      <c r="B58" s="24" t="s">
        <v>66</v>
      </c>
      <c r="C58" s="64"/>
      <c r="D58" s="23"/>
      <c r="E58" s="65"/>
      <c r="F58" s="66"/>
      <c r="G58" s="69"/>
      <c r="H58" s="67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</row>
    <row r="59" spans="1:21" ht="12.75" customHeight="1">
      <c r="A59" s="149" t="s">
        <v>134</v>
      </c>
      <c r="B59" s="23" t="s">
        <v>107</v>
      </c>
      <c r="C59" s="64" t="s">
        <v>67</v>
      </c>
      <c r="D59" s="23" t="s">
        <v>68</v>
      </c>
      <c r="E59" s="65">
        <v>329.4</v>
      </c>
      <c r="F59" s="66">
        <f>E59*12</f>
        <v>3952.7999999999997</v>
      </c>
      <c r="G59" s="70">
        <v>2.5960000000000001</v>
      </c>
      <c r="H59" s="67">
        <f>G59*F59</f>
        <v>10261.468799999999</v>
      </c>
      <c r="I59" s="38">
        <f>F59/12*G59</f>
        <v>855.12239999999997</v>
      </c>
      <c r="J59" s="38">
        <f>F59/12*G59</f>
        <v>855.12239999999997</v>
      </c>
      <c r="K59" s="38">
        <f>F59/12*G59</f>
        <v>855.12239999999997</v>
      </c>
      <c r="L59" s="38">
        <f>F59/12*G59</f>
        <v>855.12239999999997</v>
      </c>
      <c r="M59" s="38">
        <f>F59/12*G59</f>
        <v>855.12239999999997</v>
      </c>
      <c r="N59" s="38">
        <f>F59/12*G59</f>
        <v>855.12239999999997</v>
      </c>
      <c r="O59" s="38">
        <f>F59/12*G59</f>
        <v>855.12239999999997</v>
      </c>
      <c r="P59" s="38">
        <f>F59/12*G59</f>
        <v>855.12239999999997</v>
      </c>
      <c r="Q59" s="38">
        <f>F59/12*G59</f>
        <v>855.12239999999997</v>
      </c>
      <c r="R59" s="38">
        <f>F59/12*G59</f>
        <v>855.12239999999997</v>
      </c>
      <c r="S59" s="38">
        <f>F59/12*G59</f>
        <v>855.12239999999997</v>
      </c>
      <c r="T59" s="38">
        <f>F59/12*G59</f>
        <v>855.12239999999997</v>
      </c>
      <c r="U59" s="38">
        <f t="shared" si="37"/>
        <v>10261.468800000001</v>
      </c>
    </row>
    <row r="60" spans="1:21" ht="12.75" customHeight="1">
      <c r="A60" s="149" t="s">
        <v>196</v>
      </c>
      <c r="B60" s="23" t="s">
        <v>114</v>
      </c>
      <c r="C60" s="64" t="s">
        <v>67</v>
      </c>
      <c r="D60" s="23" t="s">
        <v>32</v>
      </c>
      <c r="E60" s="65">
        <v>1640.4</v>
      </c>
      <c r="F60" s="66">
        <v>16.404</v>
      </c>
      <c r="G60" s="71">
        <v>739.61</v>
      </c>
      <c r="H60" s="67">
        <f>G60*F60/1000</f>
        <v>12.132562439999999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f t="shared" si="37"/>
        <v>0</v>
      </c>
    </row>
    <row r="61" spans="1:21">
      <c r="A61" s="149"/>
      <c r="B61" s="15" t="s">
        <v>69</v>
      </c>
      <c r="C61" s="64"/>
      <c r="D61" s="23"/>
      <c r="E61" s="65"/>
      <c r="F61" s="66"/>
      <c r="G61" s="66"/>
      <c r="H61" s="67" t="s">
        <v>43</v>
      </c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</row>
    <row r="62" spans="1:21" ht="12.75" customHeight="1">
      <c r="A62" s="25" t="s">
        <v>197</v>
      </c>
      <c r="B62" s="16" t="s">
        <v>70</v>
      </c>
      <c r="C62" s="25" t="s">
        <v>61</v>
      </c>
      <c r="D62" s="9" t="s">
        <v>39</v>
      </c>
      <c r="E62" s="72">
        <v>40</v>
      </c>
      <c r="F62" s="36">
        <v>40</v>
      </c>
      <c r="G62" s="56">
        <v>222.4</v>
      </c>
      <c r="H62" s="134">
        <f t="shared" ref="H62:H69" si="38">SUM(F62*G62/1000)</f>
        <v>8.8960000000000008</v>
      </c>
      <c r="I62" s="38">
        <f>G62</f>
        <v>222.4</v>
      </c>
      <c r="J62" s="38">
        <v>0</v>
      </c>
      <c r="K62" s="38">
        <v>0</v>
      </c>
      <c r="L62" s="38">
        <v>0</v>
      </c>
      <c r="M62" s="38">
        <f>G62</f>
        <v>222.4</v>
      </c>
      <c r="N62" s="38">
        <f>G62*13</f>
        <v>2891.2000000000003</v>
      </c>
      <c r="O62" s="38">
        <f>G62*6</f>
        <v>1334.4</v>
      </c>
      <c r="P62" s="38">
        <v>0</v>
      </c>
      <c r="Q62" s="38">
        <f>G62*21</f>
        <v>4670.4000000000005</v>
      </c>
      <c r="R62" s="38">
        <f>G62*5</f>
        <v>1112</v>
      </c>
      <c r="S62" s="38">
        <f>G62</f>
        <v>222.4</v>
      </c>
      <c r="T62" s="38">
        <f>G62*2</f>
        <v>444.8</v>
      </c>
      <c r="U62" s="38">
        <f t="shared" si="37"/>
        <v>11120</v>
      </c>
    </row>
    <row r="63" spans="1:21" ht="12.75" customHeight="1">
      <c r="A63" s="25" t="s">
        <v>198</v>
      </c>
      <c r="B63" s="16" t="s">
        <v>71</v>
      </c>
      <c r="C63" s="25" t="s">
        <v>61</v>
      </c>
      <c r="D63" s="9" t="s">
        <v>39</v>
      </c>
      <c r="E63" s="72">
        <v>15</v>
      </c>
      <c r="F63" s="36">
        <v>15</v>
      </c>
      <c r="G63" s="56">
        <v>76.25</v>
      </c>
      <c r="H63" s="134">
        <f t="shared" si="38"/>
        <v>1.14375</v>
      </c>
      <c r="I63" s="55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f t="shared" si="37"/>
        <v>0</v>
      </c>
    </row>
    <row r="64" spans="1:21" s="2" customFormat="1">
      <c r="A64" s="73" t="s">
        <v>199</v>
      </c>
      <c r="B64" s="16" t="s">
        <v>72</v>
      </c>
      <c r="C64" s="73" t="s">
        <v>73</v>
      </c>
      <c r="D64" s="9" t="s">
        <v>32</v>
      </c>
      <c r="E64" s="35">
        <v>24648</v>
      </c>
      <c r="F64" s="57">
        <f>SUM(E64/100)</f>
        <v>246.48</v>
      </c>
      <c r="G64" s="56">
        <v>212.15</v>
      </c>
      <c r="H64" s="134">
        <f t="shared" si="38"/>
        <v>52.290731999999998</v>
      </c>
      <c r="I64" s="55">
        <v>0</v>
      </c>
      <c r="J64" s="55">
        <v>0</v>
      </c>
      <c r="K64" s="38">
        <v>0</v>
      </c>
      <c r="L64" s="38">
        <v>0</v>
      </c>
      <c r="M64" s="38">
        <f>F64*G64</f>
        <v>52290.731999999996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f t="shared" si="37"/>
        <v>52290.731999999996</v>
      </c>
    </row>
    <row r="65" spans="1:26" ht="12.75" customHeight="1">
      <c r="A65" s="25" t="s">
        <v>200</v>
      </c>
      <c r="B65" s="16" t="s">
        <v>74</v>
      </c>
      <c r="C65" s="25" t="s">
        <v>75</v>
      </c>
      <c r="D65" s="9"/>
      <c r="E65" s="35">
        <v>24648</v>
      </c>
      <c r="F65" s="56">
        <f>SUM(E65/1000)</f>
        <v>24.648</v>
      </c>
      <c r="G65" s="56">
        <v>165.21</v>
      </c>
      <c r="H65" s="134">
        <f t="shared" si="38"/>
        <v>4.0720960800000006</v>
      </c>
      <c r="I65" s="38">
        <v>0</v>
      </c>
      <c r="J65" s="38">
        <v>0</v>
      </c>
      <c r="K65" s="38">
        <v>0</v>
      </c>
      <c r="L65" s="38">
        <v>0</v>
      </c>
      <c r="M65" s="38">
        <f t="shared" ref="M65:M68" si="39">F65*G65</f>
        <v>4072.0960800000003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f t="shared" si="37"/>
        <v>4072.0960800000003</v>
      </c>
    </row>
    <row r="66" spans="1:26">
      <c r="A66" s="25" t="s">
        <v>201</v>
      </c>
      <c r="B66" s="16" t="s">
        <v>76</v>
      </c>
      <c r="C66" s="25" t="s">
        <v>77</v>
      </c>
      <c r="D66" s="9" t="s">
        <v>32</v>
      </c>
      <c r="E66" s="35">
        <v>2730</v>
      </c>
      <c r="F66" s="56">
        <f>SUM(E66/100)</f>
        <v>27.3</v>
      </c>
      <c r="G66" s="56">
        <v>2074.63</v>
      </c>
      <c r="H66" s="134">
        <f t="shared" si="38"/>
        <v>56.637399000000002</v>
      </c>
      <c r="I66" s="38">
        <v>0</v>
      </c>
      <c r="J66" s="38">
        <v>0</v>
      </c>
      <c r="K66" s="38">
        <v>0</v>
      </c>
      <c r="L66" s="38">
        <v>0</v>
      </c>
      <c r="M66" s="38">
        <f>F66*G66</f>
        <v>56637.399000000005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f t="shared" si="37"/>
        <v>56637.399000000005</v>
      </c>
    </row>
    <row r="67" spans="1:26">
      <c r="A67" s="25"/>
      <c r="B67" s="17" t="s">
        <v>100</v>
      </c>
      <c r="C67" s="25" t="s">
        <v>37</v>
      </c>
      <c r="D67" s="9"/>
      <c r="E67" s="35">
        <v>20.28</v>
      </c>
      <c r="F67" s="56">
        <f>SUM(E67)</f>
        <v>20.28</v>
      </c>
      <c r="G67" s="56">
        <v>45.32</v>
      </c>
      <c r="H67" s="134">
        <f t="shared" si="38"/>
        <v>0.91908960000000006</v>
      </c>
      <c r="I67" s="38">
        <v>0</v>
      </c>
      <c r="J67" s="38">
        <v>0</v>
      </c>
      <c r="K67" s="38">
        <v>0</v>
      </c>
      <c r="L67" s="38">
        <v>0</v>
      </c>
      <c r="M67" s="38">
        <f t="shared" si="39"/>
        <v>919.08960000000002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f t="shared" si="37"/>
        <v>919.08960000000002</v>
      </c>
    </row>
    <row r="68" spans="1:26" ht="12" customHeight="1">
      <c r="A68" s="153"/>
      <c r="B68" s="17" t="s">
        <v>101</v>
      </c>
      <c r="C68" s="25" t="s">
        <v>37</v>
      </c>
      <c r="D68" s="9"/>
      <c r="E68" s="35">
        <v>20.28</v>
      </c>
      <c r="F68" s="56">
        <f>SUM(E68)</f>
        <v>20.28</v>
      </c>
      <c r="G68" s="56">
        <v>42.28</v>
      </c>
      <c r="H68" s="134">
        <f t="shared" si="38"/>
        <v>0.85743840000000016</v>
      </c>
      <c r="I68" s="38">
        <v>0</v>
      </c>
      <c r="J68" s="38">
        <v>0</v>
      </c>
      <c r="K68" s="38">
        <v>0</v>
      </c>
      <c r="L68" s="38">
        <v>0</v>
      </c>
      <c r="M68" s="38">
        <f t="shared" si="39"/>
        <v>857.43840000000012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f t="shared" si="37"/>
        <v>857.43840000000012</v>
      </c>
    </row>
    <row r="69" spans="1:26">
      <c r="A69" s="25" t="s">
        <v>202</v>
      </c>
      <c r="B69" s="9" t="s">
        <v>78</v>
      </c>
      <c r="C69" s="25" t="s">
        <v>79</v>
      </c>
      <c r="D69" s="9" t="s">
        <v>32</v>
      </c>
      <c r="E69" s="72">
        <v>12</v>
      </c>
      <c r="F69" s="36">
        <f>SUM(E69)</f>
        <v>12</v>
      </c>
      <c r="G69" s="56">
        <v>49.88</v>
      </c>
      <c r="H69" s="134">
        <f t="shared" si="38"/>
        <v>0.59856000000000009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f>G69*12</f>
        <v>598.56000000000006</v>
      </c>
      <c r="R69" s="38">
        <v>0</v>
      </c>
      <c r="S69" s="38">
        <v>0</v>
      </c>
      <c r="T69" s="38">
        <v>0</v>
      </c>
      <c r="U69" s="38">
        <f t="shared" si="37"/>
        <v>598.56000000000006</v>
      </c>
    </row>
    <row r="70" spans="1:26">
      <c r="A70" s="25"/>
      <c r="B70" s="18" t="s">
        <v>80</v>
      </c>
      <c r="C70" s="25"/>
      <c r="D70" s="9"/>
      <c r="E70" s="72"/>
      <c r="F70" s="56"/>
      <c r="G70" s="56"/>
      <c r="H70" s="134" t="s">
        <v>43</v>
      </c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</row>
    <row r="71" spans="1:26">
      <c r="A71" s="25" t="s">
        <v>203</v>
      </c>
      <c r="B71" s="9" t="s">
        <v>81</v>
      </c>
      <c r="C71" s="25" t="s">
        <v>34</v>
      </c>
      <c r="D71" s="9"/>
      <c r="E71" s="72">
        <v>2</v>
      </c>
      <c r="F71" s="36">
        <f>SUM(E71)</f>
        <v>2</v>
      </c>
      <c r="G71" s="56">
        <v>358.51</v>
      </c>
      <c r="H71" s="134">
        <f>SUM(F71*G71/1000)</f>
        <v>0.71701999999999999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f t="shared" si="37"/>
        <v>0</v>
      </c>
    </row>
    <row r="72" spans="1:26">
      <c r="A72" s="25" t="s">
        <v>204</v>
      </c>
      <c r="B72" s="9" t="s">
        <v>102</v>
      </c>
      <c r="C72" s="25" t="s">
        <v>34</v>
      </c>
      <c r="D72" s="9"/>
      <c r="E72" s="72">
        <v>1</v>
      </c>
      <c r="F72" s="56">
        <v>1</v>
      </c>
      <c r="G72" s="56">
        <v>852.99</v>
      </c>
      <c r="H72" s="134">
        <f>F72*G72/1000</f>
        <v>0.85299000000000003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f t="shared" si="37"/>
        <v>0</v>
      </c>
    </row>
    <row r="73" spans="1:26">
      <c r="A73" s="25"/>
      <c r="B73" s="74" t="s">
        <v>82</v>
      </c>
      <c r="C73" s="25"/>
      <c r="D73" s="9"/>
      <c r="E73" s="72"/>
      <c r="F73" s="56"/>
      <c r="G73" s="56" t="s">
        <v>43</v>
      </c>
      <c r="H73" s="134" t="s">
        <v>43</v>
      </c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</row>
    <row r="74" spans="1:26" s="2" customFormat="1">
      <c r="A74" s="73" t="s">
        <v>83</v>
      </c>
      <c r="B74" s="75" t="s">
        <v>84</v>
      </c>
      <c r="C74" s="73" t="s">
        <v>77</v>
      </c>
      <c r="D74" s="16"/>
      <c r="E74" s="76"/>
      <c r="F74" s="57">
        <v>1.35</v>
      </c>
      <c r="G74" s="57">
        <v>2759.44</v>
      </c>
      <c r="H74" s="134">
        <f>SUM(F74*G74/1000)</f>
        <v>3.725244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38">
        <f t="shared" si="37"/>
        <v>0</v>
      </c>
    </row>
    <row r="75" spans="1:26" s="21" customFormat="1">
      <c r="A75" s="77"/>
      <c r="B75" s="20" t="s">
        <v>27</v>
      </c>
      <c r="C75" s="78"/>
      <c r="D75" s="79"/>
      <c r="E75" s="80"/>
      <c r="F75" s="61"/>
      <c r="G75" s="61"/>
      <c r="H75" s="81">
        <f>SUM(H54:H74)</f>
        <v>10431.175735751998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>
        <f>SUM(U54:U74)</f>
        <v>152975.99175200003</v>
      </c>
    </row>
    <row r="76" spans="1:26">
      <c r="A76" s="150" t="s">
        <v>134</v>
      </c>
      <c r="B76" s="11" t="s">
        <v>135</v>
      </c>
      <c r="C76" s="83"/>
      <c r="D76" s="84"/>
      <c r="E76" s="133"/>
      <c r="F76" s="85">
        <v>1</v>
      </c>
      <c r="G76" s="86">
        <v>27356</v>
      </c>
      <c r="H76" s="134">
        <f>G76*F76/1000</f>
        <v>27.356000000000002</v>
      </c>
      <c r="I76" s="38">
        <v>0</v>
      </c>
      <c r="J76" s="38">
        <v>0</v>
      </c>
      <c r="K76" s="38">
        <v>0</v>
      </c>
      <c r="L76" s="38">
        <v>0</v>
      </c>
      <c r="M76" s="39">
        <v>0</v>
      </c>
      <c r="N76" s="39">
        <v>10890.14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f t="shared" si="37"/>
        <v>10890.14</v>
      </c>
    </row>
    <row r="77" spans="1:26" ht="12.75" customHeight="1">
      <c r="A77" s="151"/>
      <c r="B77" s="82" t="s">
        <v>85</v>
      </c>
      <c r="C77" s="25" t="s">
        <v>86</v>
      </c>
      <c r="D77" s="87"/>
      <c r="E77" s="56">
        <v>5926.8</v>
      </c>
      <c r="F77" s="56">
        <f>SUM(E77*12)</f>
        <v>71121.600000000006</v>
      </c>
      <c r="G77" s="88">
        <v>2.1</v>
      </c>
      <c r="H77" s="134">
        <f>SUM(F77*G77/1000)</f>
        <v>149.35536000000002</v>
      </c>
      <c r="I77" s="38">
        <f>F77/12*G77</f>
        <v>12446.28</v>
      </c>
      <c r="J77" s="38">
        <f>F77/12*G77</f>
        <v>12446.28</v>
      </c>
      <c r="K77" s="38">
        <f>F77/12*G77</f>
        <v>12446.28</v>
      </c>
      <c r="L77" s="38">
        <f>F77/12*G77</f>
        <v>12446.28</v>
      </c>
      <c r="M77" s="39">
        <f>F77/12*G77</f>
        <v>12446.28</v>
      </c>
      <c r="N77" s="39">
        <f>F77/12*G77</f>
        <v>12446.28</v>
      </c>
      <c r="O77" s="38">
        <f>F77/12*G77</f>
        <v>12446.28</v>
      </c>
      <c r="P77" s="38">
        <f>F77/12*G77</f>
        <v>12446.28</v>
      </c>
      <c r="Q77" s="38">
        <f>F77/12*G77</f>
        <v>12446.28</v>
      </c>
      <c r="R77" s="38">
        <f>F77/12*G77</f>
        <v>12446.28</v>
      </c>
      <c r="S77" s="38">
        <f>F77/12*G77</f>
        <v>12446.28</v>
      </c>
      <c r="T77" s="38">
        <f>F77/12*G77</f>
        <v>12446.28</v>
      </c>
      <c r="U77" s="38">
        <f t="shared" si="37"/>
        <v>149355.36000000002</v>
      </c>
    </row>
    <row r="78" spans="1:26" s="19" customFormat="1">
      <c r="A78" s="89"/>
      <c r="B78" s="20" t="s">
        <v>27</v>
      </c>
      <c r="C78" s="90"/>
      <c r="D78" s="91"/>
      <c r="E78" s="92"/>
      <c r="F78" s="47"/>
      <c r="G78" s="93"/>
      <c r="H78" s="48">
        <f>SUM(H76:H77)</f>
        <v>176.71136000000001</v>
      </c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>
        <f>SUM(U76:U77)</f>
        <v>160245.5</v>
      </c>
    </row>
    <row r="79" spans="1:26" ht="25.5" customHeight="1">
      <c r="A79" s="94"/>
      <c r="B79" s="9" t="s">
        <v>87</v>
      </c>
      <c r="C79" s="25"/>
      <c r="D79" s="95"/>
      <c r="E79" s="35">
        <f>E77</f>
        <v>5926.8</v>
      </c>
      <c r="F79" s="56">
        <f>E79*12</f>
        <v>71121.600000000006</v>
      </c>
      <c r="G79" s="56">
        <v>1.63</v>
      </c>
      <c r="H79" s="134">
        <f>F79*G79/1000</f>
        <v>115.928208</v>
      </c>
      <c r="I79" s="38">
        <f>F79/12*G79</f>
        <v>9660.6839999999993</v>
      </c>
      <c r="J79" s="38">
        <f>F79/12*G79</f>
        <v>9660.6839999999993</v>
      </c>
      <c r="K79" s="38">
        <f>F79/12*G79</f>
        <v>9660.6839999999993</v>
      </c>
      <c r="L79" s="38">
        <f>F79/12*G79</f>
        <v>9660.6839999999993</v>
      </c>
      <c r="M79" s="38">
        <f>F79/12*G79</f>
        <v>9660.6839999999993</v>
      </c>
      <c r="N79" s="38">
        <f>F79/12*G79</f>
        <v>9660.6839999999993</v>
      </c>
      <c r="O79" s="38">
        <f>F79/12*G79</f>
        <v>9660.6839999999993</v>
      </c>
      <c r="P79" s="38">
        <f>F79/12*G79</f>
        <v>9660.6839999999993</v>
      </c>
      <c r="Q79" s="38">
        <f>F79/12*G79</f>
        <v>9660.6839999999993</v>
      </c>
      <c r="R79" s="38">
        <f>F79/12*G79</f>
        <v>9660.6839999999993</v>
      </c>
      <c r="S79" s="38">
        <f>F79/12*G79</f>
        <v>9660.6839999999993</v>
      </c>
      <c r="T79" s="38">
        <f t="shared" ref="T79" si="40">F79/12*G79</f>
        <v>9660.6839999999993</v>
      </c>
      <c r="U79" s="38">
        <f t="shared" si="37"/>
        <v>115928.20799999997</v>
      </c>
      <c r="W79" s="180"/>
      <c r="X79" s="180"/>
      <c r="Y79" s="180"/>
      <c r="Z79" s="180"/>
    </row>
    <row r="80" spans="1:26" s="19" customFormat="1">
      <c r="A80" s="89"/>
      <c r="B80" s="96" t="s">
        <v>88</v>
      </c>
      <c r="C80" s="97"/>
      <c r="D80" s="96"/>
      <c r="E80" s="47"/>
      <c r="F80" s="47"/>
      <c r="G80" s="47"/>
      <c r="H80" s="81">
        <f>H79</f>
        <v>115.928208</v>
      </c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128">
        <f>U79</f>
        <v>115928.20799999997</v>
      </c>
    </row>
    <row r="81" spans="1:21" s="19" customFormat="1">
      <c r="A81" s="89"/>
      <c r="B81" s="96" t="s">
        <v>89</v>
      </c>
      <c r="C81" s="98"/>
      <c r="D81" s="99"/>
      <c r="E81" s="100"/>
      <c r="F81" s="100"/>
      <c r="G81" s="100"/>
      <c r="H81" s="81">
        <f>SUM(H80+H78+H75+H52+H41+H33+H22)</f>
        <v>11566.249051930599</v>
      </c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28">
        <f>SUM(U80+U78+U75+U52+U41+U33+U22)*1.054</f>
        <v>1334489.7982839725</v>
      </c>
    </row>
    <row r="82" spans="1:21" s="126" customFormat="1" ht="51" customHeight="1">
      <c r="A82" s="94"/>
      <c r="B82" s="74"/>
      <c r="C82" s="25"/>
      <c r="D82" s="95"/>
      <c r="E82" s="56"/>
      <c r="F82" s="56"/>
      <c r="G82" s="56"/>
      <c r="H82" s="125"/>
      <c r="I82" s="56"/>
      <c r="J82" s="56"/>
      <c r="K82" s="56"/>
      <c r="L82" s="56"/>
      <c r="M82" s="56"/>
      <c r="N82" s="56"/>
      <c r="O82" s="56"/>
      <c r="P82" s="56"/>
      <c r="Q82" s="56"/>
      <c r="R82" s="136"/>
      <c r="S82" s="136"/>
      <c r="T82" s="136"/>
      <c r="U82" s="135"/>
    </row>
    <row r="83" spans="1:21">
      <c r="A83" s="94"/>
      <c r="B83" s="95" t="s">
        <v>90</v>
      </c>
      <c r="C83" s="25"/>
      <c r="D83" s="95"/>
      <c r="E83" s="56"/>
      <c r="F83" s="56"/>
      <c r="G83" s="56" t="s">
        <v>91</v>
      </c>
      <c r="H83" s="101">
        <f>E79</f>
        <v>5926.8</v>
      </c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</row>
    <row r="84" spans="1:21" s="19" customFormat="1">
      <c r="A84" s="89"/>
      <c r="B84" s="99" t="s">
        <v>92</v>
      </c>
      <c r="C84" s="98"/>
      <c r="D84" s="99"/>
      <c r="E84" s="100"/>
      <c r="F84" s="100"/>
      <c r="G84" s="100"/>
      <c r="H84" s="102">
        <f>SUM(H81/H83/12*1000)</f>
        <v>162.62638990026377</v>
      </c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29"/>
    </row>
    <row r="85" spans="1:21">
      <c r="A85" s="94"/>
      <c r="B85" s="95"/>
      <c r="C85" s="25"/>
      <c r="D85" s="95"/>
      <c r="E85" s="56"/>
      <c r="F85" s="56"/>
      <c r="G85" s="56"/>
      <c r="H85" s="103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130"/>
    </row>
    <row r="86" spans="1:21">
      <c r="A86" s="94"/>
      <c r="B86" s="74" t="s">
        <v>93</v>
      </c>
      <c r="C86" s="25"/>
      <c r="D86" s="95"/>
      <c r="E86" s="56"/>
      <c r="F86" s="56"/>
      <c r="G86" s="56"/>
      <c r="H86" s="56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</row>
    <row r="87" spans="1:21" ht="25.5" customHeight="1">
      <c r="A87" s="140" t="s">
        <v>190</v>
      </c>
      <c r="B87" s="139" t="s">
        <v>162</v>
      </c>
      <c r="C87" s="140" t="s">
        <v>58</v>
      </c>
      <c r="D87" s="95"/>
      <c r="E87" s="56"/>
      <c r="F87" s="56">
        <v>0.1</v>
      </c>
      <c r="G87" s="56">
        <v>3581.13</v>
      </c>
      <c r="H87" s="134">
        <f t="shared" ref="H87" si="41">G87*F87/1000</f>
        <v>0.35811300000000007</v>
      </c>
      <c r="I87" s="38">
        <f>G87*0.01</f>
        <v>35.811300000000003</v>
      </c>
      <c r="J87" s="38">
        <v>0</v>
      </c>
      <c r="K87" s="38">
        <v>0</v>
      </c>
      <c r="L87" s="38">
        <f>G87*0.01</f>
        <v>35.811300000000003</v>
      </c>
      <c r="M87" s="38">
        <v>0</v>
      </c>
      <c r="N87" s="38">
        <f>G87*0.03</f>
        <v>107.43389999999999</v>
      </c>
      <c r="O87" s="38">
        <f>G87*0.01</f>
        <v>35.811300000000003</v>
      </c>
      <c r="P87" s="38">
        <v>0</v>
      </c>
      <c r="Q87" s="38">
        <f>G87*0.01</f>
        <v>35.811300000000003</v>
      </c>
      <c r="R87" s="38">
        <f>G87*0.01</f>
        <v>35.811300000000003</v>
      </c>
      <c r="S87" s="38">
        <f>G87*0.01</f>
        <v>35.811300000000003</v>
      </c>
      <c r="T87" s="38">
        <f>G87*0.01</f>
        <v>35.811300000000003</v>
      </c>
      <c r="U87" s="38">
        <f t="shared" ref="U87:U127" si="42">SUM(I87:T87)</f>
        <v>358.11300000000006</v>
      </c>
    </row>
    <row r="88" spans="1:21" ht="25.5">
      <c r="A88" s="124" t="s">
        <v>205</v>
      </c>
      <c r="B88" s="22" t="s">
        <v>128</v>
      </c>
      <c r="C88" s="124" t="s">
        <v>61</v>
      </c>
      <c r="D88" s="137"/>
      <c r="E88" s="56"/>
      <c r="F88" s="56">
        <v>1452</v>
      </c>
      <c r="G88" s="57">
        <v>53.42</v>
      </c>
      <c r="H88" s="134">
        <f>G88*F88/1000</f>
        <v>77.565839999999994</v>
      </c>
      <c r="I88" s="38">
        <f>G88*121</f>
        <v>6463.8200000000006</v>
      </c>
      <c r="J88" s="38">
        <f>G88*121</f>
        <v>6463.8200000000006</v>
      </c>
      <c r="K88" s="38">
        <f>G88*121</f>
        <v>6463.8200000000006</v>
      </c>
      <c r="L88" s="38">
        <f>G88*121</f>
        <v>6463.8200000000006</v>
      </c>
      <c r="M88" s="38">
        <f>G88*121</f>
        <v>6463.8200000000006</v>
      </c>
      <c r="N88" s="38">
        <f>G88*121</f>
        <v>6463.8200000000006</v>
      </c>
      <c r="O88" s="38">
        <f>G88*121</f>
        <v>6463.8200000000006</v>
      </c>
      <c r="P88" s="38">
        <f>G88*121</f>
        <v>6463.8200000000006</v>
      </c>
      <c r="Q88" s="38">
        <f>G88*121</f>
        <v>6463.8200000000006</v>
      </c>
      <c r="R88" s="38">
        <f>G88*121</f>
        <v>6463.8200000000006</v>
      </c>
      <c r="S88" s="38">
        <f>G88*121</f>
        <v>6463.8200000000006</v>
      </c>
      <c r="T88" s="38">
        <f>G88*121</f>
        <v>6463.8200000000006</v>
      </c>
      <c r="U88" s="38">
        <f t="shared" si="42"/>
        <v>77565.840000000011</v>
      </c>
    </row>
    <row r="89" spans="1:21" ht="25.5" customHeight="1">
      <c r="A89" s="138" t="s">
        <v>211</v>
      </c>
      <c r="B89" s="139" t="s">
        <v>146</v>
      </c>
      <c r="C89" s="140" t="s">
        <v>61</v>
      </c>
      <c r="D89" s="137"/>
      <c r="E89" s="56"/>
      <c r="F89" s="56">
        <v>10</v>
      </c>
      <c r="G89" s="56">
        <v>83.36</v>
      </c>
      <c r="H89" s="134">
        <f>G89*F89/1000</f>
        <v>0.83360000000000001</v>
      </c>
      <c r="I89" s="38">
        <f>G89</f>
        <v>83.36</v>
      </c>
      <c r="J89" s="38">
        <f>G89</f>
        <v>83.36</v>
      </c>
      <c r="K89" s="38">
        <f>G89</f>
        <v>83.36</v>
      </c>
      <c r="L89" s="38">
        <v>0</v>
      </c>
      <c r="M89" s="38">
        <f>G89</f>
        <v>83.36</v>
      </c>
      <c r="N89" s="38">
        <v>0</v>
      </c>
      <c r="O89" s="38">
        <f>G89*2</f>
        <v>166.72</v>
      </c>
      <c r="P89" s="38">
        <v>0</v>
      </c>
      <c r="Q89" s="38">
        <f>G89*2</f>
        <v>166.72</v>
      </c>
      <c r="R89" s="38">
        <f>G89</f>
        <v>83.36</v>
      </c>
      <c r="S89" s="38">
        <f>G89</f>
        <v>83.36</v>
      </c>
      <c r="T89" s="38">
        <v>0</v>
      </c>
      <c r="U89" s="38">
        <f t="shared" si="42"/>
        <v>833.6</v>
      </c>
    </row>
    <row r="90" spans="1:21" ht="25.5" customHeight="1">
      <c r="A90" s="138" t="s">
        <v>139</v>
      </c>
      <c r="B90" s="139" t="s">
        <v>215</v>
      </c>
      <c r="C90" s="140" t="s">
        <v>138</v>
      </c>
      <c r="D90" s="137"/>
      <c r="E90" s="56"/>
      <c r="F90" s="56">
        <v>75.5</v>
      </c>
      <c r="G90" s="56">
        <v>1187</v>
      </c>
      <c r="H90" s="134">
        <f>G90*F90/1000</f>
        <v>89.618499999999997</v>
      </c>
      <c r="I90" s="38">
        <v>0</v>
      </c>
      <c r="J90" s="38">
        <f>G90*8</f>
        <v>9496</v>
      </c>
      <c r="K90" s="38">
        <v>0</v>
      </c>
      <c r="L90" s="38">
        <v>0</v>
      </c>
      <c r="M90" s="38">
        <v>0</v>
      </c>
      <c r="N90" s="38">
        <f>G90*4</f>
        <v>4748</v>
      </c>
      <c r="O90" s="38">
        <v>0</v>
      </c>
      <c r="P90" s="38">
        <f>G90*2.5</f>
        <v>2967.5</v>
      </c>
      <c r="Q90" s="38">
        <f>G90*13</f>
        <v>15431</v>
      </c>
      <c r="R90" s="38">
        <f>G90*44</f>
        <v>52228</v>
      </c>
      <c r="S90" s="38">
        <f>G90*4</f>
        <v>4748</v>
      </c>
      <c r="T90" s="38">
        <v>0</v>
      </c>
      <c r="U90" s="38">
        <f t="shared" si="42"/>
        <v>89618.5</v>
      </c>
    </row>
    <row r="91" spans="1:21" ht="12.75" customHeight="1">
      <c r="A91" s="140" t="s">
        <v>208</v>
      </c>
      <c r="B91" s="139" t="s">
        <v>158</v>
      </c>
      <c r="C91" s="140" t="s">
        <v>141</v>
      </c>
      <c r="D91" s="95"/>
      <c r="E91" s="56"/>
      <c r="F91" s="56">
        <v>7</v>
      </c>
      <c r="G91" s="56">
        <v>195.85</v>
      </c>
      <c r="H91" s="134">
        <f>G91*F91/1000</f>
        <v>1.3709500000000001</v>
      </c>
      <c r="I91" s="38">
        <v>0</v>
      </c>
      <c r="J91" s="38">
        <f>G91</f>
        <v>195.85</v>
      </c>
      <c r="K91" s="38">
        <v>0</v>
      </c>
      <c r="L91" s="38">
        <v>0</v>
      </c>
      <c r="M91" s="38">
        <f>G91</f>
        <v>195.85</v>
      </c>
      <c r="N91" s="38">
        <v>0</v>
      </c>
      <c r="O91" s="38">
        <f>G91</f>
        <v>195.85</v>
      </c>
      <c r="P91" s="38">
        <f>G91</f>
        <v>195.85</v>
      </c>
      <c r="Q91" s="38">
        <v>0</v>
      </c>
      <c r="R91" s="38">
        <v>0</v>
      </c>
      <c r="S91" s="38">
        <f>G91*2</f>
        <v>391.7</v>
      </c>
      <c r="T91" s="38">
        <f>G91</f>
        <v>195.85</v>
      </c>
      <c r="U91" s="38">
        <f t="shared" si="42"/>
        <v>1370.9499999999998</v>
      </c>
    </row>
    <row r="92" spans="1:21" ht="25.5">
      <c r="A92" s="155" t="s">
        <v>129</v>
      </c>
      <c r="B92" s="156" t="s">
        <v>142</v>
      </c>
      <c r="C92" s="157" t="s">
        <v>131</v>
      </c>
      <c r="D92" s="137"/>
      <c r="E92" s="158"/>
      <c r="F92" s="158">
        <v>3</v>
      </c>
      <c r="G92" s="158">
        <v>1934.94</v>
      </c>
      <c r="H92" s="159">
        <f t="shared" ref="H92" si="43">G92*F92/1000</f>
        <v>5.8048199999999994</v>
      </c>
      <c r="I92" s="38">
        <v>0</v>
      </c>
      <c r="J92" s="38">
        <f>G92</f>
        <v>1934.94</v>
      </c>
      <c r="K92" s="38">
        <v>0</v>
      </c>
      <c r="L92" s="38">
        <v>0</v>
      </c>
      <c r="M92" s="38">
        <f>G92</f>
        <v>1934.94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f>G92</f>
        <v>1934.94</v>
      </c>
      <c r="T92" s="38">
        <v>0</v>
      </c>
      <c r="U92" s="38">
        <f t="shared" si="42"/>
        <v>5804.82</v>
      </c>
    </row>
    <row r="93" spans="1:21" ht="24.75" customHeight="1">
      <c r="A93" s="140" t="s">
        <v>206</v>
      </c>
      <c r="B93" s="139" t="s">
        <v>136</v>
      </c>
      <c r="C93" s="140" t="s">
        <v>61</v>
      </c>
      <c r="D93" s="137"/>
      <c r="E93" s="56"/>
      <c r="F93" s="56">
        <v>9</v>
      </c>
      <c r="G93" s="57">
        <v>189.88</v>
      </c>
      <c r="H93" s="134">
        <f>G93*F93/1000</f>
        <v>1.70892</v>
      </c>
      <c r="I93" s="38">
        <v>0</v>
      </c>
      <c r="J93" s="38">
        <f>G93</f>
        <v>189.88</v>
      </c>
      <c r="K93" s="38">
        <v>0</v>
      </c>
      <c r="L93" s="38">
        <f>G93</f>
        <v>189.88</v>
      </c>
      <c r="M93" s="38">
        <f>G93*2</f>
        <v>379.76</v>
      </c>
      <c r="N93" s="38">
        <v>0</v>
      </c>
      <c r="O93" s="38">
        <v>0</v>
      </c>
      <c r="P93" s="38">
        <v>0</v>
      </c>
      <c r="Q93" s="38">
        <f>G93</f>
        <v>189.88</v>
      </c>
      <c r="R93" s="38">
        <v>0</v>
      </c>
      <c r="S93" s="38">
        <v>0</v>
      </c>
      <c r="T93" s="38">
        <f>G93*4</f>
        <v>759.52</v>
      </c>
      <c r="U93" s="38">
        <f t="shared" si="42"/>
        <v>1708.92</v>
      </c>
    </row>
    <row r="94" spans="1:21" ht="12.75" customHeight="1">
      <c r="A94" s="160" t="s">
        <v>209</v>
      </c>
      <c r="B94" s="161" t="s">
        <v>235</v>
      </c>
      <c r="C94" s="160" t="s">
        <v>143</v>
      </c>
      <c r="D94" s="95"/>
      <c r="E94" s="56"/>
      <c r="F94" s="56">
        <f>110/3</f>
        <v>36.666666666666664</v>
      </c>
      <c r="G94" s="56">
        <v>1120.8900000000001</v>
      </c>
      <c r="H94" s="134">
        <f>G94*F94/1000</f>
        <v>41.099299999999999</v>
      </c>
      <c r="I94" s="38">
        <v>0</v>
      </c>
      <c r="J94" s="38">
        <v>0</v>
      </c>
      <c r="K94" s="38">
        <f>G94*((10)/3)</f>
        <v>3736.3000000000006</v>
      </c>
      <c r="L94" s="38">
        <v>0</v>
      </c>
      <c r="M94" s="38">
        <f>G94*(5/3)</f>
        <v>1868.1500000000003</v>
      </c>
      <c r="N94" s="38">
        <f>G94*((7+20+15)/3)</f>
        <v>15692.460000000001</v>
      </c>
      <c r="O94" s="38">
        <v>0</v>
      </c>
      <c r="P94" s="38">
        <v>0</v>
      </c>
      <c r="Q94" s="38">
        <f>G94</f>
        <v>1120.8900000000001</v>
      </c>
      <c r="R94" s="38">
        <f>G94*(10/3)</f>
        <v>3736.3000000000006</v>
      </c>
      <c r="S94" s="38">
        <v>0</v>
      </c>
      <c r="T94" s="38">
        <f>G94*(40/3)</f>
        <v>14945.200000000003</v>
      </c>
      <c r="U94" s="38">
        <f t="shared" si="42"/>
        <v>41099.300000000003</v>
      </c>
    </row>
    <row r="95" spans="1:21" ht="13.5" customHeight="1">
      <c r="A95" s="144" t="s">
        <v>221</v>
      </c>
      <c r="B95" s="11" t="s">
        <v>222</v>
      </c>
      <c r="C95" s="26" t="s">
        <v>61</v>
      </c>
      <c r="D95" s="95"/>
      <c r="E95" s="56"/>
      <c r="F95" s="36">
        <v>14</v>
      </c>
      <c r="G95" s="57">
        <v>86.15</v>
      </c>
      <c r="H95" s="134">
        <f>G95*F95/1000</f>
        <v>1.2061000000000002</v>
      </c>
      <c r="I95" s="38">
        <f>E95*G95</f>
        <v>0</v>
      </c>
      <c r="J95" s="38">
        <v>0</v>
      </c>
      <c r="K95" s="38">
        <f>G95</f>
        <v>86.15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f>G95</f>
        <v>86.15</v>
      </c>
      <c r="R95" s="38">
        <v>0</v>
      </c>
      <c r="S95" s="38">
        <v>0</v>
      </c>
      <c r="T95" s="38">
        <f>G95*12</f>
        <v>1033.8000000000002</v>
      </c>
      <c r="U95" s="38">
        <f t="shared" si="42"/>
        <v>1206.1000000000001</v>
      </c>
    </row>
    <row r="96" spans="1:21" ht="25.5" customHeight="1">
      <c r="A96" s="124" t="s">
        <v>236</v>
      </c>
      <c r="B96" s="22" t="s">
        <v>237</v>
      </c>
      <c r="C96" s="124" t="s">
        <v>137</v>
      </c>
      <c r="D96" s="95"/>
      <c r="E96" s="56"/>
      <c r="F96" s="56">
        <v>2</v>
      </c>
      <c r="G96" s="56">
        <v>727.73</v>
      </c>
      <c r="H96" s="134">
        <f t="shared" ref="H96:H97" si="44">G96*F96/1000</f>
        <v>1.45546</v>
      </c>
      <c r="I96" s="162">
        <v>0</v>
      </c>
      <c r="J96" s="162">
        <v>0</v>
      </c>
      <c r="K96" s="162">
        <v>0</v>
      </c>
      <c r="L96" s="162">
        <f>G96*2</f>
        <v>1455.46</v>
      </c>
      <c r="M96" s="162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f t="shared" si="42"/>
        <v>1455.46</v>
      </c>
    </row>
    <row r="97" spans="1:25" ht="12.75" customHeight="1">
      <c r="A97" s="140" t="s">
        <v>217</v>
      </c>
      <c r="B97" s="139" t="s">
        <v>238</v>
      </c>
      <c r="C97" s="140" t="s">
        <v>61</v>
      </c>
      <c r="D97" s="95"/>
      <c r="E97" s="56"/>
      <c r="F97" s="56">
        <v>1</v>
      </c>
      <c r="G97" s="56">
        <v>22</v>
      </c>
      <c r="H97" s="134">
        <f t="shared" si="44"/>
        <v>2.1999999999999999E-2</v>
      </c>
      <c r="I97" s="38">
        <v>0</v>
      </c>
      <c r="J97" s="38">
        <v>0</v>
      </c>
      <c r="K97" s="38">
        <v>0</v>
      </c>
      <c r="L97" s="38">
        <f>G97</f>
        <v>22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f t="shared" si="42"/>
        <v>22</v>
      </c>
    </row>
    <row r="98" spans="1:25" ht="12.75" customHeight="1">
      <c r="A98" s="140" t="s">
        <v>217</v>
      </c>
      <c r="B98" s="139" t="s">
        <v>239</v>
      </c>
      <c r="C98" s="140" t="s">
        <v>61</v>
      </c>
      <c r="D98" s="95"/>
      <c r="E98" s="56"/>
      <c r="F98" s="56">
        <v>1</v>
      </c>
      <c r="G98" s="56">
        <v>46</v>
      </c>
      <c r="H98" s="134">
        <f>G98*F98/1000</f>
        <v>4.5999999999999999E-2</v>
      </c>
      <c r="I98" s="38">
        <v>0</v>
      </c>
      <c r="J98" s="38">
        <v>0</v>
      </c>
      <c r="K98" s="38">
        <v>0</v>
      </c>
      <c r="L98" s="38">
        <f>G98</f>
        <v>46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f t="shared" si="42"/>
        <v>46</v>
      </c>
    </row>
    <row r="99" spans="1:25" ht="12.75" customHeight="1">
      <c r="A99" s="140" t="s">
        <v>217</v>
      </c>
      <c r="B99" s="139" t="s">
        <v>240</v>
      </c>
      <c r="C99" s="140" t="s">
        <v>61</v>
      </c>
      <c r="D99" s="95"/>
      <c r="E99" s="56"/>
      <c r="F99" s="56">
        <v>1</v>
      </c>
      <c r="G99" s="56">
        <v>62</v>
      </c>
      <c r="H99" s="134">
        <f t="shared" ref="H99:H100" si="45">G99*F99/1000</f>
        <v>6.2E-2</v>
      </c>
      <c r="I99" s="38">
        <v>0</v>
      </c>
      <c r="J99" s="38">
        <v>0</v>
      </c>
      <c r="K99" s="38">
        <v>0</v>
      </c>
      <c r="L99" s="38">
        <f>G99</f>
        <v>62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f t="shared" si="42"/>
        <v>62</v>
      </c>
    </row>
    <row r="100" spans="1:25">
      <c r="A100" s="140" t="s">
        <v>217</v>
      </c>
      <c r="B100" s="139" t="s">
        <v>241</v>
      </c>
      <c r="C100" s="140" t="s">
        <v>61</v>
      </c>
      <c r="D100" s="9"/>
      <c r="E100" s="72"/>
      <c r="F100" s="56">
        <v>1</v>
      </c>
      <c r="G100" s="56">
        <v>42</v>
      </c>
      <c r="H100" s="134">
        <f t="shared" si="45"/>
        <v>4.2000000000000003E-2</v>
      </c>
      <c r="I100" s="162">
        <v>0</v>
      </c>
      <c r="J100" s="162">
        <v>0</v>
      </c>
      <c r="K100" s="162">
        <v>0</v>
      </c>
      <c r="L100" s="162">
        <f>G100</f>
        <v>42</v>
      </c>
      <c r="M100" s="162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f t="shared" si="42"/>
        <v>42</v>
      </c>
    </row>
    <row r="101" spans="1:25" ht="24.75" customHeight="1">
      <c r="A101" s="138" t="s">
        <v>207</v>
      </c>
      <c r="B101" s="139" t="s">
        <v>140</v>
      </c>
      <c r="C101" s="140" t="s">
        <v>137</v>
      </c>
      <c r="D101" s="137"/>
      <c r="E101" s="56"/>
      <c r="F101" s="56">
        <v>10</v>
      </c>
      <c r="G101" s="57">
        <v>589.84</v>
      </c>
      <c r="H101" s="134">
        <f>G101*F101/1000</f>
        <v>5.8984000000000005</v>
      </c>
      <c r="I101" s="38">
        <v>0</v>
      </c>
      <c r="J101" s="38">
        <v>0</v>
      </c>
      <c r="K101" s="38">
        <v>0</v>
      </c>
      <c r="L101" s="38">
        <f>G101</f>
        <v>589.84</v>
      </c>
      <c r="M101" s="38">
        <v>0</v>
      </c>
      <c r="N101" s="38">
        <v>0</v>
      </c>
      <c r="O101" s="38">
        <f>G101*2</f>
        <v>1179.68</v>
      </c>
      <c r="P101" s="38">
        <v>0</v>
      </c>
      <c r="Q101" s="38">
        <f>G101*6</f>
        <v>3539.04</v>
      </c>
      <c r="R101" s="38">
        <f>G101</f>
        <v>589.84</v>
      </c>
      <c r="S101" s="38">
        <v>0</v>
      </c>
      <c r="T101" s="38">
        <v>0</v>
      </c>
      <c r="U101" s="38">
        <f t="shared" si="42"/>
        <v>5898.4</v>
      </c>
    </row>
    <row r="102" spans="1:25">
      <c r="A102" s="164" t="s">
        <v>250</v>
      </c>
      <c r="B102" s="165" t="s">
        <v>248</v>
      </c>
      <c r="C102" s="157" t="s">
        <v>145</v>
      </c>
      <c r="D102" s="95"/>
      <c r="E102" s="56"/>
      <c r="F102" s="56">
        <f>1.3/10</f>
        <v>0.13</v>
      </c>
      <c r="G102" s="56">
        <v>381.08</v>
      </c>
      <c r="H102" s="134">
        <f>G102*F102/1000</f>
        <v>4.9540399999999998E-2</v>
      </c>
      <c r="I102" s="38">
        <v>0</v>
      </c>
      <c r="J102" s="38">
        <v>0</v>
      </c>
      <c r="K102" s="38">
        <v>0</v>
      </c>
      <c r="L102" s="38">
        <f>G102*F102</f>
        <v>49.540399999999998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f t="shared" si="42"/>
        <v>49.540399999999998</v>
      </c>
    </row>
    <row r="103" spans="1:25" ht="25.5">
      <c r="A103" s="124" t="s">
        <v>251</v>
      </c>
      <c r="B103" s="22" t="s">
        <v>249</v>
      </c>
      <c r="C103" s="124" t="s">
        <v>24</v>
      </c>
      <c r="D103" s="95"/>
      <c r="E103" s="56"/>
      <c r="F103" s="56">
        <f>1.3/100</f>
        <v>1.3000000000000001E-2</v>
      </c>
      <c r="G103" s="56">
        <v>51118.77</v>
      </c>
      <c r="H103" s="134">
        <f>G103*F103/1000</f>
        <v>0.66454401000000007</v>
      </c>
      <c r="I103" s="38">
        <v>0</v>
      </c>
      <c r="J103" s="38">
        <v>0</v>
      </c>
      <c r="K103" s="38">
        <v>0</v>
      </c>
      <c r="L103" s="38">
        <f>G103*F103</f>
        <v>664.54401000000007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f t="shared" si="42"/>
        <v>664.54401000000007</v>
      </c>
    </row>
    <row r="104" spans="1:25" ht="25.5">
      <c r="A104" s="155" t="s">
        <v>210</v>
      </c>
      <c r="B104" s="22" t="s">
        <v>144</v>
      </c>
      <c r="C104" s="166" t="s">
        <v>145</v>
      </c>
      <c r="D104" s="95"/>
      <c r="E104" s="56"/>
      <c r="F104" s="56">
        <f>0.306/10</f>
        <v>3.0599999999999999E-2</v>
      </c>
      <c r="G104" s="56">
        <v>9397.7900000000009</v>
      </c>
      <c r="H104" s="134">
        <f>G104*F104/1000</f>
        <v>0.28757237400000002</v>
      </c>
      <c r="I104" s="162">
        <v>0</v>
      </c>
      <c r="J104" s="162">
        <v>0</v>
      </c>
      <c r="K104" s="162">
        <v>0</v>
      </c>
      <c r="L104" s="162">
        <f>G104*F104</f>
        <v>287.57237400000002</v>
      </c>
      <c r="M104" s="162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f t="shared" si="42"/>
        <v>287.57237400000002</v>
      </c>
    </row>
    <row r="105" spans="1:25" ht="25.5">
      <c r="A105" s="124" t="s">
        <v>216</v>
      </c>
      <c r="B105" s="22" t="s">
        <v>242</v>
      </c>
      <c r="C105" s="124" t="s">
        <v>137</v>
      </c>
      <c r="D105" s="95"/>
      <c r="E105" s="56"/>
      <c r="F105" s="56">
        <v>32</v>
      </c>
      <c r="G105" s="56">
        <v>1046.06</v>
      </c>
      <c r="H105" s="134">
        <f t="shared" ref="H105:H106" si="46">G105*F105/1000</f>
        <v>33.47392</v>
      </c>
      <c r="I105" s="162">
        <v>0</v>
      </c>
      <c r="J105" s="162">
        <v>0</v>
      </c>
      <c r="K105" s="162">
        <v>0</v>
      </c>
      <c r="L105" s="162">
        <v>0</v>
      </c>
      <c r="M105" s="162">
        <f>G105*32</f>
        <v>33473.919999999998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f t="shared" si="42"/>
        <v>33473.919999999998</v>
      </c>
    </row>
    <row r="106" spans="1:25">
      <c r="A106" s="140" t="s">
        <v>217</v>
      </c>
      <c r="B106" s="139" t="s">
        <v>219</v>
      </c>
      <c r="C106" s="140" t="s">
        <v>61</v>
      </c>
      <c r="D106" s="9"/>
      <c r="E106" s="72"/>
      <c r="F106" s="56">
        <v>13</v>
      </c>
      <c r="G106" s="56">
        <v>140</v>
      </c>
      <c r="H106" s="134">
        <f t="shared" si="46"/>
        <v>1.82</v>
      </c>
      <c r="I106" s="162">
        <v>0</v>
      </c>
      <c r="J106" s="162">
        <v>0</v>
      </c>
      <c r="K106" s="162">
        <v>0</v>
      </c>
      <c r="L106" s="162">
        <v>0</v>
      </c>
      <c r="M106" s="162">
        <f>G106*13</f>
        <v>1820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f t="shared" si="42"/>
        <v>1820</v>
      </c>
    </row>
    <row r="107" spans="1:25" ht="25.5">
      <c r="A107" s="140" t="s">
        <v>243</v>
      </c>
      <c r="B107" s="139" t="s">
        <v>244</v>
      </c>
      <c r="C107" s="138" t="s">
        <v>245</v>
      </c>
      <c r="D107" s="95"/>
      <c r="E107" s="56"/>
      <c r="F107" s="56">
        <v>8</v>
      </c>
      <c r="G107" s="56">
        <v>294.45</v>
      </c>
      <c r="H107" s="134">
        <f>G107*F107/1000</f>
        <v>2.3555999999999999</v>
      </c>
      <c r="I107" s="162">
        <v>0</v>
      </c>
      <c r="J107" s="162">
        <v>0</v>
      </c>
      <c r="K107" s="162">
        <v>0</v>
      </c>
      <c r="L107" s="162">
        <v>0</v>
      </c>
      <c r="M107" s="162">
        <f>G107*5</f>
        <v>1472.25</v>
      </c>
      <c r="N107" s="38">
        <f>G107*2</f>
        <v>588.9</v>
      </c>
      <c r="O107" s="38">
        <v>0</v>
      </c>
      <c r="P107" s="38">
        <f>G107</f>
        <v>294.45</v>
      </c>
      <c r="Q107" s="38">
        <v>0</v>
      </c>
      <c r="R107" s="38">
        <v>0</v>
      </c>
      <c r="S107" s="38">
        <v>0</v>
      </c>
      <c r="T107" s="38">
        <v>0</v>
      </c>
      <c r="U107" s="38">
        <f t="shared" si="42"/>
        <v>2355.6</v>
      </c>
      <c r="V107" s="163"/>
      <c r="W107" s="163"/>
      <c r="X107" s="163"/>
      <c r="Y107" s="163"/>
    </row>
    <row r="108" spans="1:25" ht="12.75" customHeight="1">
      <c r="A108" s="140" t="s">
        <v>217</v>
      </c>
      <c r="B108" s="139" t="s">
        <v>218</v>
      </c>
      <c r="C108" s="140" t="s">
        <v>61</v>
      </c>
      <c r="D108" s="95"/>
      <c r="E108" s="56"/>
      <c r="F108" s="56">
        <v>1</v>
      </c>
      <c r="G108" s="56">
        <v>40</v>
      </c>
      <c r="H108" s="134">
        <f t="shared" ref="H108:H110" si="47">G108*F108/1000</f>
        <v>0.04</v>
      </c>
      <c r="I108" s="38">
        <v>0</v>
      </c>
      <c r="J108" s="38">
        <v>0</v>
      </c>
      <c r="K108" s="38">
        <v>0</v>
      </c>
      <c r="L108" s="38">
        <v>0</v>
      </c>
      <c r="M108" s="38">
        <f>G108</f>
        <v>40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f t="shared" si="42"/>
        <v>40</v>
      </c>
    </row>
    <row r="109" spans="1:25" ht="25.5">
      <c r="A109" s="138" t="s">
        <v>246</v>
      </c>
      <c r="B109" s="139" t="s">
        <v>247</v>
      </c>
      <c r="C109" s="140" t="s">
        <v>137</v>
      </c>
      <c r="D109" s="95"/>
      <c r="E109" s="56"/>
      <c r="F109" s="56">
        <v>1</v>
      </c>
      <c r="G109" s="56">
        <v>666.24</v>
      </c>
      <c r="H109" s="134">
        <f t="shared" si="47"/>
        <v>0.66624000000000005</v>
      </c>
      <c r="I109" s="38">
        <v>0</v>
      </c>
      <c r="J109" s="38">
        <v>0</v>
      </c>
      <c r="K109" s="38">
        <v>0</v>
      </c>
      <c r="L109" s="38">
        <v>0</v>
      </c>
      <c r="M109" s="38">
        <f>G109</f>
        <v>666.24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f t="shared" si="42"/>
        <v>666.24</v>
      </c>
    </row>
    <row r="110" spans="1:25">
      <c r="A110" s="138" t="s">
        <v>217</v>
      </c>
      <c r="B110" s="139" t="s">
        <v>252</v>
      </c>
      <c r="C110" s="140" t="s">
        <v>137</v>
      </c>
      <c r="D110" s="95"/>
      <c r="E110" s="56"/>
      <c r="F110" s="56">
        <v>2</v>
      </c>
      <c r="G110" s="56">
        <v>333</v>
      </c>
      <c r="H110" s="134">
        <f t="shared" si="47"/>
        <v>0.66600000000000004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f>G110*2</f>
        <v>666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f t="shared" si="42"/>
        <v>666</v>
      </c>
    </row>
    <row r="111" spans="1:25">
      <c r="A111" s="138" t="s">
        <v>217</v>
      </c>
      <c r="B111" s="139" t="s">
        <v>253</v>
      </c>
      <c r="C111" s="140" t="s">
        <v>137</v>
      </c>
      <c r="D111" s="95"/>
      <c r="E111" s="56"/>
      <c r="F111" s="56">
        <v>2</v>
      </c>
      <c r="G111" s="56">
        <v>290</v>
      </c>
      <c r="H111" s="134">
        <f t="shared" ref="H111" si="48">G111*F111/1000</f>
        <v>0.57999999999999996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f>G111*2</f>
        <v>580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f t="shared" si="42"/>
        <v>580</v>
      </c>
    </row>
    <row r="112" spans="1:25" ht="25.5" customHeight="1">
      <c r="A112" s="138" t="s">
        <v>139</v>
      </c>
      <c r="B112" s="139" t="s">
        <v>220</v>
      </c>
      <c r="C112" s="140" t="s">
        <v>138</v>
      </c>
      <c r="D112" s="137"/>
      <c r="E112" s="56"/>
      <c r="F112" s="56">
        <v>44.5</v>
      </c>
      <c r="G112" s="56">
        <v>1272</v>
      </c>
      <c r="H112" s="134">
        <f t="shared" ref="H112:H124" si="49">G112*F112/1000</f>
        <v>56.603999999999999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f>G112*16</f>
        <v>20352</v>
      </c>
      <c r="O112" s="38">
        <v>0</v>
      </c>
      <c r="P112" s="38">
        <v>0</v>
      </c>
      <c r="Q112" s="38">
        <v>0</v>
      </c>
      <c r="R112" s="38">
        <f>G112*(12+8+4)</f>
        <v>30528</v>
      </c>
      <c r="S112" s="38">
        <f>G112*4</f>
        <v>5088</v>
      </c>
      <c r="T112" s="38">
        <f>G112*0.5</f>
        <v>636</v>
      </c>
      <c r="U112" s="38">
        <f t="shared" si="42"/>
        <v>56604</v>
      </c>
    </row>
    <row r="113" spans="1:23" ht="38.25" customHeight="1">
      <c r="A113" s="140" t="s">
        <v>225</v>
      </c>
      <c r="B113" s="139" t="s">
        <v>223</v>
      </c>
      <c r="C113" s="140" t="s">
        <v>224</v>
      </c>
      <c r="D113" s="95"/>
      <c r="E113" s="56"/>
      <c r="F113" s="56">
        <v>4</v>
      </c>
      <c r="G113" s="56">
        <v>54.17</v>
      </c>
      <c r="H113" s="134">
        <f t="shared" si="49"/>
        <v>0.21668000000000001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f>G113</f>
        <v>54.17</v>
      </c>
      <c r="O113" s="38">
        <v>0</v>
      </c>
      <c r="P113" s="38">
        <v>0</v>
      </c>
      <c r="Q113" s="38">
        <f>G113</f>
        <v>54.17</v>
      </c>
      <c r="R113" s="38">
        <f>G113</f>
        <v>54.17</v>
      </c>
      <c r="S113" s="38">
        <f>G113</f>
        <v>54.17</v>
      </c>
      <c r="T113" s="38">
        <v>0</v>
      </c>
      <c r="U113" s="38">
        <f t="shared" si="42"/>
        <v>216.68</v>
      </c>
    </row>
    <row r="114" spans="1:23" ht="25.5" customHeight="1">
      <c r="A114" s="155" t="s">
        <v>259</v>
      </c>
      <c r="B114" s="22" t="s">
        <v>258</v>
      </c>
      <c r="C114" s="124" t="s">
        <v>145</v>
      </c>
      <c r="D114" s="95"/>
      <c r="E114" s="56"/>
      <c r="F114" s="56">
        <f>1/10</f>
        <v>0.1</v>
      </c>
      <c r="G114" s="56">
        <v>9833.11</v>
      </c>
      <c r="H114" s="134">
        <f>G114*F114/1000</f>
        <v>0.98331100000000016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f>G114*0.1</f>
        <v>983.31100000000015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f t="shared" si="42"/>
        <v>983.31100000000015</v>
      </c>
    </row>
    <row r="115" spans="1:23" ht="51" customHeight="1">
      <c r="A115" s="124" t="s">
        <v>260</v>
      </c>
      <c r="B115" s="22" t="s">
        <v>261</v>
      </c>
      <c r="C115" s="124" t="s">
        <v>145</v>
      </c>
      <c r="D115" s="95"/>
      <c r="E115" s="56"/>
      <c r="F115" s="56">
        <f>40/10</f>
        <v>4</v>
      </c>
      <c r="G115" s="56">
        <v>2166.5300000000002</v>
      </c>
      <c r="H115" s="134">
        <f t="shared" ref="H115" si="50">G115*F115/1000</f>
        <v>8.6661200000000012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f>G115*4</f>
        <v>8666.1200000000008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f t="shared" si="42"/>
        <v>8666.1200000000008</v>
      </c>
    </row>
    <row r="116" spans="1:23">
      <c r="A116" s="167" t="s">
        <v>129</v>
      </c>
      <c r="B116" s="137" t="s">
        <v>262</v>
      </c>
      <c r="C116" s="168" t="s">
        <v>263</v>
      </c>
      <c r="D116" s="95"/>
      <c r="E116" s="56"/>
      <c r="F116" s="56">
        <v>1</v>
      </c>
      <c r="G116" s="56">
        <v>1582</v>
      </c>
      <c r="H116" s="134">
        <f>G116*F116/1000</f>
        <v>1.5820000000000001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f>G116</f>
        <v>1582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f t="shared" si="42"/>
        <v>1582</v>
      </c>
    </row>
    <row r="117" spans="1:23" ht="25.5">
      <c r="A117" s="138" t="s">
        <v>255</v>
      </c>
      <c r="B117" s="139" t="s">
        <v>254</v>
      </c>
      <c r="C117" s="140" t="s">
        <v>137</v>
      </c>
      <c r="D117" s="95"/>
      <c r="E117" s="56"/>
      <c r="F117" s="56">
        <v>3</v>
      </c>
      <c r="G117" s="56">
        <v>506.98</v>
      </c>
      <c r="H117" s="134">
        <f t="shared" si="49"/>
        <v>1.52094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f>G117*3</f>
        <v>1520.94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f t="shared" si="42"/>
        <v>1520.94</v>
      </c>
    </row>
    <row r="118" spans="1:23">
      <c r="A118" s="166" t="s">
        <v>256</v>
      </c>
      <c r="B118" s="22" t="s">
        <v>257</v>
      </c>
      <c r="C118" s="124" t="s">
        <v>214</v>
      </c>
      <c r="D118" s="95"/>
      <c r="E118" s="56"/>
      <c r="F118" s="56">
        <f>1/10</f>
        <v>0.1</v>
      </c>
      <c r="G118" s="56">
        <v>976.72</v>
      </c>
      <c r="H118" s="134">
        <f t="shared" si="49"/>
        <v>9.7672000000000009E-2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f>G118*0.1</f>
        <v>97.672000000000011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f t="shared" si="42"/>
        <v>97.672000000000011</v>
      </c>
    </row>
    <row r="119" spans="1:23" ht="12.75" customHeight="1">
      <c r="A119" s="160" t="s">
        <v>209</v>
      </c>
      <c r="B119" s="161" t="s">
        <v>267</v>
      </c>
      <c r="C119" s="160" t="s">
        <v>143</v>
      </c>
      <c r="D119" s="95"/>
      <c r="E119" s="56"/>
      <c r="F119" s="56">
        <v>1</v>
      </c>
      <c r="G119" s="56">
        <v>1120.8900000000001</v>
      </c>
      <c r="H119" s="134">
        <f>G119*F119/1000</f>
        <v>1.1208900000000002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f>G119</f>
        <v>1120.8900000000001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f t="shared" si="42"/>
        <v>1120.8900000000001</v>
      </c>
    </row>
    <row r="120" spans="1:23" ht="25.5" customHeight="1">
      <c r="A120" s="140" t="s">
        <v>191</v>
      </c>
      <c r="B120" s="139" t="s">
        <v>161</v>
      </c>
      <c r="C120" s="140" t="s">
        <v>159</v>
      </c>
      <c r="D120" s="95"/>
      <c r="E120" s="56"/>
      <c r="F120" s="56">
        <v>0.02</v>
      </c>
      <c r="G120" s="56">
        <v>7412.92</v>
      </c>
      <c r="H120" s="134">
        <f t="shared" si="49"/>
        <v>0.14825839999999998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f>G120*0.01</f>
        <v>74.129199999999997</v>
      </c>
      <c r="P120" s="38">
        <v>0</v>
      </c>
      <c r="Q120" s="38">
        <f>G120*0.01</f>
        <v>74.129199999999997</v>
      </c>
      <c r="R120" s="38">
        <v>0</v>
      </c>
      <c r="S120" s="38">
        <v>0</v>
      </c>
      <c r="T120" s="38">
        <v>0</v>
      </c>
      <c r="U120" s="38">
        <f t="shared" si="42"/>
        <v>148.25839999999999</v>
      </c>
    </row>
    <row r="121" spans="1:23" ht="25.5">
      <c r="A121" s="170" t="s">
        <v>129</v>
      </c>
      <c r="B121" s="171" t="s">
        <v>130</v>
      </c>
      <c r="C121" s="172" t="s">
        <v>131</v>
      </c>
      <c r="D121" s="137"/>
      <c r="E121" s="56"/>
      <c r="F121" s="56">
        <v>1</v>
      </c>
      <c r="G121" s="57">
        <v>403.69</v>
      </c>
      <c r="H121" s="134">
        <f t="shared" ref="H121" si="51">G121*F121/1000</f>
        <v>0.40368999999999999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f>G121</f>
        <v>403.69</v>
      </c>
      <c r="Q121" s="38">
        <v>0</v>
      </c>
      <c r="R121" s="38">
        <v>0</v>
      </c>
      <c r="S121" s="38">
        <v>0</v>
      </c>
      <c r="T121" s="38">
        <v>0</v>
      </c>
      <c r="U121" s="38">
        <f t="shared" si="42"/>
        <v>403.69</v>
      </c>
    </row>
    <row r="122" spans="1:23" s="169" customFormat="1" ht="25.5" customHeight="1">
      <c r="A122" s="140" t="s">
        <v>264</v>
      </c>
      <c r="B122" s="139" t="s">
        <v>265</v>
      </c>
      <c r="C122" s="140" t="s">
        <v>145</v>
      </c>
      <c r="D122" s="95"/>
      <c r="E122" s="56"/>
      <c r="F122" s="56">
        <f>32/10</f>
        <v>3.2</v>
      </c>
      <c r="G122" s="56">
        <v>2064.25</v>
      </c>
      <c r="H122" s="159">
        <f t="shared" si="49"/>
        <v>6.6056000000000008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f>G122*3.2</f>
        <v>6605.6</v>
      </c>
      <c r="Q122" s="38">
        <v>0</v>
      </c>
      <c r="R122" s="38">
        <v>0</v>
      </c>
      <c r="S122" s="38">
        <v>0</v>
      </c>
      <c r="T122" s="38">
        <v>0</v>
      </c>
      <c r="U122" s="38">
        <f t="shared" si="42"/>
        <v>6605.6</v>
      </c>
    </row>
    <row r="123" spans="1:23" s="169" customFormat="1" ht="25.5" customHeight="1">
      <c r="A123" s="140" t="s">
        <v>217</v>
      </c>
      <c r="B123" s="139" t="s">
        <v>266</v>
      </c>
      <c r="C123" s="140" t="s">
        <v>61</v>
      </c>
      <c r="D123" s="95"/>
      <c r="E123" s="56"/>
      <c r="F123" s="56">
        <v>1</v>
      </c>
      <c r="G123" s="56">
        <v>4767.2</v>
      </c>
      <c r="H123" s="159">
        <f t="shared" si="49"/>
        <v>4.7671999999999999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f>G123</f>
        <v>4767.2</v>
      </c>
      <c r="Q123" s="38">
        <v>0</v>
      </c>
      <c r="R123" s="38">
        <v>0</v>
      </c>
      <c r="S123" s="38">
        <v>0</v>
      </c>
      <c r="T123" s="38">
        <v>0</v>
      </c>
      <c r="U123" s="38">
        <f t="shared" si="42"/>
        <v>4767.2</v>
      </c>
    </row>
    <row r="124" spans="1:23" s="169" customFormat="1" ht="12.75" customHeight="1">
      <c r="A124" s="166" t="s">
        <v>268</v>
      </c>
      <c r="B124" s="22" t="s">
        <v>269</v>
      </c>
      <c r="C124" s="124" t="s">
        <v>61</v>
      </c>
      <c r="D124" s="95"/>
      <c r="E124" s="56"/>
      <c r="F124" s="56">
        <v>1</v>
      </c>
      <c r="G124" s="56">
        <v>1037.95</v>
      </c>
      <c r="H124" s="159">
        <f t="shared" si="49"/>
        <v>1.0379500000000002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f>G124</f>
        <v>1037.95</v>
      </c>
      <c r="R124" s="38">
        <v>0</v>
      </c>
      <c r="S124" s="38">
        <v>0</v>
      </c>
      <c r="T124" s="38">
        <v>0</v>
      </c>
      <c r="U124" s="38">
        <f t="shared" si="42"/>
        <v>1037.95</v>
      </c>
    </row>
    <row r="125" spans="1:23" ht="12.75" customHeight="1">
      <c r="A125" s="170" t="s">
        <v>212</v>
      </c>
      <c r="B125" s="173" t="s">
        <v>160</v>
      </c>
      <c r="C125" s="140" t="s">
        <v>61</v>
      </c>
      <c r="D125" s="137"/>
      <c r="E125" s="56"/>
      <c r="F125" s="56">
        <v>2</v>
      </c>
      <c r="G125" s="56">
        <v>189.67</v>
      </c>
      <c r="H125" s="134">
        <f>G125*F125/1000</f>
        <v>0.37933999999999996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f>G125</f>
        <v>189.67</v>
      </c>
      <c r="R125" s="38">
        <f>G125</f>
        <v>189.67</v>
      </c>
      <c r="S125" s="38">
        <v>0</v>
      </c>
      <c r="T125" s="38">
        <v>0</v>
      </c>
      <c r="U125" s="38">
        <f t="shared" si="42"/>
        <v>379.34</v>
      </c>
    </row>
    <row r="126" spans="1:23" ht="25.5" customHeight="1">
      <c r="A126" s="140" t="s">
        <v>227</v>
      </c>
      <c r="B126" s="139" t="s">
        <v>228</v>
      </c>
      <c r="C126" s="140" t="s">
        <v>213</v>
      </c>
      <c r="D126" s="137"/>
      <c r="E126" s="56"/>
      <c r="F126" s="56">
        <v>10</v>
      </c>
      <c r="G126" s="56">
        <v>306.37</v>
      </c>
      <c r="H126" s="134">
        <f>G126*F126/1000</f>
        <v>3.0636999999999999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f>G126*10</f>
        <v>3063.7</v>
      </c>
      <c r="S126" s="38">
        <v>0</v>
      </c>
      <c r="T126" s="38">
        <v>0</v>
      </c>
      <c r="U126" s="38">
        <f t="shared" si="42"/>
        <v>3063.7</v>
      </c>
    </row>
    <row r="127" spans="1:23" ht="25.5" customHeight="1">
      <c r="A127" s="138" t="s">
        <v>139</v>
      </c>
      <c r="B127" s="139" t="s">
        <v>270</v>
      </c>
      <c r="C127" s="140" t="s">
        <v>138</v>
      </c>
      <c r="D127" s="137"/>
      <c r="E127" s="56"/>
      <c r="F127" s="56">
        <v>4</v>
      </c>
      <c r="G127" s="56">
        <v>1146</v>
      </c>
      <c r="H127" s="134">
        <f t="shared" ref="H127:H131" si="52">G127*F127/1000</f>
        <v>4.5839999999999996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f>G127*4</f>
        <v>4584</v>
      </c>
      <c r="S127" s="38">
        <v>0</v>
      </c>
      <c r="T127" s="38">
        <v>0</v>
      </c>
      <c r="U127" s="38">
        <f t="shared" si="42"/>
        <v>4584</v>
      </c>
    </row>
    <row r="128" spans="1:23" ht="12.75" customHeight="1">
      <c r="A128" s="170" t="s">
        <v>272</v>
      </c>
      <c r="B128" s="171" t="s">
        <v>273</v>
      </c>
      <c r="C128" s="172" t="s">
        <v>20</v>
      </c>
      <c r="D128" s="174"/>
      <c r="E128" s="72"/>
      <c r="F128" s="175">
        <f>6.25/10</f>
        <v>0.625</v>
      </c>
      <c r="G128" s="56">
        <v>29021.3</v>
      </c>
      <c r="H128" s="134">
        <f t="shared" si="52"/>
        <v>18.138312500000001</v>
      </c>
      <c r="I128" s="162">
        <v>0</v>
      </c>
      <c r="J128" s="162">
        <v>0</v>
      </c>
      <c r="K128" s="162">
        <v>0</v>
      </c>
      <c r="L128" s="162">
        <v>0</v>
      </c>
      <c r="M128" s="162">
        <v>0</v>
      </c>
      <c r="N128" s="162">
        <v>0</v>
      </c>
      <c r="O128" s="162">
        <v>0</v>
      </c>
      <c r="P128" s="162">
        <v>0</v>
      </c>
      <c r="Q128" s="162">
        <v>0</v>
      </c>
      <c r="R128" s="162">
        <f>G128*0.625</f>
        <v>18138.3125</v>
      </c>
      <c r="S128" s="162">
        <v>0</v>
      </c>
      <c r="T128" s="162">
        <v>0</v>
      </c>
      <c r="U128" s="38">
        <f t="shared" ref="U128" si="53">SUM(I128:T128)</f>
        <v>18138.3125</v>
      </c>
      <c r="V128" s="176"/>
      <c r="W128" s="177"/>
    </row>
    <row r="129" spans="1:23" ht="25.5" customHeight="1">
      <c r="A129" s="140" t="s">
        <v>134</v>
      </c>
      <c r="B129" s="139" t="s">
        <v>275</v>
      </c>
      <c r="C129" s="140" t="s">
        <v>274</v>
      </c>
      <c r="D129" s="178"/>
      <c r="E129" s="179"/>
      <c r="F129" s="158">
        <v>191</v>
      </c>
      <c r="G129" s="158">
        <f>103656/303</f>
        <v>342.0990099009901</v>
      </c>
      <c r="H129" s="159">
        <f t="shared" si="52"/>
        <v>65.340910891089109</v>
      </c>
      <c r="I129" s="162">
        <v>0</v>
      </c>
      <c r="J129" s="162">
        <v>0</v>
      </c>
      <c r="K129" s="162">
        <v>0</v>
      </c>
      <c r="L129" s="162">
        <v>0</v>
      </c>
      <c r="M129" s="162">
        <v>0</v>
      </c>
      <c r="N129" s="162">
        <v>0</v>
      </c>
      <c r="O129" s="162">
        <v>0</v>
      </c>
      <c r="P129" s="162">
        <v>0</v>
      </c>
      <c r="Q129" s="162">
        <v>0</v>
      </c>
      <c r="R129" s="162">
        <f>G129*191</f>
        <v>65340.910891089108</v>
      </c>
      <c r="S129" s="162">
        <v>0</v>
      </c>
      <c r="T129" s="162">
        <v>0</v>
      </c>
      <c r="U129" s="38">
        <f t="shared" ref="U129:U131" si="54">SUM(I129:T129)</f>
        <v>65340.910891089108</v>
      </c>
    </row>
    <row r="130" spans="1:23">
      <c r="A130" s="140" t="s">
        <v>217</v>
      </c>
      <c r="B130" s="139" t="s">
        <v>271</v>
      </c>
      <c r="C130" s="140" t="s">
        <v>61</v>
      </c>
      <c r="D130" s="9"/>
      <c r="E130" s="72"/>
      <c r="F130" s="56">
        <v>1</v>
      </c>
      <c r="G130" s="56">
        <v>70</v>
      </c>
      <c r="H130" s="134">
        <f>G130*F130/1000</f>
        <v>7.0000000000000007E-2</v>
      </c>
      <c r="I130" s="162">
        <v>0</v>
      </c>
      <c r="J130" s="162">
        <v>0</v>
      </c>
      <c r="K130" s="162">
        <v>0</v>
      </c>
      <c r="L130" s="162">
        <v>0</v>
      </c>
      <c r="M130" s="162">
        <v>0</v>
      </c>
      <c r="N130" s="162">
        <v>0</v>
      </c>
      <c r="O130" s="162">
        <v>0</v>
      </c>
      <c r="P130" s="162">
        <v>0</v>
      </c>
      <c r="Q130" s="162">
        <v>0</v>
      </c>
      <c r="R130" s="162">
        <v>0</v>
      </c>
      <c r="S130" s="38">
        <f>G130</f>
        <v>70</v>
      </c>
      <c r="T130" s="38">
        <v>0</v>
      </c>
      <c r="U130" s="38">
        <f>SUM(I130:T130)</f>
        <v>70</v>
      </c>
    </row>
    <row r="131" spans="1:23" ht="12.75" customHeight="1">
      <c r="A131" s="170" t="s">
        <v>139</v>
      </c>
      <c r="B131" s="171" t="s">
        <v>278</v>
      </c>
      <c r="C131" s="172" t="s">
        <v>279</v>
      </c>
      <c r="D131" s="174"/>
      <c r="E131" s="72"/>
      <c r="F131" s="175">
        <v>1</v>
      </c>
      <c r="G131" s="158">
        <v>2911</v>
      </c>
      <c r="H131" s="159">
        <f t="shared" si="52"/>
        <v>2.911</v>
      </c>
      <c r="I131" s="162">
        <v>0</v>
      </c>
      <c r="J131" s="162">
        <v>0</v>
      </c>
      <c r="K131" s="162">
        <v>0</v>
      </c>
      <c r="L131" s="162">
        <v>0</v>
      </c>
      <c r="M131" s="162">
        <v>0</v>
      </c>
      <c r="N131" s="162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f>G131</f>
        <v>2911</v>
      </c>
      <c r="T131" s="162">
        <v>0</v>
      </c>
      <c r="U131" s="38">
        <f t="shared" si="54"/>
        <v>2911</v>
      </c>
      <c r="V131" s="176"/>
      <c r="W131" s="177"/>
    </row>
    <row r="132" spans="1:23" s="19" customFormat="1">
      <c r="A132" s="104"/>
      <c r="B132" s="105" t="s">
        <v>94</v>
      </c>
      <c r="C132" s="104"/>
      <c r="D132" s="104"/>
      <c r="E132" s="100"/>
      <c r="F132" s="100"/>
      <c r="G132" s="100"/>
      <c r="H132" s="48">
        <f>SUM(H86:H131)</f>
        <v>445.93699457508899</v>
      </c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47">
        <f>SUM(U86:U131)</f>
        <v>445936.99457508919</v>
      </c>
    </row>
    <row r="133" spans="1:23">
      <c r="A133" s="106"/>
      <c r="B133" s="107"/>
      <c r="C133" s="106"/>
      <c r="D133" s="106"/>
      <c r="E133" s="56"/>
      <c r="F133" s="56"/>
      <c r="G133" s="56"/>
      <c r="H133" s="10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131"/>
    </row>
    <row r="134" spans="1:23" ht="12" customHeight="1">
      <c r="A134" s="94"/>
      <c r="B134" s="18" t="s">
        <v>95</v>
      </c>
      <c r="C134" s="25"/>
      <c r="D134" s="95"/>
      <c r="E134" s="56"/>
      <c r="F134" s="56"/>
      <c r="G134" s="56"/>
      <c r="H134" s="109">
        <f>H132/E135/12*1000</f>
        <v>6.2700641517498061</v>
      </c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131"/>
    </row>
    <row r="135" spans="1:23" s="19" customFormat="1">
      <c r="A135" s="110"/>
      <c r="B135" s="111" t="s">
        <v>96</v>
      </c>
      <c r="C135" s="112"/>
      <c r="D135" s="111"/>
      <c r="E135" s="152">
        <v>5926.8</v>
      </c>
      <c r="F135" s="113">
        <f>SUM(E135*12)</f>
        <v>71121.600000000006</v>
      </c>
      <c r="G135" s="114">
        <f>H84+H134</f>
        <v>168.89645405201358</v>
      </c>
      <c r="H135" s="115">
        <f>SUM(F135*G135/1000)</f>
        <v>12012.186046505689</v>
      </c>
      <c r="I135" s="100">
        <f t="shared" ref="I135:R135" si="55">SUM(I11:I134)</f>
        <v>117570.67057050001</v>
      </c>
      <c r="J135" s="100">
        <f t="shared" si="55"/>
        <v>113499.66927050002</v>
      </c>
      <c r="K135" s="100">
        <f t="shared" si="55"/>
        <v>102030.69073049999</v>
      </c>
      <c r="L135" s="100">
        <f t="shared" si="55"/>
        <v>106586.61835449999</v>
      </c>
      <c r="M135" s="100">
        <f t="shared" si="55"/>
        <v>265037.71199879999</v>
      </c>
      <c r="N135" s="100">
        <f t="shared" si="55"/>
        <v>169758.3652535</v>
      </c>
      <c r="O135" s="100">
        <f t="shared" si="55"/>
        <v>92053.262853500011</v>
      </c>
      <c r="P135" s="100">
        <f t="shared" si="55"/>
        <v>101561.46035350002</v>
      </c>
      <c r="Q135" s="100">
        <f t="shared" si="55"/>
        <v>124378.83491479998</v>
      </c>
      <c r="R135" s="100">
        <f t="shared" si="55"/>
        <v>286770.83718458912</v>
      </c>
      <c r="S135" s="100">
        <f>SUM(S11:S134)</f>
        <v>113157.60573049998</v>
      </c>
      <c r="T135" s="100">
        <f>SUM(T11:T134)</f>
        <v>119650.62057050002</v>
      </c>
      <c r="U135" s="47">
        <f>U81+U132</f>
        <v>1780426.7928590616</v>
      </c>
    </row>
    <row r="136" spans="1:23">
      <c r="A136" s="28"/>
      <c r="B136" s="28"/>
      <c r="C136" s="28"/>
      <c r="D136" s="28"/>
      <c r="E136" s="116"/>
      <c r="F136" s="116"/>
      <c r="G136" s="116"/>
      <c r="H136" s="116"/>
      <c r="I136" s="116"/>
      <c r="J136" s="116"/>
      <c r="K136" s="116"/>
      <c r="L136" s="116"/>
      <c r="M136" s="28"/>
      <c r="N136" s="116"/>
      <c r="O136" s="28"/>
      <c r="P136" s="28"/>
      <c r="Q136" s="28"/>
      <c r="R136" s="28"/>
      <c r="S136" s="28"/>
      <c r="T136" s="28"/>
      <c r="U136" s="28"/>
    </row>
    <row r="137" spans="1:23">
      <c r="A137" s="28"/>
      <c r="B137" s="28"/>
      <c r="C137" s="28"/>
      <c r="D137" s="28"/>
      <c r="E137" s="116"/>
      <c r="F137" s="116"/>
      <c r="G137" s="116"/>
      <c r="H137" s="116"/>
      <c r="I137" s="116"/>
      <c r="J137" s="117"/>
      <c r="K137" s="118"/>
      <c r="L137" s="117"/>
      <c r="M137" s="116"/>
      <c r="N137" s="28"/>
      <c r="O137" s="28"/>
      <c r="P137" s="28"/>
      <c r="Q137" s="28"/>
      <c r="R137" s="28"/>
      <c r="S137" s="28"/>
      <c r="T137" s="28"/>
      <c r="U137" s="28"/>
    </row>
    <row r="138" spans="1:23" ht="45">
      <c r="A138" s="28"/>
      <c r="B138" s="123" t="s">
        <v>226</v>
      </c>
      <c r="C138" s="184">
        <v>689690.87</v>
      </c>
      <c r="D138" s="185"/>
      <c r="E138" s="185"/>
      <c r="F138" s="186"/>
      <c r="G138" s="116"/>
      <c r="H138" s="116"/>
      <c r="I138" s="116"/>
      <c r="J138" s="117"/>
      <c r="K138" s="118"/>
      <c r="L138" s="117"/>
      <c r="M138" s="116"/>
      <c r="N138" s="28"/>
      <c r="O138" s="28"/>
      <c r="P138" s="28"/>
      <c r="Q138" s="28"/>
      <c r="R138" s="28"/>
      <c r="S138" s="28"/>
      <c r="T138" s="28"/>
      <c r="U138" s="28"/>
    </row>
    <row r="139" spans="1:23" ht="30">
      <c r="A139" s="28"/>
      <c r="B139" s="123" t="s">
        <v>231</v>
      </c>
      <c r="C139" s="184">
        <f>128154.74*12</f>
        <v>1537856.8800000001</v>
      </c>
      <c r="D139" s="185"/>
      <c r="E139" s="185"/>
      <c r="F139" s="186"/>
      <c r="G139" s="116"/>
      <c r="H139" s="116"/>
      <c r="I139" s="116"/>
      <c r="J139" s="117"/>
      <c r="K139" s="118"/>
      <c r="L139" s="117"/>
      <c r="M139" s="116"/>
      <c r="N139" s="28"/>
      <c r="O139" s="28"/>
      <c r="P139" s="28"/>
      <c r="Q139" s="28"/>
      <c r="R139" s="28"/>
      <c r="S139" s="28"/>
      <c r="T139" s="28"/>
      <c r="U139" s="28"/>
    </row>
    <row r="140" spans="1:23" ht="30">
      <c r="A140" s="28"/>
      <c r="B140" s="123" t="s">
        <v>232</v>
      </c>
      <c r="C140" s="184">
        <f>SUM(U135-U132)</f>
        <v>1334489.7982839723</v>
      </c>
      <c r="D140" s="185"/>
      <c r="E140" s="185"/>
      <c r="F140" s="186"/>
      <c r="G140" s="116"/>
      <c r="H140" s="116"/>
      <c r="I140" s="116"/>
      <c r="J140" s="117"/>
      <c r="K140" s="118"/>
      <c r="L140" s="117"/>
      <c r="M140" s="116"/>
      <c r="N140" s="28"/>
      <c r="O140" s="28"/>
      <c r="P140" s="28"/>
      <c r="Q140" s="28"/>
      <c r="R140" s="28"/>
      <c r="S140" s="28"/>
      <c r="T140" s="28"/>
      <c r="U140" s="28"/>
    </row>
    <row r="141" spans="1:23" ht="30">
      <c r="A141" s="28"/>
      <c r="B141" s="123" t="s">
        <v>233</v>
      </c>
      <c r="C141" s="184">
        <f>SUM(U132)</f>
        <v>445936.99457508919</v>
      </c>
      <c r="D141" s="185"/>
      <c r="E141" s="185"/>
      <c r="F141" s="186"/>
      <c r="G141" s="116"/>
      <c r="H141" s="116"/>
      <c r="I141" s="116"/>
      <c r="J141" s="117"/>
      <c r="K141" s="118"/>
      <c r="L141" s="117"/>
      <c r="M141" s="116"/>
      <c r="N141" s="28"/>
      <c r="O141" s="28"/>
      <c r="P141" s="28"/>
      <c r="Q141" s="28"/>
      <c r="R141" s="28"/>
      <c r="S141" s="28"/>
      <c r="T141" s="28"/>
      <c r="U141" s="28"/>
    </row>
    <row r="142" spans="1:23" ht="18">
      <c r="A142" s="28"/>
      <c r="B142" s="127" t="s">
        <v>234</v>
      </c>
      <c r="C142" s="184">
        <f>125050.73+117255.82+143930.06+119835.56+118587.01+97562.46+121809.4+113993.73+104495.01+116007.69+132361.81+149198.16</f>
        <v>1460087.4399999997</v>
      </c>
      <c r="D142" s="185"/>
      <c r="E142" s="185"/>
      <c r="F142" s="186"/>
      <c r="G142" s="28"/>
      <c r="H142" s="119" t="s">
        <v>103</v>
      </c>
      <c r="J142" s="120"/>
      <c r="K142" s="121"/>
      <c r="L142" s="122"/>
      <c r="M142" s="119"/>
      <c r="N142" s="119"/>
      <c r="O142" s="28"/>
      <c r="P142" s="28"/>
      <c r="Q142" s="28"/>
      <c r="R142" s="28"/>
      <c r="S142" s="28"/>
      <c r="T142" s="28"/>
      <c r="U142" s="28"/>
    </row>
    <row r="143" spans="1:23" ht="78.75">
      <c r="A143" s="28"/>
      <c r="B143" s="154" t="s">
        <v>276</v>
      </c>
      <c r="C143" s="187">
        <v>730772.73</v>
      </c>
      <c r="D143" s="188"/>
      <c r="E143" s="188"/>
      <c r="F143" s="189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</row>
    <row r="144" spans="1:23" ht="45">
      <c r="A144" s="28"/>
      <c r="B144" s="123" t="s">
        <v>277</v>
      </c>
      <c r="C144" s="181">
        <f>SUM(U135-C139)+C138</f>
        <v>932260.7828590615</v>
      </c>
      <c r="D144" s="182"/>
      <c r="E144" s="182"/>
      <c r="F144" s="183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</row>
    <row r="146" spans="7:13">
      <c r="J146" s="4"/>
      <c r="K146" s="5"/>
      <c r="L146" s="5"/>
      <c r="M146" s="3"/>
    </row>
    <row r="147" spans="7:13">
      <c r="G147" s="6"/>
      <c r="H147" s="6"/>
    </row>
    <row r="148" spans="7:13">
      <c r="G148" s="7"/>
    </row>
  </sheetData>
  <mergeCells count="12">
    <mergeCell ref="B3:L3"/>
    <mergeCell ref="B4:L4"/>
    <mergeCell ref="B5:L5"/>
    <mergeCell ref="B6:L6"/>
    <mergeCell ref="C138:F138"/>
    <mergeCell ref="W79:Z79"/>
    <mergeCell ref="C144:F144"/>
    <mergeCell ref="C139:F139"/>
    <mergeCell ref="C140:F140"/>
    <mergeCell ref="C141:F141"/>
    <mergeCell ref="C142:F142"/>
    <mergeCell ref="C143:F143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Нефт.,4а</vt:lpstr>
      <vt:lpstr>'Нефт.,4а'!Область_печати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2018-12-05T06:29:42Z</cp:lastPrinted>
  <dcterms:created xsi:type="dcterms:W3CDTF">2014-02-05T12:20:20Z</dcterms:created>
  <dcterms:modified xsi:type="dcterms:W3CDTF">2018-12-05T06:30:11Z</dcterms:modified>
</cp:coreProperties>
</file>