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20055" windowHeight="7905"/>
  </bookViews>
  <sheets>
    <sheet name="Стр.,7" sheetId="1" r:id="rId1"/>
  </sheets>
  <definedNames>
    <definedName name="_xlnm.Print_Area" localSheetId="0">'Стр.,7'!$A$1:$U$120</definedName>
  </definedNames>
  <calcPr calcId="124519"/>
</workbook>
</file>

<file path=xl/calcChain.xml><?xml version="1.0" encoding="utf-8"?>
<calcChain xmlns="http://schemas.openxmlformats.org/spreadsheetml/2006/main">
  <c r="L40" i="1"/>
  <c r="K40"/>
  <c r="F40"/>
  <c r="U94"/>
  <c r="U95"/>
  <c r="U96"/>
  <c r="J94"/>
  <c r="H94"/>
  <c r="M96"/>
  <c r="C118"/>
  <c r="C115"/>
  <c r="T102" l="1"/>
  <c r="R88"/>
  <c r="T87"/>
  <c r="S93"/>
  <c r="R95"/>
  <c r="R92"/>
  <c r="R87"/>
  <c r="T86"/>
  <c r="S86"/>
  <c r="R86"/>
  <c r="Q86"/>
  <c r="P86"/>
  <c r="T104"/>
  <c r="T107"/>
  <c r="R107" l="1"/>
  <c r="U107" s="1"/>
  <c r="R106"/>
  <c r="U106" s="1"/>
  <c r="R102"/>
  <c r="R101"/>
  <c r="H106"/>
  <c r="R61"/>
  <c r="U58"/>
  <c r="U62"/>
  <c r="U71"/>
  <c r="U72"/>
  <c r="U74"/>
  <c r="U30"/>
  <c r="U31"/>
  <c r="O103" l="1"/>
  <c r="U103" s="1"/>
  <c r="F103"/>
  <c r="H103" s="1"/>
  <c r="P105" l="1"/>
  <c r="U105" s="1"/>
  <c r="H105"/>
  <c r="P91" l="1"/>
  <c r="P70"/>
  <c r="P87"/>
  <c r="O86"/>
  <c r="N86"/>
  <c r="M86"/>
  <c r="O92"/>
  <c r="O87"/>
  <c r="N92"/>
  <c r="P104"/>
  <c r="U104" s="1"/>
  <c r="O102"/>
  <c r="U102" s="1"/>
  <c r="O101"/>
  <c r="U101" s="1"/>
  <c r="O100"/>
  <c r="U100" s="1"/>
  <c r="H100"/>
  <c r="N61"/>
  <c r="L86"/>
  <c r="L95"/>
  <c r="H95"/>
  <c r="K86"/>
  <c r="K92"/>
  <c r="K91"/>
  <c r="M99"/>
  <c r="U99" s="1"/>
  <c r="H99"/>
  <c r="T53" l="1"/>
  <c r="P53"/>
  <c r="M98"/>
  <c r="U98" s="1"/>
  <c r="H98"/>
  <c r="M97"/>
  <c r="U97" s="1"/>
  <c r="H96"/>
  <c r="H97"/>
  <c r="L37"/>
  <c r="U37" s="1"/>
  <c r="I89"/>
  <c r="U89" s="1"/>
  <c r="H89"/>
  <c r="J86"/>
  <c r="J93"/>
  <c r="U93" s="1"/>
  <c r="H93"/>
  <c r="J92"/>
  <c r="U92" s="1"/>
  <c r="H92"/>
  <c r="J91"/>
  <c r="U91" s="1"/>
  <c r="H91"/>
  <c r="J90"/>
  <c r="U90" s="1"/>
  <c r="H90"/>
  <c r="I88" l="1"/>
  <c r="U88" s="1"/>
  <c r="H88"/>
  <c r="I87" l="1"/>
  <c r="U87" s="1"/>
  <c r="H87"/>
  <c r="I70"/>
  <c r="U70" s="1"/>
  <c r="I86"/>
  <c r="I61"/>
  <c r="U61" s="1"/>
  <c r="U86" l="1"/>
  <c r="U108" s="1"/>
  <c r="H101" l="1"/>
  <c r="H102"/>
  <c r="L53" l="1"/>
  <c r="U53" s="1"/>
  <c r="Q52"/>
  <c r="L49"/>
  <c r="Q48"/>
  <c r="M48"/>
  <c r="M21"/>
  <c r="U21" s="1"/>
  <c r="U48" l="1"/>
  <c r="H104" l="1"/>
  <c r="J76" l="1"/>
  <c r="U76" s="1"/>
  <c r="T41" l="1"/>
  <c r="S41"/>
  <c r="T35"/>
  <c r="S35"/>
  <c r="Q68"/>
  <c r="U68" s="1"/>
  <c r="K52"/>
  <c r="U52" s="1"/>
  <c r="F28"/>
  <c r="R28" s="1"/>
  <c r="L41"/>
  <c r="L35"/>
  <c r="M28" l="1"/>
  <c r="O28"/>
  <c r="Q28"/>
  <c r="N28"/>
  <c r="P28"/>
  <c r="H107"/>
  <c r="U28" l="1"/>
  <c r="K41"/>
  <c r="K35"/>
  <c r="H76"/>
  <c r="J41"/>
  <c r="J35"/>
  <c r="H86"/>
  <c r="H108" s="1"/>
  <c r="H48"/>
  <c r="F53"/>
  <c r="H53" s="1"/>
  <c r="I41"/>
  <c r="I35"/>
  <c r="F58"/>
  <c r="H58" s="1"/>
  <c r="F39"/>
  <c r="F36"/>
  <c r="H21"/>
  <c r="F20"/>
  <c r="F19"/>
  <c r="F16"/>
  <c r="F59"/>
  <c r="F56"/>
  <c r="F51"/>
  <c r="F27"/>
  <c r="U35" l="1"/>
  <c r="U41"/>
  <c r="M20"/>
  <c r="U20" s="1"/>
  <c r="L51"/>
  <c r="Q51"/>
  <c r="M19"/>
  <c r="U19" s="1"/>
  <c r="I56"/>
  <c r="T56"/>
  <c r="L56"/>
  <c r="S56"/>
  <c r="I16"/>
  <c r="Q16"/>
  <c r="M16"/>
  <c r="S16"/>
  <c r="O16"/>
  <c r="K16"/>
  <c r="H59"/>
  <c r="T59"/>
  <c r="R59"/>
  <c r="P59"/>
  <c r="N59"/>
  <c r="M59"/>
  <c r="S59"/>
  <c r="Q59"/>
  <c r="O59"/>
  <c r="L59"/>
  <c r="I39"/>
  <c r="T39"/>
  <c r="L39"/>
  <c r="S39"/>
  <c r="K56"/>
  <c r="Q27"/>
  <c r="O27"/>
  <c r="R27"/>
  <c r="P27"/>
  <c r="N27"/>
  <c r="M27"/>
  <c r="I36"/>
  <c r="S36"/>
  <c r="L36"/>
  <c r="T36"/>
  <c r="K36"/>
  <c r="K39"/>
  <c r="K59"/>
  <c r="J59"/>
  <c r="J36"/>
  <c r="J39"/>
  <c r="J56"/>
  <c r="H51"/>
  <c r="I59"/>
  <c r="F45"/>
  <c r="H27"/>
  <c r="U27" l="1"/>
  <c r="U59"/>
  <c r="U36"/>
  <c r="U51"/>
  <c r="U39"/>
  <c r="U16"/>
  <c r="U56"/>
  <c r="M45"/>
  <c r="Q45"/>
  <c r="H37"/>
  <c r="U45" l="1"/>
  <c r="F15"/>
  <c r="H36"/>
  <c r="H72"/>
  <c r="T15" l="1"/>
  <c r="R15"/>
  <c r="P15"/>
  <c r="N15"/>
  <c r="M15"/>
  <c r="L15"/>
  <c r="S15"/>
  <c r="Q15"/>
  <c r="O15"/>
  <c r="K15"/>
  <c r="I15"/>
  <c r="J15"/>
  <c r="H71"/>
  <c r="U15" l="1"/>
  <c r="F14"/>
  <c r="M14" s="1"/>
  <c r="U14" s="1"/>
  <c r="F17"/>
  <c r="F18"/>
  <c r="M18" l="1"/>
  <c r="U18" s="1"/>
  <c r="M17"/>
  <c r="U17" s="1"/>
  <c r="F111"/>
  <c r="E79"/>
  <c r="H82" s="1"/>
  <c r="F77"/>
  <c r="H74"/>
  <c r="H70"/>
  <c r="H68"/>
  <c r="F67"/>
  <c r="F66"/>
  <c r="F65"/>
  <c r="F64"/>
  <c r="F63"/>
  <c r="H62"/>
  <c r="H61"/>
  <c r="H56"/>
  <c r="H52"/>
  <c r="F50"/>
  <c r="F49"/>
  <c r="F47"/>
  <c r="F46"/>
  <c r="H45"/>
  <c r="F44"/>
  <c r="H41"/>
  <c r="H39"/>
  <c r="F38"/>
  <c r="H35"/>
  <c r="F32"/>
  <c r="H31"/>
  <c r="H30"/>
  <c r="F29"/>
  <c r="H28"/>
  <c r="F26"/>
  <c r="F25"/>
  <c r="F24"/>
  <c r="H20"/>
  <c r="H18"/>
  <c r="H17"/>
  <c r="H14"/>
  <c r="F13"/>
  <c r="F12"/>
  <c r="F11"/>
  <c r="M44" l="1"/>
  <c r="Q44"/>
  <c r="M46"/>
  <c r="Q46"/>
  <c r="Q49"/>
  <c r="T49"/>
  <c r="M49"/>
  <c r="M47"/>
  <c r="U47" s="1"/>
  <c r="Q47"/>
  <c r="L50"/>
  <c r="U50" s="1"/>
  <c r="Q50"/>
  <c r="T11"/>
  <c r="R11"/>
  <c r="P11"/>
  <c r="N11"/>
  <c r="S11"/>
  <c r="Q11"/>
  <c r="O11"/>
  <c r="M11"/>
  <c r="L11"/>
  <c r="K11"/>
  <c r="H25"/>
  <c r="Q25"/>
  <c r="O25"/>
  <c r="M25"/>
  <c r="R25"/>
  <c r="P25"/>
  <c r="N25"/>
  <c r="T12"/>
  <c r="Q12"/>
  <c r="O12"/>
  <c r="M12"/>
  <c r="L12"/>
  <c r="S12"/>
  <c r="R12"/>
  <c r="P12"/>
  <c r="N12"/>
  <c r="K12"/>
  <c r="H24"/>
  <c r="R24"/>
  <c r="P24"/>
  <c r="N24"/>
  <c r="Q24"/>
  <c r="O24"/>
  <c r="M24"/>
  <c r="H26"/>
  <c r="M26"/>
  <c r="U26" s="1"/>
  <c r="S29"/>
  <c r="Q29"/>
  <c r="O29"/>
  <c r="M29"/>
  <c r="T29"/>
  <c r="R29"/>
  <c r="P29"/>
  <c r="N29"/>
  <c r="L29"/>
  <c r="K29"/>
  <c r="H47"/>
  <c r="H64"/>
  <c r="M64"/>
  <c r="U64" s="1"/>
  <c r="H66"/>
  <c r="M66"/>
  <c r="U66" s="1"/>
  <c r="T77"/>
  <c r="R77"/>
  <c r="P77"/>
  <c r="N77"/>
  <c r="M77"/>
  <c r="L77"/>
  <c r="S77"/>
  <c r="Q77"/>
  <c r="O77"/>
  <c r="K77"/>
  <c r="T13"/>
  <c r="R13"/>
  <c r="P13"/>
  <c r="N13"/>
  <c r="S13"/>
  <c r="Q13"/>
  <c r="O13"/>
  <c r="M13"/>
  <c r="L13"/>
  <c r="K13"/>
  <c r="J32"/>
  <c r="S32"/>
  <c r="R32"/>
  <c r="P32"/>
  <c r="N32"/>
  <c r="L32"/>
  <c r="T32"/>
  <c r="Q32"/>
  <c r="O32"/>
  <c r="M32"/>
  <c r="K32"/>
  <c r="J38"/>
  <c r="T38"/>
  <c r="S38"/>
  <c r="L38"/>
  <c r="K38"/>
  <c r="T40"/>
  <c r="S40"/>
  <c r="H44"/>
  <c r="H46"/>
  <c r="J49"/>
  <c r="I49"/>
  <c r="H63"/>
  <c r="M63"/>
  <c r="U63" s="1"/>
  <c r="H65"/>
  <c r="M65"/>
  <c r="U65" s="1"/>
  <c r="H67"/>
  <c r="M67"/>
  <c r="U67" s="1"/>
  <c r="I11"/>
  <c r="J11"/>
  <c r="I12"/>
  <c r="U12" s="1"/>
  <c r="J12"/>
  <c r="I29"/>
  <c r="U29" s="1"/>
  <c r="J29"/>
  <c r="I77"/>
  <c r="U77" s="1"/>
  <c r="J77"/>
  <c r="I13"/>
  <c r="U13" s="1"/>
  <c r="J13"/>
  <c r="H32"/>
  <c r="I32"/>
  <c r="U32" s="1"/>
  <c r="H38"/>
  <c r="I38"/>
  <c r="U38" s="1"/>
  <c r="H40"/>
  <c r="U40"/>
  <c r="H49"/>
  <c r="H50"/>
  <c r="H77"/>
  <c r="H78" s="1"/>
  <c r="H29"/>
  <c r="H11"/>
  <c r="H12"/>
  <c r="H16"/>
  <c r="H13"/>
  <c r="H15"/>
  <c r="F79"/>
  <c r="H19"/>
  <c r="U11" l="1"/>
  <c r="U49"/>
  <c r="U24"/>
  <c r="U25"/>
  <c r="U46"/>
  <c r="U44"/>
  <c r="H75"/>
  <c r="H42"/>
  <c r="H54"/>
  <c r="H33"/>
  <c r="T79"/>
  <c r="T111" s="1"/>
  <c r="Q79"/>
  <c r="O79"/>
  <c r="O111" s="1"/>
  <c r="S79"/>
  <c r="R79"/>
  <c r="P79"/>
  <c r="N79"/>
  <c r="N111" s="1"/>
  <c r="M79"/>
  <c r="L79"/>
  <c r="L111" s="1"/>
  <c r="K79"/>
  <c r="U75"/>
  <c r="S111"/>
  <c r="P111"/>
  <c r="K111"/>
  <c r="M111"/>
  <c r="Q111"/>
  <c r="R111"/>
  <c r="I79"/>
  <c r="J79"/>
  <c r="J111" s="1"/>
  <c r="U78"/>
  <c r="U33"/>
  <c r="H22"/>
  <c r="H79"/>
  <c r="H80" s="1"/>
  <c r="C117"/>
  <c r="U54" l="1"/>
  <c r="U79"/>
  <c r="U80" s="1"/>
  <c r="U42"/>
  <c r="U22"/>
  <c r="I111"/>
  <c r="H81"/>
  <c r="H83" s="1"/>
  <c r="U81" l="1"/>
  <c r="U111" s="1"/>
  <c r="C116" s="1"/>
  <c r="C120" l="1"/>
  <c r="H110"/>
  <c r="G111" s="1"/>
  <c r="H111" s="1"/>
</calcChain>
</file>

<file path=xl/sharedStrings.xml><?xml version="1.0" encoding="utf-8"?>
<sst xmlns="http://schemas.openxmlformats.org/spreadsheetml/2006/main" count="328" uniqueCount="243">
  <si>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</si>
  <si>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</si>
  <si>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</si>
  <si>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</si>
  <si>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</si>
  <si>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</si>
  <si>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</si>
  <si>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</si>
  <si>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</si>
  <si>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</si>
  <si>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</si>
  <si>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</si>
  <si>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</si>
  <si>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</si>
  <si>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</si>
  <si>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</si>
  <si>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</si>
  <si>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</si>
  <si>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</si>
  <si>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</si>
  <si>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</si>
  <si>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</si>
  <si>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</si>
  <si>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</si>
  <si>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</si>
  <si>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</si>
  <si>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</si>
  <si>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</si>
  <si>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</si>
  <si>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</si>
  <si>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</si>
  <si>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</si>
  <si>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</si>
  <si>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</si>
  <si>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</si>
  <si>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</si>
  <si>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</si>
  <si>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</si>
  <si>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</si>
  <si>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</si>
  <si>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</si>
  <si>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</si>
  <si>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</si>
  <si>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</si>
  <si>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</si>
  <si>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</si>
  <si>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</si>
  <si>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</si>
  <si>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</si>
  <si>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</si>
  <si>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</si>
  <si>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</si>
  <si>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</si>
  <si>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</si>
  <si>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</si>
  <si>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</si>
  <si>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</si>
  <si>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</si>
  <si>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</si>
  <si>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</si>
  <si>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</si>
  <si>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</si>
  <si>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</si>
  <si>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</si>
  <si>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</si>
  <si>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</si>
  <si>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</si>
  <si>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</si>
  <si>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м2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</si>
  <si>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</si>
  <si>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</si>
  <si>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</si>
  <si>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</si>
  <si>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</si>
  <si>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</si>
  <si>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</si>
  <si>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</si>
  <si>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</si>
  <si>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</si>
  <si>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</si>
  <si>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</si>
  <si>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</si>
  <si>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</si>
  <si>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</si>
  <si>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</si>
  <si>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</si>
  <si>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</si>
  <si>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</si>
  <si>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</si>
  <si>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</si>
  <si>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</si>
  <si>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</si>
  <si>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</si>
  <si>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</si>
  <si>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</si>
  <si>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</si>
  <si>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</si>
  <si>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</si>
  <si>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</si>
  <si>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</si>
  <si>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</si>
  <si>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</si>
  <si>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</si>
  <si>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</si>
  <si>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</si>
  <si>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 xml:space="preserve">1 раз в месяц </t>
  </si>
  <si>
    <t>Вывоз снега с придомовой территории</t>
  </si>
  <si>
    <t>1 раз в месяц</t>
  </si>
  <si>
    <t>Очистка урн от мусора</t>
  </si>
  <si>
    <t>Дератизация</t>
  </si>
  <si>
    <t>Очистка  от мусора</t>
  </si>
  <si>
    <t>1 раз в 2 месяца</t>
  </si>
  <si>
    <t>Влажная протирка шкафов для щитов и слаботочн.ус.</t>
  </si>
  <si>
    <t>30 раз за сезон</t>
  </si>
  <si>
    <t>35 раз за сезон</t>
  </si>
  <si>
    <t>Осмотр деревянных конструкций стропил</t>
  </si>
  <si>
    <t>калькуляция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</si>
  <si>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</si>
  <si>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</si>
  <si>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</si>
  <si>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</si>
  <si>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</si>
  <si>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</si>
  <si>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</si>
  <si>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</si>
  <si>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</si>
  <si>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</si>
  <si>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</si>
  <si>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</si>
  <si>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3 раза в год</t>
  </si>
  <si>
    <t>Снятие показаний эл.счетчика коммунального назначения</t>
  </si>
  <si>
    <t>5 этажей, 3 подъезда</t>
  </si>
  <si>
    <t>Стоимость (руб.)</t>
  </si>
  <si>
    <t>договор</t>
  </si>
  <si>
    <t>ТО внутридомового газ.оборудования</t>
  </si>
  <si>
    <t>Ремонт групповых щитков на лестничной клетке без ремонта автоматов</t>
  </si>
  <si>
    <t>1 м</t>
  </si>
  <si>
    <t>Смена арматуры - вентилей и клапанов обратных муфтовых диаметром до 20 мм</t>
  </si>
  <si>
    <t>1шт.</t>
  </si>
  <si>
    <t>1 шт.</t>
  </si>
  <si>
    <t>1 шт</t>
  </si>
  <si>
    <t>место</t>
  </si>
  <si>
    <t>Очистка края кровли от слежавшегося снега со сбрасыванием сосулек (10% от S кровли)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</si>
  <si>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</si>
  <si>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</si>
  <si>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</si>
  <si>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</si>
  <si>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</si>
  <si>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</si>
  <si>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</si>
  <si>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</si>
  <si>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</si>
  <si>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Осмотр шиферной кровли</t>
  </si>
  <si>
    <t>Устройство хомута диаметром до 50 мм</t>
  </si>
  <si>
    <t>100шт</t>
  </si>
  <si>
    <t>10 м2</t>
  </si>
  <si>
    <t>смета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</si>
  <si>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</si>
  <si>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</si>
  <si>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</si>
  <si>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</si>
  <si>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</si>
  <si>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</si>
  <si>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</si>
  <si>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</si>
  <si>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51-024</t>
  </si>
  <si>
    <t>ТЕР 51-022</t>
  </si>
  <si>
    <t>ТЕР 53-020</t>
  </si>
  <si>
    <t>ТЕР 53-001</t>
  </si>
  <si>
    <t>ТЕР 53-021</t>
  </si>
  <si>
    <t>ТЕР 55-003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</si>
  <si>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</si>
  <si>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</si>
  <si>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</si>
  <si>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</si>
  <si>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</si>
  <si>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</si>
  <si>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</si>
  <si>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42-007</t>
  </si>
  <si>
    <t>ТЕР 42-009</t>
  </si>
  <si>
    <t>ТЕР 42-010</t>
  </si>
  <si>
    <t>ТЕР 3-7-1в</t>
  </si>
  <si>
    <t>ТЕР 42-011</t>
  </si>
  <si>
    <t>ТЕР 42-013</t>
  </si>
  <si>
    <t>ТЕР 42-012</t>
  </si>
  <si>
    <t>ТЕР 42-014</t>
  </si>
  <si>
    <t>ТЕР 42-003</t>
  </si>
  <si>
    <t>пр.ТЕР 54-041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</si>
  <si>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</si>
  <si>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</si>
  <si>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</si>
  <si>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</si>
  <si>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</si>
  <si>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</si>
  <si>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</si>
  <si>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</si>
  <si>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</si>
  <si>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33-049</t>
  </si>
  <si>
    <t>ТЕР 33-037</t>
  </si>
  <si>
    <t>пр.ТЕР 32-098</t>
  </si>
  <si>
    <t>ТЕР 32-027</t>
  </si>
  <si>
    <t>ТЕР 33-030</t>
  </si>
  <si>
    <t>Смена трубопроводов на полипропиленовые трубы PN25 диаметром 25 мм</t>
  </si>
  <si>
    <t>Смена трубопроводов на полипропиленовые трубы PN25 диаметром 20 мм</t>
  </si>
  <si>
    <t>Баланс выполненных работ на 01.01.2017 г. ( -долг за предприятием, +долг за населением)</t>
  </si>
  <si>
    <t>Подключение и отключение сварочного аппарата</t>
  </si>
  <si>
    <t>ТЕР 33-060</t>
  </si>
  <si>
    <t>ТЕР 2-1-1б</t>
  </si>
  <si>
    <t>Внеплановая проверка вентканалов</t>
  </si>
  <si>
    <t>Ремонт и регулировка доводчика (со стоимостью доводчика)</t>
  </si>
  <si>
    <t xml:space="preserve">счёт </t>
  </si>
  <si>
    <t>Светильник светодиодный NL01-2014 8.7 Вт, 5300К с фотоакустическим выключателем (белый круг)</t>
  </si>
  <si>
    <t>ТЕР 32-089</t>
  </si>
  <si>
    <t>Смена внутренних трубопроводов из стальных труб диаметром до 50 мм</t>
  </si>
  <si>
    <t>Смена арматуры - вентилей и клапанов обратных муфтовых диаметром до 50 мм</t>
  </si>
  <si>
    <t>ТЕР 32-029</t>
  </si>
  <si>
    <t>пр.ТЕР 31-011</t>
  </si>
  <si>
    <t>Смена отводов у трубопроводов диаметром до 50 мм</t>
  </si>
  <si>
    <t>пр.ТЕР 32-101</t>
  </si>
  <si>
    <t>Прочистка засоров канализации</t>
  </si>
  <si>
    <t>3м</t>
  </si>
  <si>
    <t>Внеплановый осмотр вводных электрических щитков</t>
  </si>
  <si>
    <t>пр.ТЕР 31-061</t>
  </si>
  <si>
    <t>Смена радиаторов отопительных МС-140</t>
  </si>
  <si>
    <t>Внеплановый осмотр электросетей, армазуры и электрооборудования на лестничных клетках</t>
  </si>
  <si>
    <t>Внеплановый осмотр элекгросетей, арматуры и электрооборудования на чердаках и подвалах</t>
  </si>
  <si>
    <t>пр.ТЕР 33-048</t>
  </si>
  <si>
    <t>Смена светодиодного светильника н.о.</t>
  </si>
  <si>
    <t>пр.ТЕР 22-038</t>
  </si>
  <si>
    <t>Простая масляная окраска ранее окрашенных входных металлических дверей (I, II, III под.)</t>
  </si>
  <si>
    <t xml:space="preserve">Смена сгонов у трубопроводов диаметром до 20 мм </t>
  </si>
  <si>
    <t>1 сгон</t>
  </si>
  <si>
    <t>ТЕР 31-009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</si>
  <si>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Строительная, 7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январь-октябрь 2017 года</t>
    </r>
  </si>
  <si>
    <t>Начислено за содержание и текущий ремонт за январь-октябрь 2017 г.</t>
  </si>
  <si>
    <t>Выполнено работ по содержанию за январь-октябрь 2017 г.</t>
  </si>
  <si>
    <t>Выполнено работ по текущему ремонту за январь-октябрь 2017 г.</t>
  </si>
  <si>
    <t>Фактически оплачено за январь-октябрь 2017 г.</t>
  </si>
  <si>
    <t>Просроченная задолженность по Вашему дому по статье "Содержание и текущий ремонт МКД" на конец октября 2017 г., составляет:</t>
  </si>
  <si>
    <t>Баланс выполненных работ на 01.11.2017 г. ( -долг за предприятием, +долг за населением)</t>
  </si>
  <si>
    <t>Устройство вент.короба на чердаке (Iпод.)</t>
  </si>
  <si>
    <t>тыс.руб.</t>
  </si>
  <si>
    <t>15 раз за сезон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</si>
</sst>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5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8" fillId="0" borderId="0" xfId="0" applyFont="1" applyAlignment="1"/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5" borderId="19" xfId="0" applyFont="1" applyFill="1" applyBorder="1"/>
    <xf numFmtId="0" fontId="1" fillId="4" borderId="20" xfId="0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165" fontId="1" fillId="4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left"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0" fontId="0" fillId="12" borderId="0" xfId="0" applyFill="1"/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U124"/>
  <sheetViews>
    <sheetView tabSelected="1" view="pageBreakPreview" zoomScaleNormal="75" zoomScaleSheetLayoutView="100" workbookViewId="0">
      <pane ySplit="7" topLeftCell="A116" activePane="bottomLeft" state="frozen"/>
      <selection activeCell="B1" sqref="B1"/>
      <selection pane="bottomLeft" activeCell="B121" sqref="B121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18" width="9.85546875" customWidth="1"/>
    <col min="19" max="20" width="9.85546875" hidden="1" customWidth="1"/>
    <col min="21" max="21" width="12.28515625" customWidth="1"/>
  </cols>
  <sheetData>
    <row r="1" spans="1:21" ht="14.25" customHeight="1">
      <c r="A1" s="126"/>
    </row>
    <row r="3" spans="1:21" ht="18">
      <c r="A3" s="121"/>
      <c r="B3" s="153" t="s">
        <v>0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66"/>
      <c r="N3" s="66"/>
      <c r="O3" s="66"/>
      <c r="P3" s="66"/>
      <c r="Q3" s="66"/>
      <c r="R3" s="66"/>
      <c r="S3" s="66"/>
      <c r="T3" s="66"/>
      <c r="U3" s="66"/>
    </row>
    <row r="4" spans="1:21" ht="33.75" customHeight="1">
      <c r="A4" s="66"/>
      <c r="B4" s="154" t="s">
        <v>1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66"/>
      <c r="N4" s="66"/>
      <c r="O4" s="66"/>
      <c r="P4" s="66"/>
      <c r="Q4" s="66"/>
      <c r="R4" s="66"/>
      <c r="S4" s="66"/>
      <c r="T4" s="66"/>
      <c r="U4" s="66"/>
    </row>
    <row r="5" spans="1:21" ht="18">
      <c r="A5" s="66"/>
      <c r="B5" s="154" t="s">
        <v>233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66"/>
      <c r="N5" s="66"/>
      <c r="O5" s="66"/>
      <c r="P5" s="66"/>
      <c r="Q5" s="66"/>
      <c r="R5" s="66"/>
      <c r="S5" s="66"/>
      <c r="T5" s="66"/>
      <c r="U5" s="66"/>
    </row>
    <row r="6" spans="1:21" ht="15">
      <c r="A6" s="66"/>
      <c r="B6" s="155" t="s">
        <v>131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66"/>
      <c r="N6" s="66"/>
      <c r="O6" s="66"/>
      <c r="P6" s="66"/>
      <c r="Q6" s="66"/>
      <c r="R6" s="66"/>
      <c r="S6" s="66"/>
      <c r="T6" s="66"/>
      <c r="U6" s="66"/>
    </row>
    <row r="7" spans="1:21" ht="46.5" customHeight="1">
      <c r="A7" s="127" t="s">
        <v>2</v>
      </c>
      <c r="B7" s="128" t="s">
        <v>3</v>
      </c>
      <c r="C7" s="128" t="s">
        <v>4</v>
      </c>
      <c r="D7" s="128" t="s">
        <v>5</v>
      </c>
      <c r="E7" s="128" t="s">
        <v>6</v>
      </c>
      <c r="F7" s="128" t="s">
        <v>7</v>
      </c>
      <c r="G7" s="128" t="s">
        <v>8</v>
      </c>
      <c r="H7" s="129" t="s">
        <v>9</v>
      </c>
      <c r="I7" s="23" t="s">
        <v>117</v>
      </c>
      <c r="J7" s="23" t="s">
        <v>118</v>
      </c>
      <c r="K7" s="23" t="s">
        <v>119</v>
      </c>
      <c r="L7" s="23" t="s">
        <v>120</v>
      </c>
      <c r="M7" s="23" t="s">
        <v>121</v>
      </c>
      <c r="N7" s="23" t="s">
        <v>122</v>
      </c>
      <c r="O7" s="23" t="s">
        <v>123</v>
      </c>
      <c r="P7" s="23" t="s">
        <v>124</v>
      </c>
      <c r="Q7" s="23" t="s">
        <v>125</v>
      </c>
      <c r="R7" s="23" t="s">
        <v>126</v>
      </c>
      <c r="S7" s="23" t="s">
        <v>127</v>
      </c>
      <c r="T7" s="23" t="s">
        <v>128</v>
      </c>
      <c r="U7" s="23" t="s">
        <v>132</v>
      </c>
    </row>
    <row r="8" spans="1:21">
      <c r="A8" s="130">
        <v>1</v>
      </c>
      <c r="B8" s="7">
        <v>2</v>
      </c>
      <c r="C8" s="24">
        <v>3</v>
      </c>
      <c r="D8" s="7">
        <v>4</v>
      </c>
      <c r="E8" s="7">
        <v>5</v>
      </c>
      <c r="F8" s="24">
        <v>6</v>
      </c>
      <c r="G8" s="24">
        <v>7</v>
      </c>
      <c r="H8" s="25">
        <v>8</v>
      </c>
      <c r="I8" s="26">
        <v>9</v>
      </c>
      <c r="J8" s="26">
        <v>10</v>
      </c>
      <c r="K8" s="26">
        <v>11</v>
      </c>
      <c r="L8" s="26">
        <v>12</v>
      </c>
      <c r="M8" s="26">
        <v>13</v>
      </c>
      <c r="N8" s="26">
        <v>14</v>
      </c>
      <c r="O8" s="26">
        <v>15</v>
      </c>
      <c r="P8" s="26">
        <v>16</v>
      </c>
      <c r="Q8" s="26">
        <v>17</v>
      </c>
      <c r="R8" s="26">
        <v>18</v>
      </c>
      <c r="S8" s="26">
        <v>19</v>
      </c>
      <c r="T8" s="26">
        <v>20</v>
      </c>
      <c r="U8" s="26">
        <v>19</v>
      </c>
    </row>
    <row r="9" spans="1:21" ht="38.25">
      <c r="A9" s="130"/>
      <c r="B9" s="9" t="s">
        <v>10</v>
      </c>
      <c r="C9" s="24"/>
      <c r="D9" s="10"/>
      <c r="E9" s="10"/>
      <c r="F9" s="24"/>
      <c r="G9" s="24"/>
      <c r="H9" s="27"/>
      <c r="I9" s="28"/>
      <c r="J9" s="28"/>
      <c r="K9" s="28"/>
      <c r="L9" s="28"/>
      <c r="M9" s="29"/>
      <c r="N9" s="30"/>
      <c r="O9" s="30"/>
      <c r="P9" s="30"/>
      <c r="Q9" s="30"/>
      <c r="R9" s="30"/>
      <c r="S9" s="30"/>
      <c r="T9" s="30"/>
      <c r="U9" s="30"/>
    </row>
    <row r="10" spans="1:21">
      <c r="A10" s="130"/>
      <c r="B10" s="9" t="s">
        <v>11</v>
      </c>
      <c r="C10" s="24"/>
      <c r="D10" s="10"/>
      <c r="E10" s="10"/>
      <c r="F10" s="24"/>
      <c r="G10" s="24"/>
      <c r="H10" s="27"/>
      <c r="I10" s="28"/>
      <c r="J10" s="28"/>
      <c r="K10" s="28"/>
      <c r="L10" s="28"/>
      <c r="M10" s="29"/>
      <c r="N10" s="30"/>
      <c r="O10" s="30"/>
      <c r="P10" s="30"/>
      <c r="Q10" s="30"/>
      <c r="R10" s="30"/>
      <c r="S10" s="30"/>
      <c r="T10" s="30"/>
      <c r="U10" s="30"/>
    </row>
    <row r="11" spans="1:21" ht="25.5">
      <c r="A11" s="130" t="s">
        <v>157</v>
      </c>
      <c r="B11" s="10" t="s">
        <v>12</v>
      </c>
      <c r="C11" s="24" t="s">
        <v>13</v>
      </c>
      <c r="D11" s="10" t="s">
        <v>14</v>
      </c>
      <c r="E11" s="31">
        <v>49.72</v>
      </c>
      <c r="F11" s="32">
        <f>SUM(E11*156/100)</f>
        <v>77.563199999999995</v>
      </c>
      <c r="G11" s="32">
        <v>187.48</v>
      </c>
      <c r="H11" s="33">
        <f t="shared" ref="H11:H20" si="0">SUM(F11*G11/1000)</f>
        <v>14.541548735999999</v>
      </c>
      <c r="I11" s="34">
        <f>F11/12*G11</f>
        <v>1211.7957279999998</v>
      </c>
      <c r="J11" s="34">
        <f>F11/12*G11</f>
        <v>1211.7957279999998</v>
      </c>
      <c r="K11" s="34">
        <f>F11/12*G11</f>
        <v>1211.7957279999998</v>
      </c>
      <c r="L11" s="34">
        <f>F11/12*G11</f>
        <v>1211.7957279999998</v>
      </c>
      <c r="M11" s="34">
        <f>F11/12*G11</f>
        <v>1211.7957279999998</v>
      </c>
      <c r="N11" s="34">
        <f>F11/12*G11</f>
        <v>1211.7957279999998</v>
      </c>
      <c r="O11" s="34">
        <f>F11/12*G11</f>
        <v>1211.7957279999998</v>
      </c>
      <c r="P11" s="34">
        <f>F11/12*G11</f>
        <v>1211.7957279999998</v>
      </c>
      <c r="Q11" s="34">
        <f>F11/12*G11</f>
        <v>1211.7957279999998</v>
      </c>
      <c r="R11" s="34">
        <f>F11/12*G11</f>
        <v>1211.7957279999998</v>
      </c>
      <c r="S11" s="34">
        <f>F11/12*G11</f>
        <v>1211.7957279999998</v>
      </c>
      <c r="T11" s="34">
        <f>F11/12*G11</f>
        <v>1211.7957279999998</v>
      </c>
      <c r="U11" s="34">
        <f>SUM(I11:R11)</f>
        <v>12117.957279999997</v>
      </c>
    </row>
    <row r="12" spans="1:21" ht="25.5">
      <c r="A12" s="130" t="s">
        <v>157</v>
      </c>
      <c r="B12" s="10" t="s">
        <v>15</v>
      </c>
      <c r="C12" s="24" t="s">
        <v>13</v>
      </c>
      <c r="D12" s="10" t="s">
        <v>16</v>
      </c>
      <c r="E12" s="31">
        <v>198.88</v>
      </c>
      <c r="F12" s="32">
        <f>SUM(E12*104/100)</f>
        <v>206.83520000000001</v>
      </c>
      <c r="G12" s="32">
        <v>187.48</v>
      </c>
      <c r="H12" s="33">
        <f t="shared" si="0"/>
        <v>38.777463296000001</v>
      </c>
      <c r="I12" s="34">
        <f>F12/12*G12</f>
        <v>3231.4552746666668</v>
      </c>
      <c r="J12" s="34">
        <f>F12/12*G12</f>
        <v>3231.4552746666668</v>
      </c>
      <c r="K12" s="34">
        <f>F12/12*G12</f>
        <v>3231.4552746666668</v>
      </c>
      <c r="L12" s="34">
        <f>F12/12*G12</f>
        <v>3231.4552746666668</v>
      </c>
      <c r="M12" s="34">
        <f>F12/12*G12</f>
        <v>3231.4552746666668</v>
      </c>
      <c r="N12" s="34">
        <f>F12/12*G12</f>
        <v>3231.4552746666668</v>
      </c>
      <c r="O12" s="34">
        <f>F12/12*G12</f>
        <v>3231.4552746666668</v>
      </c>
      <c r="P12" s="34">
        <f>F12/12*G12</f>
        <v>3231.4552746666668</v>
      </c>
      <c r="Q12" s="34">
        <f>F12/12*G12</f>
        <v>3231.4552746666668</v>
      </c>
      <c r="R12" s="34">
        <f>F12/12*G12</f>
        <v>3231.4552746666668</v>
      </c>
      <c r="S12" s="34">
        <f>F12/12*G12</f>
        <v>3231.4552746666668</v>
      </c>
      <c r="T12" s="34">
        <f>F12/12*G12</f>
        <v>3231.4552746666668</v>
      </c>
      <c r="U12" s="34">
        <f t="shared" ref="U12:U21" si="1">SUM(I12:R12)</f>
        <v>32314.552746666668</v>
      </c>
    </row>
    <row r="13" spans="1:21" ht="25.5">
      <c r="A13" s="130" t="s">
        <v>158</v>
      </c>
      <c r="B13" s="10" t="s">
        <v>17</v>
      </c>
      <c r="C13" s="24" t="s">
        <v>13</v>
      </c>
      <c r="D13" s="10" t="s">
        <v>18</v>
      </c>
      <c r="E13" s="31">
        <v>248.6</v>
      </c>
      <c r="F13" s="32">
        <f>SUM(E13*24/100)</f>
        <v>59.663999999999994</v>
      </c>
      <c r="G13" s="32">
        <v>539.30999999999995</v>
      </c>
      <c r="H13" s="33">
        <f t="shared" si="0"/>
        <v>32.177391839999991</v>
      </c>
      <c r="I13" s="34">
        <f>F13/12*G13</f>
        <v>2681.4493199999993</v>
      </c>
      <c r="J13" s="34">
        <f>F13/12*G13</f>
        <v>2681.4493199999993</v>
      </c>
      <c r="K13" s="34">
        <f>F13/12*G13</f>
        <v>2681.4493199999993</v>
      </c>
      <c r="L13" s="34">
        <f>F13/12*G13</f>
        <v>2681.4493199999993</v>
      </c>
      <c r="M13" s="34">
        <f>F13/12*G13</f>
        <v>2681.4493199999993</v>
      </c>
      <c r="N13" s="34">
        <f>F13/12*G13</f>
        <v>2681.4493199999993</v>
      </c>
      <c r="O13" s="34">
        <f>F13/12*G13</f>
        <v>2681.4493199999993</v>
      </c>
      <c r="P13" s="34">
        <f>F13/12*G13</f>
        <v>2681.4493199999993</v>
      </c>
      <c r="Q13" s="34">
        <f>F13/12*G13</f>
        <v>2681.4493199999993</v>
      </c>
      <c r="R13" s="34">
        <f>F13/12*G13</f>
        <v>2681.4493199999993</v>
      </c>
      <c r="S13" s="34">
        <f>F13/12*G13</f>
        <v>2681.4493199999993</v>
      </c>
      <c r="T13" s="34">
        <f>F13/12*G13</f>
        <v>2681.4493199999993</v>
      </c>
      <c r="U13" s="34">
        <f t="shared" si="1"/>
        <v>26814.493199999994</v>
      </c>
    </row>
    <row r="14" spans="1:21">
      <c r="A14" s="130" t="s">
        <v>159</v>
      </c>
      <c r="B14" s="10" t="s">
        <v>19</v>
      </c>
      <c r="C14" s="24" t="s">
        <v>20</v>
      </c>
      <c r="D14" s="10" t="s">
        <v>99</v>
      </c>
      <c r="E14" s="31">
        <v>18.48</v>
      </c>
      <c r="F14" s="32">
        <f>SUM(E14/10)</f>
        <v>1.8480000000000001</v>
      </c>
      <c r="G14" s="32">
        <v>181.91</v>
      </c>
      <c r="H14" s="33">
        <f t="shared" si="0"/>
        <v>0.33616968000000003</v>
      </c>
      <c r="I14" s="34">
        <v>0</v>
      </c>
      <c r="J14" s="34">
        <v>0</v>
      </c>
      <c r="K14" s="34">
        <v>0</v>
      </c>
      <c r="L14" s="34">
        <v>0</v>
      </c>
      <c r="M14" s="34">
        <f>F14/2*G14</f>
        <v>168.08484000000001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f t="shared" si="1"/>
        <v>168.08484000000001</v>
      </c>
    </row>
    <row r="15" spans="1:21">
      <c r="A15" s="130" t="s">
        <v>160</v>
      </c>
      <c r="B15" s="10" t="s">
        <v>21</v>
      </c>
      <c r="C15" s="24" t="s">
        <v>13</v>
      </c>
      <c r="D15" s="10" t="s">
        <v>105</v>
      </c>
      <c r="E15" s="31">
        <v>10.5</v>
      </c>
      <c r="F15" s="32">
        <f>SUM(E15*12/100)</f>
        <v>1.26</v>
      </c>
      <c r="G15" s="32">
        <v>232.92</v>
      </c>
      <c r="H15" s="33">
        <f t="shared" si="0"/>
        <v>0.2934792</v>
      </c>
      <c r="I15" s="34">
        <f>F15/12*G15</f>
        <v>24.456599999999998</v>
      </c>
      <c r="J15" s="34">
        <f>F15/12*G15</f>
        <v>24.456599999999998</v>
      </c>
      <c r="K15" s="34">
        <f>F15/12*G15</f>
        <v>24.456599999999998</v>
      </c>
      <c r="L15" s="34">
        <f>F15/12*G15</f>
        <v>24.456599999999998</v>
      </c>
      <c r="M15" s="34">
        <f>F15/12*G15</f>
        <v>24.456599999999998</v>
      </c>
      <c r="N15" s="34">
        <f>F15/12*G15</f>
        <v>24.456599999999998</v>
      </c>
      <c r="O15" s="34">
        <f>F15/12*G15</f>
        <v>24.456599999999998</v>
      </c>
      <c r="P15" s="34">
        <f>F15/12*G15</f>
        <v>24.456599999999998</v>
      </c>
      <c r="Q15" s="34">
        <f>F15/12*G15</f>
        <v>24.456599999999998</v>
      </c>
      <c r="R15" s="34">
        <f>F15/12*G15</f>
        <v>24.456599999999998</v>
      </c>
      <c r="S15" s="34">
        <f>F15/12*G15</f>
        <v>24.456599999999998</v>
      </c>
      <c r="T15" s="34">
        <f>F15/12*G15</f>
        <v>24.456599999999998</v>
      </c>
      <c r="U15" s="34">
        <f t="shared" si="1"/>
        <v>244.56600000000003</v>
      </c>
    </row>
    <row r="16" spans="1:21">
      <c r="A16" s="130" t="s">
        <v>161</v>
      </c>
      <c r="B16" s="10" t="s">
        <v>22</v>
      </c>
      <c r="C16" s="24" t="s">
        <v>13</v>
      </c>
      <c r="D16" s="10" t="s">
        <v>111</v>
      </c>
      <c r="E16" s="31">
        <v>2.7</v>
      </c>
      <c r="F16" s="32">
        <f>SUM(E16*6/100)</f>
        <v>0.16200000000000003</v>
      </c>
      <c r="G16" s="32">
        <v>231.03</v>
      </c>
      <c r="H16" s="33">
        <f t="shared" si="0"/>
        <v>3.7426860000000006E-2</v>
      </c>
      <c r="I16" s="34">
        <f>F16/6*G16</f>
        <v>6.2378100000000014</v>
      </c>
      <c r="J16" s="34">
        <v>0</v>
      </c>
      <c r="K16" s="34">
        <f>F16/6*G16</f>
        <v>6.2378100000000014</v>
      </c>
      <c r="L16" s="34">
        <v>0</v>
      </c>
      <c r="M16" s="34">
        <f>F16/6*G16</f>
        <v>6.2378100000000014</v>
      </c>
      <c r="N16" s="34">
        <v>0</v>
      </c>
      <c r="O16" s="34">
        <f>F16/6*G16</f>
        <v>6.2378100000000014</v>
      </c>
      <c r="P16" s="34">
        <v>0</v>
      </c>
      <c r="Q16" s="34">
        <f>F16/6*G16</f>
        <v>6.2378100000000014</v>
      </c>
      <c r="R16" s="34">
        <v>0</v>
      </c>
      <c r="S16" s="34">
        <f>F16/6*G16</f>
        <v>6.2378100000000014</v>
      </c>
      <c r="T16" s="34">
        <v>0</v>
      </c>
      <c r="U16" s="34">
        <f t="shared" si="1"/>
        <v>31.189050000000009</v>
      </c>
    </row>
    <row r="17" spans="1:21">
      <c r="A17" s="130" t="s">
        <v>162</v>
      </c>
      <c r="B17" s="10" t="s">
        <v>23</v>
      </c>
      <c r="C17" s="24" t="s">
        <v>24</v>
      </c>
      <c r="D17" s="10" t="s">
        <v>99</v>
      </c>
      <c r="E17" s="31">
        <v>267.75</v>
      </c>
      <c r="F17" s="32">
        <f>SUM(E17/100)</f>
        <v>2.6775000000000002</v>
      </c>
      <c r="G17" s="32">
        <v>287.83999999999997</v>
      </c>
      <c r="H17" s="33">
        <f t="shared" si="0"/>
        <v>0.77069160000000003</v>
      </c>
      <c r="I17" s="34">
        <v>0</v>
      </c>
      <c r="J17" s="34">
        <v>0</v>
      </c>
      <c r="K17" s="34">
        <v>0</v>
      </c>
      <c r="L17" s="34">
        <v>0</v>
      </c>
      <c r="M17" s="34">
        <f>F17*G17</f>
        <v>770.69159999999999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f t="shared" si="1"/>
        <v>770.69159999999999</v>
      </c>
    </row>
    <row r="18" spans="1:21">
      <c r="A18" s="130" t="s">
        <v>163</v>
      </c>
      <c r="B18" s="10" t="s">
        <v>25</v>
      </c>
      <c r="C18" s="24" t="s">
        <v>24</v>
      </c>
      <c r="D18" s="10" t="s">
        <v>99</v>
      </c>
      <c r="E18" s="36">
        <v>36.229999999999997</v>
      </c>
      <c r="F18" s="32">
        <f>SUM(E18/100)</f>
        <v>0.36229999999999996</v>
      </c>
      <c r="G18" s="32">
        <v>47.34</v>
      </c>
      <c r="H18" s="33">
        <f t="shared" si="0"/>
        <v>1.7151281999999997E-2</v>
      </c>
      <c r="I18" s="34">
        <v>0</v>
      </c>
      <c r="J18" s="34">
        <v>0</v>
      </c>
      <c r="K18" s="34">
        <v>0</v>
      </c>
      <c r="L18" s="34">
        <v>0</v>
      </c>
      <c r="M18" s="34">
        <f t="shared" ref="M18:M21" si="2">F18*G18</f>
        <v>17.151281999999998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f t="shared" si="1"/>
        <v>17.151281999999998</v>
      </c>
    </row>
    <row r="19" spans="1:21">
      <c r="A19" s="130" t="s">
        <v>164</v>
      </c>
      <c r="B19" s="10" t="s">
        <v>26</v>
      </c>
      <c r="C19" s="24" t="s">
        <v>24</v>
      </c>
      <c r="D19" s="10" t="s">
        <v>34</v>
      </c>
      <c r="E19" s="31">
        <v>15</v>
      </c>
      <c r="F19" s="32">
        <f>E19/100</f>
        <v>0.15</v>
      </c>
      <c r="G19" s="32">
        <v>416.62</v>
      </c>
      <c r="H19" s="33">
        <f t="shared" si="0"/>
        <v>6.2492999999999993E-2</v>
      </c>
      <c r="I19" s="34">
        <v>0</v>
      </c>
      <c r="J19" s="34">
        <v>0</v>
      </c>
      <c r="K19" s="34">
        <v>0</v>
      </c>
      <c r="L19" s="34">
        <v>0</v>
      </c>
      <c r="M19" s="34">
        <f t="shared" si="2"/>
        <v>62.492999999999995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f t="shared" si="1"/>
        <v>62.492999999999995</v>
      </c>
    </row>
    <row r="20" spans="1:21">
      <c r="A20" s="130" t="s">
        <v>165</v>
      </c>
      <c r="B20" s="10" t="s">
        <v>27</v>
      </c>
      <c r="C20" s="24" t="s">
        <v>24</v>
      </c>
      <c r="D20" s="10" t="s">
        <v>34</v>
      </c>
      <c r="E20" s="31">
        <v>6.38</v>
      </c>
      <c r="F20" s="32">
        <f>SUM(E20/100)</f>
        <v>6.3799999999999996E-2</v>
      </c>
      <c r="G20" s="32">
        <v>556.74</v>
      </c>
      <c r="H20" s="33">
        <f t="shared" si="0"/>
        <v>3.5520012000000004E-2</v>
      </c>
      <c r="I20" s="34">
        <v>0</v>
      </c>
      <c r="J20" s="34">
        <v>0</v>
      </c>
      <c r="K20" s="34">
        <v>0</v>
      </c>
      <c r="L20" s="34">
        <v>0</v>
      </c>
      <c r="M20" s="34">
        <f t="shared" si="2"/>
        <v>35.520012000000001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f t="shared" si="1"/>
        <v>35.520012000000001</v>
      </c>
    </row>
    <row r="21" spans="1:21" ht="25.5">
      <c r="A21" s="130" t="s">
        <v>166</v>
      </c>
      <c r="B21" s="10" t="s">
        <v>112</v>
      </c>
      <c r="C21" s="24" t="s">
        <v>24</v>
      </c>
      <c r="D21" s="10" t="s">
        <v>34</v>
      </c>
      <c r="E21" s="31">
        <v>14.25</v>
      </c>
      <c r="F21" s="32">
        <v>0.14000000000000001</v>
      </c>
      <c r="G21" s="32">
        <v>231.03</v>
      </c>
      <c r="H21" s="33">
        <f>G21*F21/1000</f>
        <v>3.2344200000000004E-2</v>
      </c>
      <c r="I21" s="34">
        <v>0</v>
      </c>
      <c r="J21" s="34">
        <v>0</v>
      </c>
      <c r="K21" s="34">
        <v>0</v>
      </c>
      <c r="L21" s="34">
        <v>0</v>
      </c>
      <c r="M21" s="34">
        <f t="shared" si="2"/>
        <v>32.344200000000001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f t="shared" si="1"/>
        <v>32.344200000000001</v>
      </c>
    </row>
    <row r="22" spans="1:21" s="18" customFormat="1">
      <c r="A22" s="131"/>
      <c r="B22" s="19" t="s">
        <v>28</v>
      </c>
      <c r="C22" s="37"/>
      <c r="D22" s="19"/>
      <c r="E22" s="38"/>
      <c r="F22" s="39"/>
      <c r="G22" s="39"/>
      <c r="H22" s="40">
        <f>SUM(H11:H21)</f>
        <v>87.081679706000003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>
        <f>SUM(U11:U21)</f>
        <v>72609.04321066667</v>
      </c>
    </row>
    <row r="23" spans="1:21">
      <c r="A23" s="130"/>
      <c r="B23" s="11" t="s">
        <v>29</v>
      </c>
      <c r="C23" s="24"/>
      <c r="D23" s="10"/>
      <c r="E23" s="31"/>
      <c r="F23" s="32"/>
      <c r="G23" s="32"/>
      <c r="H23" s="33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</row>
    <row r="24" spans="1:21" ht="25.5" customHeight="1">
      <c r="A24" s="130" t="s">
        <v>167</v>
      </c>
      <c r="B24" s="10" t="s">
        <v>143</v>
      </c>
      <c r="C24" s="24" t="s">
        <v>31</v>
      </c>
      <c r="D24" s="10" t="s">
        <v>30</v>
      </c>
      <c r="E24" s="32">
        <v>665</v>
      </c>
      <c r="F24" s="32">
        <f>SUM(E24*52/1000)</f>
        <v>34.58</v>
      </c>
      <c r="G24" s="32">
        <v>166.65</v>
      </c>
      <c r="H24" s="33">
        <f t="shared" ref="H24:H32" si="3">SUM(F24*G24/1000)</f>
        <v>5.7627569999999997</v>
      </c>
      <c r="I24" s="34">
        <v>0</v>
      </c>
      <c r="J24" s="34">
        <v>0</v>
      </c>
      <c r="K24" s="34">
        <v>0</v>
      </c>
      <c r="L24" s="34">
        <v>0</v>
      </c>
      <c r="M24" s="34">
        <f>F24/6*G24</f>
        <v>960.45949999999993</v>
      </c>
      <c r="N24" s="34">
        <f>F24/6*G24</f>
        <v>960.45949999999993</v>
      </c>
      <c r="O24" s="34">
        <f>F24/6*G24</f>
        <v>960.45949999999993</v>
      </c>
      <c r="P24" s="34">
        <f>F24/6*G24</f>
        <v>960.45949999999993</v>
      </c>
      <c r="Q24" s="34">
        <f>F24/6*G24</f>
        <v>960.45949999999993</v>
      </c>
      <c r="R24" s="34">
        <f>F24/6*G24</f>
        <v>960.45949999999993</v>
      </c>
      <c r="S24" s="34">
        <v>0</v>
      </c>
      <c r="T24" s="34">
        <v>0</v>
      </c>
      <c r="U24" s="34">
        <f t="shared" ref="U24:U32" si="4">SUM(I24:R24)</f>
        <v>5762.7569999999996</v>
      </c>
    </row>
    <row r="25" spans="1:21" ht="38.25" customHeight="1">
      <c r="A25" s="130" t="s">
        <v>168</v>
      </c>
      <c r="B25" s="10" t="s">
        <v>144</v>
      </c>
      <c r="C25" s="24" t="s">
        <v>31</v>
      </c>
      <c r="D25" s="10" t="s">
        <v>32</v>
      </c>
      <c r="E25" s="32">
        <v>81.5</v>
      </c>
      <c r="F25" s="32">
        <f>SUM(E25*78/1000)</f>
        <v>6.3570000000000002</v>
      </c>
      <c r="G25" s="32">
        <v>276.48</v>
      </c>
      <c r="H25" s="33">
        <f t="shared" si="3"/>
        <v>1.7575833600000001</v>
      </c>
      <c r="I25" s="34">
        <v>0</v>
      </c>
      <c r="J25" s="34">
        <v>0</v>
      </c>
      <c r="K25" s="34">
        <v>0</v>
      </c>
      <c r="L25" s="34">
        <v>0</v>
      </c>
      <c r="M25" s="34">
        <f>F25/6*G25</f>
        <v>292.93056000000007</v>
      </c>
      <c r="N25" s="34">
        <f>F25/6*G25</f>
        <v>292.93056000000007</v>
      </c>
      <c r="O25" s="34">
        <f>F25/6*G25</f>
        <v>292.93056000000007</v>
      </c>
      <c r="P25" s="34">
        <f>F25/6*G25</f>
        <v>292.93056000000007</v>
      </c>
      <c r="Q25" s="34">
        <f>F25/6*G25</f>
        <v>292.93056000000007</v>
      </c>
      <c r="R25" s="34">
        <f>F25/6*G25</f>
        <v>292.93056000000007</v>
      </c>
      <c r="S25" s="34">
        <v>0</v>
      </c>
      <c r="T25" s="34">
        <v>0</v>
      </c>
      <c r="U25" s="34">
        <f t="shared" si="4"/>
        <v>1757.5833600000003</v>
      </c>
    </row>
    <row r="26" spans="1:21">
      <c r="A26" s="130" t="s">
        <v>169</v>
      </c>
      <c r="B26" s="10" t="s">
        <v>33</v>
      </c>
      <c r="C26" s="24" t="s">
        <v>31</v>
      </c>
      <c r="D26" s="10" t="s">
        <v>34</v>
      </c>
      <c r="E26" s="32">
        <v>665</v>
      </c>
      <c r="F26" s="32">
        <f>SUM(E26/1000)</f>
        <v>0.66500000000000004</v>
      </c>
      <c r="G26" s="32">
        <v>3228.73</v>
      </c>
      <c r="H26" s="33">
        <f t="shared" si="3"/>
        <v>2.1471054500000002</v>
      </c>
      <c r="I26" s="34">
        <v>0</v>
      </c>
      <c r="J26" s="34">
        <v>0</v>
      </c>
      <c r="K26" s="34">
        <v>0</v>
      </c>
      <c r="L26" s="34">
        <v>0</v>
      </c>
      <c r="M26" s="34">
        <f>F26*G26</f>
        <v>2147.10545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f t="shared" si="4"/>
        <v>2147.10545</v>
      </c>
    </row>
    <row r="27" spans="1:21">
      <c r="A27" s="130" t="s">
        <v>170</v>
      </c>
      <c r="B27" s="10" t="s">
        <v>108</v>
      </c>
      <c r="C27" s="24" t="s">
        <v>61</v>
      </c>
      <c r="D27" s="10" t="s">
        <v>37</v>
      </c>
      <c r="E27" s="32">
        <v>3</v>
      </c>
      <c r="F27" s="32">
        <f>E27*155/100</f>
        <v>4.6500000000000004</v>
      </c>
      <c r="G27" s="32">
        <v>1391.86</v>
      </c>
      <c r="H27" s="33">
        <f>G27*F27/1000</f>
        <v>6.4721489999999999</v>
      </c>
      <c r="I27" s="34">
        <v>0</v>
      </c>
      <c r="J27" s="34">
        <v>0</v>
      </c>
      <c r="K27" s="34">
        <v>0</v>
      </c>
      <c r="L27" s="34">
        <v>0</v>
      </c>
      <c r="M27" s="34">
        <f>F27/6*G27</f>
        <v>1078.6914999999999</v>
      </c>
      <c r="N27" s="34">
        <f>F27/6*G27</f>
        <v>1078.6914999999999</v>
      </c>
      <c r="O27" s="34">
        <f>F27/6*G27</f>
        <v>1078.6914999999999</v>
      </c>
      <c r="P27" s="34">
        <f>F27/6*G27</f>
        <v>1078.6914999999999</v>
      </c>
      <c r="Q27" s="34">
        <f>F27/6*G27</f>
        <v>1078.6914999999999</v>
      </c>
      <c r="R27" s="34">
        <f>F27/6*G27</f>
        <v>1078.6914999999999</v>
      </c>
      <c r="S27" s="34">
        <v>0</v>
      </c>
      <c r="T27" s="34">
        <v>0</v>
      </c>
      <c r="U27" s="34">
        <f t="shared" si="4"/>
        <v>6472.1489999999994</v>
      </c>
    </row>
    <row r="28" spans="1:21">
      <c r="A28" s="130" t="s">
        <v>171</v>
      </c>
      <c r="B28" s="10" t="s">
        <v>35</v>
      </c>
      <c r="C28" s="24" t="s">
        <v>36</v>
      </c>
      <c r="D28" s="10" t="s">
        <v>37</v>
      </c>
      <c r="E28" s="43">
        <v>0.33333333333333331</v>
      </c>
      <c r="F28" s="32">
        <f>155/3</f>
        <v>51.666666666666664</v>
      </c>
      <c r="G28" s="32">
        <v>60.6</v>
      </c>
      <c r="H28" s="33">
        <f>SUM(G28*155/3/1000)</f>
        <v>3.1309999999999998</v>
      </c>
      <c r="I28" s="34">
        <v>0</v>
      </c>
      <c r="J28" s="34">
        <v>0</v>
      </c>
      <c r="K28" s="34">
        <v>0</v>
      </c>
      <c r="L28" s="34">
        <v>0</v>
      </c>
      <c r="M28" s="34">
        <f>F28/6*G28</f>
        <v>521.83333333333337</v>
      </c>
      <c r="N28" s="34">
        <f>F28/6*G28</f>
        <v>521.83333333333337</v>
      </c>
      <c r="O28" s="34">
        <f>F28/6*G28</f>
        <v>521.83333333333337</v>
      </c>
      <c r="P28" s="34">
        <f>F28/6*G28</f>
        <v>521.83333333333337</v>
      </c>
      <c r="Q28" s="34">
        <f>F28/6*G28</f>
        <v>521.83333333333337</v>
      </c>
      <c r="R28" s="34">
        <f>F28/6*G28</f>
        <v>521.83333333333337</v>
      </c>
      <c r="S28" s="34">
        <v>0</v>
      </c>
      <c r="T28" s="34">
        <v>0</v>
      </c>
      <c r="U28" s="34">
        <f t="shared" si="4"/>
        <v>3131.0000000000005</v>
      </c>
    </row>
    <row r="29" spans="1:21" ht="12.75" customHeight="1">
      <c r="A29" s="130" t="s">
        <v>172</v>
      </c>
      <c r="B29" s="10" t="s">
        <v>38</v>
      </c>
      <c r="C29" s="24" t="s">
        <v>39</v>
      </c>
      <c r="D29" s="10" t="s">
        <v>40</v>
      </c>
      <c r="E29" s="44">
        <v>0.1</v>
      </c>
      <c r="F29" s="32">
        <f>SUM(E29*365)</f>
        <v>36.5</v>
      </c>
      <c r="G29" s="32">
        <v>157.18</v>
      </c>
      <c r="H29" s="33">
        <f t="shared" si="3"/>
        <v>5.737070000000001</v>
      </c>
      <c r="I29" s="34">
        <f>F29/12*G29</f>
        <v>478.08916666666664</v>
      </c>
      <c r="J29" s="34">
        <f>F29/12*G29</f>
        <v>478.08916666666664</v>
      </c>
      <c r="K29" s="34">
        <f>F29/12*G29</f>
        <v>478.08916666666664</v>
      </c>
      <c r="L29" s="34">
        <f>F29/12*G29</f>
        <v>478.08916666666664</v>
      </c>
      <c r="M29" s="34">
        <f>F29/12*G29</f>
        <v>478.08916666666664</v>
      </c>
      <c r="N29" s="34">
        <f>F29/12*G29</f>
        <v>478.08916666666664</v>
      </c>
      <c r="O29" s="34">
        <f>F29/12*G29</f>
        <v>478.08916666666664</v>
      </c>
      <c r="P29" s="34">
        <f>F29/12*G29</f>
        <v>478.08916666666664</v>
      </c>
      <c r="Q29" s="34">
        <f>F29/12*G29</f>
        <v>478.08916666666664</v>
      </c>
      <c r="R29" s="34">
        <f>F29/12*G29</f>
        <v>478.08916666666664</v>
      </c>
      <c r="S29" s="34">
        <f>F29/12*G29</f>
        <v>478.08916666666664</v>
      </c>
      <c r="T29" s="34">
        <f>F29/12*G29</f>
        <v>478.08916666666664</v>
      </c>
      <c r="U29" s="34">
        <f t="shared" si="4"/>
        <v>4780.8916666666664</v>
      </c>
    </row>
    <row r="30" spans="1:21" ht="12.75" customHeight="1">
      <c r="A30" s="130" t="s">
        <v>173</v>
      </c>
      <c r="B30" s="10" t="s">
        <v>145</v>
      </c>
      <c r="C30" s="24" t="s">
        <v>39</v>
      </c>
      <c r="D30" s="10" t="s">
        <v>41</v>
      </c>
      <c r="E30" s="31"/>
      <c r="F30" s="32">
        <v>3</v>
      </c>
      <c r="G30" s="32">
        <v>204.52</v>
      </c>
      <c r="H30" s="33">
        <f t="shared" si="3"/>
        <v>0.61356000000000011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f t="shared" si="4"/>
        <v>0</v>
      </c>
    </row>
    <row r="31" spans="1:21" ht="12.75" customHeight="1">
      <c r="A31" s="130" t="s">
        <v>116</v>
      </c>
      <c r="B31" s="10" t="s">
        <v>146</v>
      </c>
      <c r="C31" s="24" t="s">
        <v>42</v>
      </c>
      <c r="D31" s="10" t="s">
        <v>41</v>
      </c>
      <c r="E31" s="31"/>
      <c r="F31" s="32">
        <v>2</v>
      </c>
      <c r="G31" s="32">
        <v>1214.73</v>
      </c>
      <c r="H31" s="33">
        <f t="shared" si="3"/>
        <v>2.4294600000000002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f t="shared" si="4"/>
        <v>0</v>
      </c>
    </row>
    <row r="32" spans="1:21">
      <c r="A32" s="130"/>
      <c r="B32" s="45" t="s">
        <v>43</v>
      </c>
      <c r="C32" s="24" t="s">
        <v>44</v>
      </c>
      <c r="D32" s="45" t="s">
        <v>45</v>
      </c>
      <c r="E32" s="31">
        <v>2626.5</v>
      </c>
      <c r="F32" s="32">
        <f>SUM(E32*12)</f>
        <v>31518</v>
      </c>
      <c r="G32" s="32">
        <v>4.7</v>
      </c>
      <c r="H32" s="33">
        <f t="shared" si="3"/>
        <v>148.13460000000001</v>
      </c>
      <c r="I32" s="34">
        <f>F32/12*G32</f>
        <v>12344.550000000001</v>
      </c>
      <c r="J32" s="34">
        <f>F32/12*G32</f>
        <v>12344.550000000001</v>
      </c>
      <c r="K32" s="34">
        <f>F32/12*G32</f>
        <v>12344.550000000001</v>
      </c>
      <c r="L32" s="34">
        <f>F32/12*G32</f>
        <v>12344.550000000001</v>
      </c>
      <c r="M32" s="34">
        <f>F32/12*G32</f>
        <v>12344.550000000001</v>
      </c>
      <c r="N32" s="34">
        <f>F32/12*G32</f>
        <v>12344.550000000001</v>
      </c>
      <c r="O32" s="34">
        <f>F32/12*G32</f>
        <v>12344.550000000001</v>
      </c>
      <c r="P32" s="34">
        <f>F32/12*G32</f>
        <v>12344.550000000001</v>
      </c>
      <c r="Q32" s="34">
        <f>F32/12*G32</f>
        <v>12344.550000000001</v>
      </c>
      <c r="R32" s="34">
        <f>F32/12*G32</f>
        <v>12344.550000000001</v>
      </c>
      <c r="S32" s="34">
        <f>F32/12*G32</f>
        <v>12344.550000000001</v>
      </c>
      <c r="T32" s="34">
        <f>F32/12*G32</f>
        <v>12344.550000000001</v>
      </c>
      <c r="U32" s="34">
        <f t="shared" si="4"/>
        <v>123445.50000000001</v>
      </c>
    </row>
    <row r="33" spans="1:21" s="18" customFormat="1">
      <c r="A33" s="131"/>
      <c r="B33" s="19" t="s">
        <v>28</v>
      </c>
      <c r="C33" s="37"/>
      <c r="D33" s="19"/>
      <c r="E33" s="38"/>
      <c r="F33" s="39"/>
      <c r="G33" s="39"/>
      <c r="H33" s="46">
        <f>SUM(H24:H32)</f>
        <v>176.18528481000001</v>
      </c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>
        <f>SUM(U24:U32)</f>
        <v>147496.98647666667</v>
      </c>
    </row>
    <row r="34" spans="1:21">
      <c r="A34" s="130"/>
      <c r="B34" s="11" t="s">
        <v>46</v>
      </c>
      <c r="C34" s="24"/>
      <c r="D34" s="10"/>
      <c r="E34" s="31"/>
      <c r="F34" s="32"/>
      <c r="G34" s="32"/>
      <c r="H34" s="33" t="s">
        <v>45</v>
      </c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</row>
    <row r="35" spans="1:21" ht="12.75" customHeight="1">
      <c r="A35" s="130" t="s">
        <v>116</v>
      </c>
      <c r="B35" s="12" t="s">
        <v>47</v>
      </c>
      <c r="C35" s="24" t="s">
        <v>42</v>
      </c>
      <c r="D35" s="10"/>
      <c r="E35" s="31"/>
      <c r="F35" s="32">
        <v>8</v>
      </c>
      <c r="G35" s="32">
        <v>1632.6</v>
      </c>
      <c r="H35" s="33">
        <f t="shared" ref="H35:H41" si="5">SUM(F35*G35/1000)</f>
        <v>13.060799999999999</v>
      </c>
      <c r="I35" s="34">
        <f t="shared" ref="I35:I41" si="6">F35/6*G35</f>
        <v>2176.7999999999997</v>
      </c>
      <c r="J35" s="34">
        <f>F35/6*G35</f>
        <v>2176.7999999999997</v>
      </c>
      <c r="K35" s="34">
        <f>F35/6*G35</f>
        <v>2176.7999999999997</v>
      </c>
      <c r="L35" s="34">
        <f>F35/6*G35</f>
        <v>2176.7999999999997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f>F35/6*G35</f>
        <v>2176.7999999999997</v>
      </c>
      <c r="T35" s="34">
        <f>F35/6*G35</f>
        <v>2176.7999999999997</v>
      </c>
      <c r="U35" s="34">
        <f t="shared" ref="U35:U41" si="7">SUM(I35:R35)</f>
        <v>8707.1999999999989</v>
      </c>
    </row>
    <row r="36" spans="1:21" ht="25.5">
      <c r="A36" s="132" t="s">
        <v>174</v>
      </c>
      <c r="B36" s="12" t="s">
        <v>147</v>
      </c>
      <c r="C36" s="48" t="s">
        <v>48</v>
      </c>
      <c r="D36" s="10" t="s">
        <v>113</v>
      </c>
      <c r="E36" s="31">
        <v>81.5</v>
      </c>
      <c r="F36" s="47">
        <f>E36*30/1000</f>
        <v>2.4449999999999998</v>
      </c>
      <c r="G36" s="32">
        <v>2247.8000000000002</v>
      </c>
      <c r="H36" s="33">
        <f>G36*F36/1000</f>
        <v>5.4958710000000002</v>
      </c>
      <c r="I36" s="34">
        <f t="shared" si="6"/>
        <v>915.97850000000005</v>
      </c>
      <c r="J36" s="34">
        <f>F36/6*G36</f>
        <v>915.97850000000005</v>
      </c>
      <c r="K36" s="34">
        <f>F36/6*G36</f>
        <v>915.97850000000005</v>
      </c>
      <c r="L36" s="34">
        <f>F36/6*G36</f>
        <v>915.97850000000005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f>F36/6*G36</f>
        <v>915.97850000000005</v>
      </c>
      <c r="T36" s="34">
        <f>F36/6*G36</f>
        <v>915.97850000000005</v>
      </c>
      <c r="U36" s="34">
        <f t="shared" si="7"/>
        <v>3663.9140000000002</v>
      </c>
    </row>
    <row r="37" spans="1:21">
      <c r="A37" s="130" t="s">
        <v>116</v>
      </c>
      <c r="B37" s="10" t="s">
        <v>106</v>
      </c>
      <c r="C37" s="24" t="s">
        <v>69</v>
      </c>
      <c r="D37" s="10" t="s">
        <v>41</v>
      </c>
      <c r="E37" s="31"/>
      <c r="F37" s="47">
        <v>95</v>
      </c>
      <c r="G37" s="32">
        <v>213.2</v>
      </c>
      <c r="H37" s="33">
        <f>G37*F37/1000</f>
        <v>20.254000000000001</v>
      </c>
      <c r="I37" s="34">
        <v>0</v>
      </c>
      <c r="J37" s="34">
        <v>0</v>
      </c>
      <c r="K37" s="34">
        <v>0</v>
      </c>
      <c r="L37" s="34">
        <f>G37*26</f>
        <v>5543.2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f t="shared" si="7"/>
        <v>5543.2</v>
      </c>
    </row>
    <row r="38" spans="1:21" ht="24.75" customHeight="1">
      <c r="A38" s="130" t="s">
        <v>175</v>
      </c>
      <c r="B38" s="10" t="s">
        <v>148</v>
      </c>
      <c r="C38" s="24" t="s">
        <v>48</v>
      </c>
      <c r="D38" s="10" t="s">
        <v>49</v>
      </c>
      <c r="E38" s="32">
        <v>153</v>
      </c>
      <c r="F38" s="47">
        <f>SUM(E38*155/1000)</f>
        <v>23.715</v>
      </c>
      <c r="G38" s="32">
        <v>375.95</v>
      </c>
      <c r="H38" s="33">
        <f t="shared" si="5"/>
        <v>8.9156542499999993</v>
      </c>
      <c r="I38" s="34">
        <f t="shared" si="6"/>
        <v>1485.9423750000001</v>
      </c>
      <c r="J38" s="34">
        <f>F38/6*G38</f>
        <v>1485.9423750000001</v>
      </c>
      <c r="K38" s="34">
        <f>F38/6*G38</f>
        <v>1485.9423750000001</v>
      </c>
      <c r="L38" s="34">
        <f>F38/6*G38</f>
        <v>1485.9423750000001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f>F38/6*G38</f>
        <v>1485.9423750000001</v>
      </c>
      <c r="T38" s="34">
        <f>F38/6*G38</f>
        <v>1485.9423750000001</v>
      </c>
      <c r="U38" s="34">
        <f t="shared" si="7"/>
        <v>5943.7695000000003</v>
      </c>
    </row>
    <row r="39" spans="1:21" ht="51" customHeight="1">
      <c r="A39" s="130" t="s">
        <v>176</v>
      </c>
      <c r="B39" s="10" t="s">
        <v>149</v>
      </c>
      <c r="C39" s="24" t="s">
        <v>31</v>
      </c>
      <c r="D39" s="10" t="s">
        <v>114</v>
      </c>
      <c r="E39" s="32">
        <v>81.5</v>
      </c>
      <c r="F39" s="47">
        <f>SUM(E39*35/1000)</f>
        <v>2.8525</v>
      </c>
      <c r="G39" s="32">
        <v>6203.7</v>
      </c>
      <c r="H39" s="33">
        <f t="shared" si="5"/>
        <v>17.69605425</v>
      </c>
      <c r="I39" s="34">
        <f t="shared" si="6"/>
        <v>2949.3423749999997</v>
      </c>
      <c r="J39" s="34">
        <f>F39/6*G39</f>
        <v>2949.3423749999997</v>
      </c>
      <c r="K39" s="34">
        <f>F39/6*G39</f>
        <v>2949.3423749999997</v>
      </c>
      <c r="L39" s="34">
        <f>F39/6*G39</f>
        <v>2949.3423749999997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f>F39/6*G39</f>
        <v>2949.3423749999997</v>
      </c>
      <c r="T39" s="34">
        <f>F39/6*G39</f>
        <v>2949.3423749999997</v>
      </c>
      <c r="U39" s="34">
        <f t="shared" si="7"/>
        <v>11797.369499999999</v>
      </c>
    </row>
    <row r="40" spans="1:21" ht="12.75" customHeight="1">
      <c r="A40" s="130" t="s">
        <v>177</v>
      </c>
      <c r="B40" s="10" t="s">
        <v>150</v>
      </c>
      <c r="C40" s="24" t="s">
        <v>31</v>
      </c>
      <c r="D40" s="10" t="s">
        <v>242</v>
      </c>
      <c r="E40" s="32">
        <v>81.5</v>
      </c>
      <c r="F40" s="47">
        <f>SUM(E40*15/1000)</f>
        <v>1.2224999999999999</v>
      </c>
      <c r="G40" s="32">
        <v>458.28</v>
      </c>
      <c r="H40" s="33">
        <f t="shared" si="5"/>
        <v>0.56024729999999989</v>
      </c>
      <c r="I40" s="34">
        <v>0</v>
      </c>
      <c r="J40" s="34">
        <v>0</v>
      </c>
      <c r="K40" s="34">
        <f>F40/2*G40</f>
        <v>280.12364999999994</v>
      </c>
      <c r="L40" s="34">
        <f>F40/2*G40</f>
        <v>280.12364999999994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f>F40/6*G40</f>
        <v>93.374549999999985</v>
      </c>
      <c r="T40" s="34">
        <f>F40/6*G40</f>
        <v>93.374549999999985</v>
      </c>
      <c r="U40" s="34">
        <f t="shared" si="7"/>
        <v>560.24729999999988</v>
      </c>
    </row>
    <row r="41" spans="1:21" s="1" customFormat="1">
      <c r="A41" s="132"/>
      <c r="B41" s="12" t="s">
        <v>151</v>
      </c>
      <c r="C41" s="48" t="s">
        <v>39</v>
      </c>
      <c r="D41" s="12"/>
      <c r="E41" s="44"/>
      <c r="F41" s="47">
        <v>0.9</v>
      </c>
      <c r="G41" s="47">
        <v>853.06</v>
      </c>
      <c r="H41" s="33">
        <f t="shared" si="5"/>
        <v>0.76775400000000005</v>
      </c>
      <c r="I41" s="49">
        <f t="shared" si="6"/>
        <v>127.95899999999999</v>
      </c>
      <c r="J41" s="49">
        <f>F41/6*G41</f>
        <v>127.95899999999999</v>
      </c>
      <c r="K41" s="49">
        <f>F41/6*G41</f>
        <v>127.95899999999999</v>
      </c>
      <c r="L41" s="49">
        <f>F41/6*G41</f>
        <v>127.95899999999999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f>F41/6*G41</f>
        <v>127.95899999999999</v>
      </c>
      <c r="T41" s="49">
        <f>F41/6*G41</f>
        <v>127.95899999999999</v>
      </c>
      <c r="U41" s="34">
        <f t="shared" si="7"/>
        <v>511.83599999999996</v>
      </c>
    </row>
    <row r="42" spans="1:21" s="18" customFormat="1">
      <c r="A42" s="131"/>
      <c r="B42" s="19" t="s">
        <v>28</v>
      </c>
      <c r="C42" s="37"/>
      <c r="D42" s="19"/>
      <c r="E42" s="38"/>
      <c r="F42" s="39" t="s">
        <v>45</v>
      </c>
      <c r="G42" s="39"/>
      <c r="H42" s="46">
        <f>SUM(H35:H41)</f>
        <v>66.750380800000002</v>
      </c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>
        <f>SUM(U35:U41)</f>
        <v>36727.536300000007</v>
      </c>
    </row>
    <row r="43" spans="1:21">
      <c r="A43" s="130"/>
      <c r="B43" s="13" t="s">
        <v>50</v>
      </c>
      <c r="C43" s="24"/>
      <c r="D43" s="10"/>
      <c r="E43" s="31"/>
      <c r="F43" s="32"/>
      <c r="G43" s="32"/>
      <c r="H43" s="33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</row>
    <row r="44" spans="1:21">
      <c r="A44" s="130" t="s">
        <v>181</v>
      </c>
      <c r="B44" s="10" t="s">
        <v>152</v>
      </c>
      <c r="C44" s="24" t="s">
        <v>31</v>
      </c>
      <c r="D44" s="10" t="s">
        <v>51</v>
      </c>
      <c r="E44" s="31">
        <v>1080</v>
      </c>
      <c r="F44" s="32">
        <f>SUM(E44*2/1000)</f>
        <v>2.16</v>
      </c>
      <c r="G44" s="50">
        <v>865.61</v>
      </c>
      <c r="H44" s="33">
        <f t="shared" ref="H44:H52" si="8">SUM(F44*G44/1000)</f>
        <v>1.8697176000000002</v>
      </c>
      <c r="I44" s="34">
        <v>0</v>
      </c>
      <c r="J44" s="34">
        <v>0</v>
      </c>
      <c r="K44" s="34">
        <v>0</v>
      </c>
      <c r="L44" s="34">
        <v>0</v>
      </c>
      <c r="M44" s="34">
        <f>F44/2*G44</f>
        <v>934.85880000000009</v>
      </c>
      <c r="N44" s="34">
        <v>0</v>
      </c>
      <c r="O44" s="34">
        <v>0</v>
      </c>
      <c r="P44" s="34">
        <v>0</v>
      </c>
      <c r="Q44" s="34">
        <f>F44/2*G44</f>
        <v>934.85880000000009</v>
      </c>
      <c r="R44" s="34">
        <v>0</v>
      </c>
      <c r="S44" s="34">
        <v>0</v>
      </c>
      <c r="T44" s="34">
        <v>0</v>
      </c>
      <c r="U44" s="34">
        <f t="shared" ref="U44:U53" si="9">SUM(I44:R44)</f>
        <v>1869.7176000000002</v>
      </c>
    </row>
    <row r="45" spans="1:21">
      <c r="A45" s="130" t="s">
        <v>178</v>
      </c>
      <c r="B45" s="10" t="s">
        <v>52</v>
      </c>
      <c r="C45" s="24" t="s">
        <v>31</v>
      </c>
      <c r="D45" s="10" t="s">
        <v>51</v>
      </c>
      <c r="E45" s="31">
        <v>39</v>
      </c>
      <c r="F45" s="32">
        <f>E45*2/1000</f>
        <v>7.8E-2</v>
      </c>
      <c r="G45" s="50">
        <v>619.46</v>
      </c>
      <c r="H45" s="33">
        <f t="shared" si="8"/>
        <v>4.8317880000000001E-2</v>
      </c>
      <c r="I45" s="34">
        <v>0</v>
      </c>
      <c r="J45" s="34">
        <v>0</v>
      </c>
      <c r="K45" s="34">
        <v>0</v>
      </c>
      <c r="L45" s="34">
        <v>0</v>
      </c>
      <c r="M45" s="34">
        <f>F45/2*G45</f>
        <v>24.158940000000001</v>
      </c>
      <c r="N45" s="34">
        <v>0</v>
      </c>
      <c r="O45" s="34">
        <v>0</v>
      </c>
      <c r="P45" s="34">
        <v>0</v>
      </c>
      <c r="Q45" s="34">
        <f>F45/2*G45</f>
        <v>24.158940000000001</v>
      </c>
      <c r="R45" s="34">
        <v>0</v>
      </c>
      <c r="S45" s="34">
        <v>0</v>
      </c>
      <c r="T45" s="34">
        <v>0</v>
      </c>
      <c r="U45" s="34">
        <f t="shared" si="9"/>
        <v>48.317880000000002</v>
      </c>
    </row>
    <row r="46" spans="1:21" ht="12.75" customHeight="1">
      <c r="A46" s="130" t="s">
        <v>179</v>
      </c>
      <c r="B46" s="10" t="s">
        <v>53</v>
      </c>
      <c r="C46" s="24" t="s">
        <v>31</v>
      </c>
      <c r="D46" s="10" t="s">
        <v>51</v>
      </c>
      <c r="E46" s="31">
        <v>1037</v>
      </c>
      <c r="F46" s="32">
        <f>SUM(E46*2/1000)</f>
        <v>2.0739999999999998</v>
      </c>
      <c r="G46" s="50">
        <v>619.46</v>
      </c>
      <c r="H46" s="33">
        <f t="shared" si="8"/>
        <v>1.2847600399999999</v>
      </c>
      <c r="I46" s="34">
        <v>0</v>
      </c>
      <c r="J46" s="34">
        <v>0</v>
      </c>
      <c r="K46" s="34">
        <v>0</v>
      </c>
      <c r="L46" s="34">
        <v>0</v>
      </c>
      <c r="M46" s="34">
        <f t="shared" ref="M46:M48" si="10">F46/2*G46</f>
        <v>642.38001999999994</v>
      </c>
      <c r="N46" s="34">
        <v>0</v>
      </c>
      <c r="O46" s="34">
        <v>0</v>
      </c>
      <c r="P46" s="34">
        <v>0</v>
      </c>
      <c r="Q46" s="34">
        <f>F46/2*G46</f>
        <v>642.38001999999994</v>
      </c>
      <c r="R46" s="34">
        <v>0</v>
      </c>
      <c r="S46" s="34">
        <v>0</v>
      </c>
      <c r="T46" s="34">
        <v>0</v>
      </c>
      <c r="U46" s="34">
        <f t="shared" si="9"/>
        <v>1284.7600399999999</v>
      </c>
    </row>
    <row r="47" spans="1:21">
      <c r="A47" s="130" t="s">
        <v>180</v>
      </c>
      <c r="B47" s="10" t="s">
        <v>54</v>
      </c>
      <c r="C47" s="24" t="s">
        <v>31</v>
      </c>
      <c r="D47" s="10" t="s">
        <v>51</v>
      </c>
      <c r="E47" s="31">
        <v>2274</v>
      </c>
      <c r="F47" s="32">
        <f>SUM(E47*2/1000)</f>
        <v>4.548</v>
      </c>
      <c r="G47" s="50">
        <v>648.64</v>
      </c>
      <c r="H47" s="33">
        <f t="shared" si="8"/>
        <v>2.95001472</v>
      </c>
      <c r="I47" s="34">
        <v>0</v>
      </c>
      <c r="J47" s="34">
        <v>0</v>
      </c>
      <c r="K47" s="34">
        <v>0</v>
      </c>
      <c r="L47" s="34">
        <v>0</v>
      </c>
      <c r="M47" s="34">
        <f t="shared" si="10"/>
        <v>1475.0073600000001</v>
      </c>
      <c r="N47" s="34">
        <v>0</v>
      </c>
      <c r="O47" s="34">
        <v>0</v>
      </c>
      <c r="P47" s="34">
        <v>0</v>
      </c>
      <c r="Q47" s="34">
        <f>F47/2*G47</f>
        <v>1475.0073600000001</v>
      </c>
      <c r="R47" s="34">
        <v>0</v>
      </c>
      <c r="S47" s="34">
        <v>0</v>
      </c>
      <c r="T47" s="34">
        <v>0</v>
      </c>
      <c r="U47" s="34">
        <f t="shared" si="9"/>
        <v>2950.0147200000001</v>
      </c>
    </row>
    <row r="48" spans="1:21">
      <c r="A48" s="130" t="s">
        <v>186</v>
      </c>
      <c r="B48" s="10" t="s">
        <v>115</v>
      </c>
      <c r="C48" s="24" t="s">
        <v>24</v>
      </c>
      <c r="D48" s="10" t="s">
        <v>51</v>
      </c>
      <c r="E48" s="31">
        <v>83.04</v>
      </c>
      <c r="F48" s="32">
        <v>1.66</v>
      </c>
      <c r="G48" s="50">
        <v>77.84</v>
      </c>
      <c r="H48" s="33">
        <f>SUM(F48*G48/1000)</f>
        <v>0.12921440000000001</v>
      </c>
      <c r="I48" s="34">
        <v>0</v>
      </c>
      <c r="J48" s="34">
        <v>0</v>
      </c>
      <c r="K48" s="34">
        <v>0</v>
      </c>
      <c r="L48" s="34">
        <v>0</v>
      </c>
      <c r="M48" s="34">
        <f t="shared" si="10"/>
        <v>64.607200000000006</v>
      </c>
      <c r="N48" s="34">
        <v>0</v>
      </c>
      <c r="O48" s="34">
        <v>0</v>
      </c>
      <c r="P48" s="34">
        <v>0</v>
      </c>
      <c r="Q48" s="34">
        <f>F48/2*G48</f>
        <v>64.607200000000006</v>
      </c>
      <c r="R48" s="34">
        <v>0</v>
      </c>
      <c r="S48" s="34">
        <v>0</v>
      </c>
      <c r="T48" s="34">
        <v>0</v>
      </c>
      <c r="U48" s="34">
        <f t="shared" si="9"/>
        <v>129.21440000000001</v>
      </c>
    </row>
    <row r="49" spans="1:21" ht="25.5">
      <c r="A49" s="130" t="s">
        <v>182</v>
      </c>
      <c r="B49" s="10" t="s">
        <v>55</v>
      </c>
      <c r="C49" s="24" t="s">
        <v>31</v>
      </c>
      <c r="D49" s="10" t="s">
        <v>56</v>
      </c>
      <c r="E49" s="31">
        <v>1728</v>
      </c>
      <c r="F49" s="32">
        <f>SUM(E49*5/1000)</f>
        <v>8.64</v>
      </c>
      <c r="G49" s="50">
        <v>1297.28</v>
      </c>
      <c r="H49" s="33">
        <f>SUM(F49*G49/1000)</f>
        <v>11.2084992</v>
      </c>
      <c r="I49" s="34">
        <f>F49/5*G49</f>
        <v>2241.6998400000002</v>
      </c>
      <c r="J49" s="34">
        <f>F49/5*G49</f>
        <v>2241.6998400000002</v>
      </c>
      <c r="K49" s="34">
        <v>0</v>
      </c>
      <c r="L49" s="34">
        <f>0</f>
        <v>0</v>
      </c>
      <c r="M49" s="34">
        <f>F49/5*G49</f>
        <v>2241.6998400000002</v>
      </c>
      <c r="N49" s="34">
        <v>0</v>
      </c>
      <c r="O49" s="34">
        <v>0</v>
      </c>
      <c r="P49" s="34">
        <v>0</v>
      </c>
      <c r="Q49" s="34">
        <f>F49/5*G49</f>
        <v>2241.6998400000002</v>
      </c>
      <c r="R49" s="34">
        <v>0</v>
      </c>
      <c r="S49" s="34">
        <v>0</v>
      </c>
      <c r="T49" s="34">
        <f>F49/5*G49</f>
        <v>2241.6998400000002</v>
      </c>
      <c r="U49" s="34">
        <f t="shared" si="9"/>
        <v>8966.7993600000009</v>
      </c>
    </row>
    <row r="50" spans="1:21" ht="38.25" customHeight="1">
      <c r="A50" s="130" t="s">
        <v>183</v>
      </c>
      <c r="B50" s="10" t="s">
        <v>57</v>
      </c>
      <c r="C50" s="24" t="s">
        <v>31</v>
      </c>
      <c r="D50" s="10" t="s">
        <v>51</v>
      </c>
      <c r="E50" s="31">
        <v>1728</v>
      </c>
      <c r="F50" s="32">
        <f>SUM(E50*2/1000)</f>
        <v>3.456</v>
      </c>
      <c r="G50" s="50">
        <v>1297.28</v>
      </c>
      <c r="H50" s="33">
        <f>SUM(G50*F50/1000)</f>
        <v>4.4833996799999998</v>
      </c>
      <c r="I50" s="34">
        <v>0</v>
      </c>
      <c r="J50" s="34">
        <v>0</v>
      </c>
      <c r="K50" s="34">
        <v>0</v>
      </c>
      <c r="L50" s="34">
        <f>F50/2*G50</f>
        <v>2241.6998399999998</v>
      </c>
      <c r="M50" s="34">
        <v>0</v>
      </c>
      <c r="N50" s="34">
        <v>0</v>
      </c>
      <c r="O50" s="34">
        <v>0</v>
      </c>
      <c r="P50" s="34">
        <v>0</v>
      </c>
      <c r="Q50" s="34">
        <f>F50/2*G50</f>
        <v>2241.6998399999998</v>
      </c>
      <c r="R50" s="34">
        <v>0</v>
      </c>
      <c r="S50" s="34">
        <v>0</v>
      </c>
      <c r="T50" s="34">
        <v>0</v>
      </c>
      <c r="U50" s="34">
        <f t="shared" si="9"/>
        <v>4483.3996799999995</v>
      </c>
    </row>
    <row r="51" spans="1:21" ht="25.5" customHeight="1">
      <c r="A51" s="130" t="s">
        <v>184</v>
      </c>
      <c r="B51" s="10" t="s">
        <v>58</v>
      </c>
      <c r="C51" s="24" t="s">
        <v>59</v>
      </c>
      <c r="D51" s="10" t="s">
        <v>51</v>
      </c>
      <c r="E51" s="31">
        <v>15</v>
      </c>
      <c r="F51" s="32">
        <f>SUM(E51*2/100)</f>
        <v>0.3</v>
      </c>
      <c r="G51" s="50">
        <v>2918.89</v>
      </c>
      <c r="H51" s="33">
        <f>SUM(F51*G51/1000)</f>
        <v>0.87566699999999986</v>
      </c>
      <c r="I51" s="34">
        <v>0</v>
      </c>
      <c r="J51" s="34">
        <v>0</v>
      </c>
      <c r="K51" s="34">
        <v>0</v>
      </c>
      <c r="L51" s="34">
        <f>F51/2*G51</f>
        <v>437.83349999999996</v>
      </c>
      <c r="M51" s="34">
        <v>0</v>
      </c>
      <c r="N51" s="34">
        <v>0</v>
      </c>
      <c r="O51" s="34">
        <v>0</v>
      </c>
      <c r="P51" s="34">
        <v>0</v>
      </c>
      <c r="Q51" s="34">
        <f>F51/2*G51</f>
        <v>437.83349999999996</v>
      </c>
      <c r="R51" s="34">
        <v>0</v>
      </c>
      <c r="S51" s="34">
        <v>0</v>
      </c>
      <c r="T51" s="34">
        <v>0</v>
      </c>
      <c r="U51" s="34">
        <f t="shared" si="9"/>
        <v>875.66699999999992</v>
      </c>
    </row>
    <row r="52" spans="1:21">
      <c r="A52" s="130" t="s">
        <v>185</v>
      </c>
      <c r="B52" s="10" t="s">
        <v>60</v>
      </c>
      <c r="C52" s="24" t="s">
        <v>61</v>
      </c>
      <c r="D52" s="10" t="s">
        <v>51</v>
      </c>
      <c r="E52" s="31">
        <v>1</v>
      </c>
      <c r="F52" s="32">
        <v>0.02</v>
      </c>
      <c r="G52" s="50">
        <v>6042.12</v>
      </c>
      <c r="H52" s="33">
        <f t="shared" si="8"/>
        <v>0.1208424</v>
      </c>
      <c r="I52" s="34">
        <v>0</v>
      </c>
      <c r="J52" s="34">
        <v>0</v>
      </c>
      <c r="K52" s="34">
        <f>F52/2*G52</f>
        <v>60.421199999999999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f>F52/2*G52</f>
        <v>60.421199999999999</v>
      </c>
      <c r="R52" s="34">
        <v>0</v>
      </c>
      <c r="S52" s="34">
        <v>0</v>
      </c>
      <c r="T52" s="34">
        <v>0</v>
      </c>
      <c r="U52" s="34">
        <f t="shared" si="9"/>
        <v>120.8424</v>
      </c>
    </row>
    <row r="53" spans="1:21" ht="13.5" customHeight="1">
      <c r="A53" s="130" t="s">
        <v>63</v>
      </c>
      <c r="B53" s="10" t="s">
        <v>64</v>
      </c>
      <c r="C53" s="24" t="s">
        <v>62</v>
      </c>
      <c r="D53" s="10" t="s">
        <v>129</v>
      </c>
      <c r="E53" s="31">
        <v>90</v>
      </c>
      <c r="F53" s="32">
        <f>SUM(E53)*3</f>
        <v>270</v>
      </c>
      <c r="G53" s="51">
        <v>70.209999999999994</v>
      </c>
      <c r="H53" s="33">
        <f>SUM(F53*G53/1000)</f>
        <v>18.956699999999998</v>
      </c>
      <c r="I53" s="34">
        <v>0</v>
      </c>
      <c r="J53" s="34">
        <v>0</v>
      </c>
      <c r="K53" s="34">
        <v>0</v>
      </c>
      <c r="L53" s="34">
        <f>E53*G53</f>
        <v>6318.9</v>
      </c>
      <c r="M53" s="34">
        <v>0</v>
      </c>
      <c r="N53" s="34">
        <v>0</v>
      </c>
      <c r="O53" s="34">
        <v>0</v>
      </c>
      <c r="P53" s="34">
        <f>E53*G53</f>
        <v>6318.9</v>
      </c>
      <c r="Q53" s="34">
        <v>0</v>
      </c>
      <c r="R53" s="34">
        <v>0</v>
      </c>
      <c r="S53" s="34">
        <v>0</v>
      </c>
      <c r="T53" s="34">
        <f>E53*G53</f>
        <v>6318.9</v>
      </c>
      <c r="U53" s="34">
        <f t="shared" si="9"/>
        <v>12637.8</v>
      </c>
    </row>
    <row r="54" spans="1:21" s="20" customFormat="1">
      <c r="A54" s="133"/>
      <c r="B54" s="19" t="s">
        <v>28</v>
      </c>
      <c r="C54" s="52"/>
      <c r="D54" s="19"/>
      <c r="E54" s="53"/>
      <c r="F54" s="54"/>
      <c r="G54" s="54"/>
      <c r="H54" s="46">
        <f>SUM(H44:H53)</f>
        <v>41.927132919999998</v>
      </c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>
        <f>SUM(U44:U53)</f>
        <v>33366.533080000001</v>
      </c>
    </row>
    <row r="55" spans="1:21">
      <c r="A55" s="130"/>
      <c r="B55" s="11" t="s">
        <v>65</v>
      </c>
      <c r="C55" s="24"/>
      <c r="D55" s="10"/>
      <c r="E55" s="31"/>
      <c r="F55" s="32"/>
      <c r="G55" s="32"/>
      <c r="H55" s="33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</row>
    <row r="56" spans="1:21" ht="25.5" customHeight="1">
      <c r="A56" s="139" t="s">
        <v>187</v>
      </c>
      <c r="B56" s="10" t="s">
        <v>142</v>
      </c>
      <c r="C56" s="24" t="s">
        <v>13</v>
      </c>
      <c r="D56" s="10" t="s">
        <v>66</v>
      </c>
      <c r="E56" s="31">
        <v>111</v>
      </c>
      <c r="F56" s="32">
        <f>SUM(E56*6/100)</f>
        <v>6.66</v>
      </c>
      <c r="G56" s="50">
        <v>1654.04</v>
      </c>
      <c r="H56" s="33">
        <f>SUM(F56*G56/1000)</f>
        <v>11.0159064</v>
      </c>
      <c r="I56" s="34">
        <f>F56/6*G56</f>
        <v>1835.9844000000001</v>
      </c>
      <c r="J56" s="34">
        <f>F56/6*G56</f>
        <v>1835.9844000000001</v>
      </c>
      <c r="K56" s="34">
        <f>F56/6*G56</f>
        <v>1835.9844000000001</v>
      </c>
      <c r="L56" s="34">
        <f>F56/6*G56</f>
        <v>1835.9844000000001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f>F56/6*G56</f>
        <v>1835.9844000000001</v>
      </c>
      <c r="T56" s="34">
        <f>F56/6*G56</f>
        <v>1835.9844000000001</v>
      </c>
      <c r="U56" s="34">
        <f t="shared" ref="U56:U79" si="11">SUM(I56:R56)</f>
        <v>7343.9376000000002</v>
      </c>
    </row>
    <row r="57" spans="1:21" ht="12.75" customHeight="1">
      <c r="A57" s="134"/>
      <c r="B57" s="22" t="s">
        <v>67</v>
      </c>
      <c r="C57" s="56"/>
      <c r="D57" s="21"/>
      <c r="E57" s="57"/>
      <c r="F57" s="58"/>
      <c r="G57" s="50"/>
      <c r="H57" s="59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</row>
    <row r="58" spans="1:21" ht="12.75" customHeight="1">
      <c r="A58" s="130" t="s">
        <v>188</v>
      </c>
      <c r="B58" s="21" t="s">
        <v>110</v>
      </c>
      <c r="C58" s="56" t="s">
        <v>24</v>
      </c>
      <c r="D58" s="21" t="s">
        <v>34</v>
      </c>
      <c r="E58" s="57">
        <v>330</v>
      </c>
      <c r="F58" s="58">
        <f>E58/100</f>
        <v>3.3</v>
      </c>
      <c r="G58" s="50">
        <v>848.37</v>
      </c>
      <c r="H58" s="59">
        <f>F58*G58/1000</f>
        <v>2.7996209999999997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f t="shared" si="11"/>
        <v>0</v>
      </c>
    </row>
    <row r="59" spans="1:21" ht="12.75" customHeight="1">
      <c r="A59" s="130"/>
      <c r="B59" s="21" t="s">
        <v>109</v>
      </c>
      <c r="C59" s="56" t="s">
        <v>68</v>
      </c>
      <c r="D59" s="21" t="s">
        <v>107</v>
      </c>
      <c r="E59" s="57">
        <v>130</v>
      </c>
      <c r="F59" s="60">
        <f>E59*12</f>
        <v>1560</v>
      </c>
      <c r="G59" s="61">
        <v>2.6</v>
      </c>
      <c r="H59" s="58">
        <f>F59*G59/1000</f>
        <v>4.056</v>
      </c>
      <c r="I59" s="34">
        <f>F59/12*G59</f>
        <v>338</v>
      </c>
      <c r="J59" s="34">
        <f>F59/12*G59</f>
        <v>338</v>
      </c>
      <c r="K59" s="34">
        <f>F59/12*G59</f>
        <v>338</v>
      </c>
      <c r="L59" s="34">
        <f>F59/12*G59</f>
        <v>338</v>
      </c>
      <c r="M59" s="34">
        <f>F59/12*G59</f>
        <v>338</v>
      </c>
      <c r="N59" s="34">
        <f>F59/12*G59</f>
        <v>338</v>
      </c>
      <c r="O59" s="34">
        <f>F59/12*G59</f>
        <v>338</v>
      </c>
      <c r="P59" s="34">
        <f>F59/12*G59</f>
        <v>338</v>
      </c>
      <c r="Q59" s="34">
        <f>F59/12*G59</f>
        <v>338</v>
      </c>
      <c r="R59" s="34">
        <f>F59/12*G59</f>
        <v>338</v>
      </c>
      <c r="S59" s="34">
        <f>F59/12*G59</f>
        <v>338</v>
      </c>
      <c r="T59" s="34">
        <f>F59/12*G59</f>
        <v>338</v>
      </c>
      <c r="U59" s="34">
        <f t="shared" si="11"/>
        <v>3380</v>
      </c>
    </row>
    <row r="60" spans="1:21">
      <c r="A60" s="134"/>
      <c r="B60" s="14" t="s">
        <v>70</v>
      </c>
      <c r="C60" s="56"/>
      <c r="D60" s="21"/>
      <c r="E60" s="57"/>
      <c r="F60" s="60"/>
      <c r="G60" s="60"/>
      <c r="H60" s="58" t="s">
        <v>45</v>
      </c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</row>
    <row r="61" spans="1:21" ht="12.75" customHeight="1">
      <c r="A61" s="62" t="s">
        <v>189</v>
      </c>
      <c r="B61" s="15" t="s">
        <v>71</v>
      </c>
      <c r="C61" s="62" t="s">
        <v>62</v>
      </c>
      <c r="D61" s="8" t="s">
        <v>41</v>
      </c>
      <c r="E61" s="63">
        <v>10</v>
      </c>
      <c r="F61" s="32">
        <v>10</v>
      </c>
      <c r="G61" s="50">
        <v>237.74</v>
      </c>
      <c r="H61" s="64">
        <f t="shared" ref="H61:H74" si="12">SUM(F61*G61/1000)</f>
        <v>2.3774000000000002</v>
      </c>
      <c r="I61" s="34">
        <f>G61*2</f>
        <v>475.48</v>
      </c>
      <c r="J61" s="34">
        <v>0</v>
      </c>
      <c r="K61" s="34">
        <v>0</v>
      </c>
      <c r="L61" s="34">
        <v>0</v>
      </c>
      <c r="M61" s="34">
        <v>0</v>
      </c>
      <c r="N61" s="34">
        <f>G61</f>
        <v>237.74</v>
      </c>
      <c r="O61" s="34">
        <v>0</v>
      </c>
      <c r="P61" s="34">
        <v>0</v>
      </c>
      <c r="Q61" s="34">
        <v>0</v>
      </c>
      <c r="R61" s="34">
        <f>G61</f>
        <v>237.74</v>
      </c>
      <c r="S61" s="34">
        <v>0</v>
      </c>
      <c r="T61" s="34">
        <v>0</v>
      </c>
      <c r="U61" s="34">
        <f t="shared" si="11"/>
        <v>950.96</v>
      </c>
    </row>
    <row r="62" spans="1:21" ht="12.75" customHeight="1">
      <c r="A62" s="62" t="s">
        <v>190</v>
      </c>
      <c r="B62" s="15" t="s">
        <v>72</v>
      </c>
      <c r="C62" s="62" t="s">
        <v>62</v>
      </c>
      <c r="D62" s="8" t="s">
        <v>41</v>
      </c>
      <c r="E62" s="63">
        <v>5</v>
      </c>
      <c r="F62" s="32">
        <v>5</v>
      </c>
      <c r="G62" s="50">
        <v>81.510000000000005</v>
      </c>
      <c r="H62" s="64">
        <f t="shared" si="12"/>
        <v>0.40755000000000002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f t="shared" si="11"/>
        <v>0</v>
      </c>
    </row>
    <row r="63" spans="1:21" s="1" customFormat="1">
      <c r="A63" s="65" t="s">
        <v>191</v>
      </c>
      <c r="B63" s="15" t="s">
        <v>73</v>
      </c>
      <c r="C63" s="65" t="s">
        <v>74</v>
      </c>
      <c r="D63" s="8" t="s">
        <v>34</v>
      </c>
      <c r="E63" s="31">
        <v>13287</v>
      </c>
      <c r="F63" s="51">
        <f>SUM(E63/100)</f>
        <v>132.87</v>
      </c>
      <c r="G63" s="50">
        <v>226.79</v>
      </c>
      <c r="H63" s="64">
        <f t="shared" si="12"/>
        <v>30.133587299999999</v>
      </c>
      <c r="I63" s="49">
        <v>0</v>
      </c>
      <c r="J63" s="49">
        <v>0</v>
      </c>
      <c r="K63" s="49">
        <v>0</v>
      </c>
      <c r="L63" s="49">
        <v>0</v>
      </c>
      <c r="M63" s="49">
        <f>F63*G63</f>
        <v>30133.587299999999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34">
        <f t="shared" si="11"/>
        <v>30133.587299999999</v>
      </c>
    </row>
    <row r="64" spans="1:21" ht="12.75" customHeight="1">
      <c r="A64" s="62" t="s">
        <v>192</v>
      </c>
      <c r="B64" s="15" t="s">
        <v>75</v>
      </c>
      <c r="C64" s="62" t="s">
        <v>76</v>
      </c>
      <c r="D64" s="8"/>
      <c r="E64" s="31">
        <v>13287</v>
      </c>
      <c r="F64" s="50">
        <f>SUM(E64/1000)</f>
        <v>13.287000000000001</v>
      </c>
      <c r="G64" s="50">
        <v>176.61</v>
      </c>
      <c r="H64" s="64">
        <f t="shared" si="12"/>
        <v>2.3466170700000002</v>
      </c>
      <c r="I64" s="34">
        <v>0</v>
      </c>
      <c r="J64" s="34">
        <v>0</v>
      </c>
      <c r="K64" s="34">
        <v>0</v>
      </c>
      <c r="L64" s="34">
        <v>0</v>
      </c>
      <c r="M64" s="34">
        <f>F64*G64</f>
        <v>2346.6170700000002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f t="shared" si="11"/>
        <v>2346.6170700000002</v>
      </c>
    </row>
    <row r="65" spans="1:21">
      <c r="A65" s="62" t="s">
        <v>193</v>
      </c>
      <c r="B65" s="15" t="s">
        <v>77</v>
      </c>
      <c r="C65" s="62" t="s">
        <v>78</v>
      </c>
      <c r="D65" s="8" t="s">
        <v>34</v>
      </c>
      <c r="E65" s="31">
        <v>2110</v>
      </c>
      <c r="F65" s="50">
        <f>SUM(E65/100)</f>
        <v>21.1</v>
      </c>
      <c r="G65" s="50">
        <v>2217.7800000000002</v>
      </c>
      <c r="H65" s="64">
        <f>SUM(F65*G65/1000)</f>
        <v>46.795158000000008</v>
      </c>
      <c r="I65" s="34">
        <v>0</v>
      </c>
      <c r="J65" s="34">
        <v>0</v>
      </c>
      <c r="K65" s="34">
        <v>0</v>
      </c>
      <c r="L65" s="34">
        <v>0</v>
      </c>
      <c r="M65" s="34">
        <f>F65*G65</f>
        <v>46795.15800000001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f t="shared" si="11"/>
        <v>46795.15800000001</v>
      </c>
    </row>
    <row r="66" spans="1:21">
      <c r="A66" s="62"/>
      <c r="B66" s="16" t="s">
        <v>100</v>
      </c>
      <c r="C66" s="62" t="s">
        <v>39</v>
      </c>
      <c r="D66" s="8"/>
      <c r="E66" s="31">
        <v>8.6</v>
      </c>
      <c r="F66" s="50">
        <f>SUM(E66)</f>
        <v>8.6</v>
      </c>
      <c r="G66" s="50">
        <v>42.67</v>
      </c>
      <c r="H66" s="64">
        <f t="shared" si="12"/>
        <v>0.36696200000000001</v>
      </c>
      <c r="I66" s="34">
        <v>0</v>
      </c>
      <c r="J66" s="34">
        <v>0</v>
      </c>
      <c r="K66" s="34">
        <v>0</v>
      </c>
      <c r="L66" s="34">
        <v>0</v>
      </c>
      <c r="M66" s="34">
        <f>F66*G66</f>
        <v>366.96199999999999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f t="shared" si="11"/>
        <v>366.96199999999999</v>
      </c>
    </row>
    <row r="67" spans="1:21" ht="12.75" customHeight="1">
      <c r="A67" s="135"/>
      <c r="B67" s="16" t="s">
        <v>101</v>
      </c>
      <c r="C67" s="62" t="s">
        <v>39</v>
      </c>
      <c r="D67" s="8"/>
      <c r="E67" s="31">
        <v>8.6</v>
      </c>
      <c r="F67" s="50">
        <f>SUM(E67)</f>
        <v>8.6</v>
      </c>
      <c r="G67" s="50">
        <v>39.81</v>
      </c>
      <c r="H67" s="64">
        <f t="shared" si="12"/>
        <v>0.342366</v>
      </c>
      <c r="I67" s="34">
        <v>0</v>
      </c>
      <c r="J67" s="34">
        <v>0</v>
      </c>
      <c r="K67" s="34">
        <v>0</v>
      </c>
      <c r="L67" s="34">
        <v>0</v>
      </c>
      <c r="M67" s="34">
        <f>F67*G67</f>
        <v>342.36599999999999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f t="shared" si="11"/>
        <v>342.36599999999999</v>
      </c>
    </row>
    <row r="68" spans="1:21">
      <c r="A68" s="62" t="s">
        <v>194</v>
      </c>
      <c r="B68" s="8" t="s">
        <v>79</v>
      </c>
      <c r="C68" s="62" t="s">
        <v>80</v>
      </c>
      <c r="D68" s="8" t="s">
        <v>34</v>
      </c>
      <c r="E68" s="63">
        <v>6</v>
      </c>
      <c r="F68" s="32">
        <v>6</v>
      </c>
      <c r="G68" s="50">
        <v>53.32</v>
      </c>
      <c r="H68" s="64">
        <f t="shared" si="12"/>
        <v>0.31992000000000004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f>F68*G68</f>
        <v>319.92</v>
      </c>
      <c r="R68" s="34">
        <v>0</v>
      </c>
      <c r="S68" s="34">
        <v>0</v>
      </c>
      <c r="T68" s="34">
        <v>0</v>
      </c>
      <c r="U68" s="34">
        <f t="shared" si="11"/>
        <v>319.92</v>
      </c>
    </row>
    <row r="69" spans="1:21">
      <c r="A69" s="135"/>
      <c r="B69" s="17" t="s">
        <v>81</v>
      </c>
      <c r="C69" s="62"/>
      <c r="D69" s="8"/>
      <c r="E69" s="63"/>
      <c r="F69" s="50"/>
      <c r="G69" s="50"/>
      <c r="H69" s="64" t="s">
        <v>45</v>
      </c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</row>
    <row r="70" spans="1:21">
      <c r="A70" s="62" t="s">
        <v>195</v>
      </c>
      <c r="B70" s="8" t="s">
        <v>82</v>
      </c>
      <c r="C70" s="62" t="s">
        <v>83</v>
      </c>
      <c r="D70" s="8"/>
      <c r="E70" s="63">
        <v>2</v>
      </c>
      <c r="F70" s="50">
        <v>0.2</v>
      </c>
      <c r="G70" s="50">
        <v>536.23</v>
      </c>
      <c r="H70" s="64">
        <f t="shared" si="12"/>
        <v>0.10724600000000001</v>
      </c>
      <c r="I70" s="34">
        <f>G70*0.1</f>
        <v>53.623000000000005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f>G70*0.2</f>
        <v>107.24600000000001</v>
      </c>
      <c r="Q70" s="34">
        <v>0</v>
      </c>
      <c r="R70" s="34">
        <v>0</v>
      </c>
      <c r="S70" s="34">
        <v>0</v>
      </c>
      <c r="T70" s="34">
        <v>0</v>
      </c>
      <c r="U70" s="34">
        <f t="shared" si="11"/>
        <v>160.86900000000003</v>
      </c>
    </row>
    <row r="71" spans="1:21">
      <c r="A71" s="62" t="s">
        <v>196</v>
      </c>
      <c r="B71" s="8" t="s">
        <v>102</v>
      </c>
      <c r="C71" s="62" t="s">
        <v>36</v>
      </c>
      <c r="D71" s="8"/>
      <c r="E71" s="63">
        <v>2</v>
      </c>
      <c r="F71" s="61">
        <v>2</v>
      </c>
      <c r="G71" s="50">
        <v>911.85</v>
      </c>
      <c r="H71" s="64">
        <f>F71*G71/1000</f>
        <v>1.8237000000000001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f t="shared" si="11"/>
        <v>0</v>
      </c>
    </row>
    <row r="72" spans="1:21">
      <c r="A72" s="62" t="s">
        <v>197</v>
      </c>
      <c r="B72" s="8" t="s">
        <v>104</v>
      </c>
      <c r="C72" s="62" t="s">
        <v>36</v>
      </c>
      <c r="D72" s="8"/>
      <c r="E72" s="63">
        <v>1</v>
      </c>
      <c r="F72" s="50">
        <v>1</v>
      </c>
      <c r="G72" s="50">
        <v>383.25</v>
      </c>
      <c r="H72" s="64">
        <f>G72*F72/1000</f>
        <v>0.38324999999999998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f t="shared" si="11"/>
        <v>0</v>
      </c>
    </row>
    <row r="73" spans="1:21">
      <c r="A73" s="135"/>
      <c r="B73" s="67" t="s">
        <v>84</v>
      </c>
      <c r="C73" s="62"/>
      <c r="D73" s="8"/>
      <c r="E73" s="63"/>
      <c r="F73" s="50"/>
      <c r="G73" s="50" t="s">
        <v>45</v>
      </c>
      <c r="H73" s="64" t="s">
        <v>45</v>
      </c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</row>
    <row r="74" spans="1:21" s="1" customFormat="1">
      <c r="A74" s="65" t="s">
        <v>85</v>
      </c>
      <c r="B74" s="68" t="s">
        <v>86</v>
      </c>
      <c r="C74" s="65" t="s">
        <v>78</v>
      </c>
      <c r="D74" s="15"/>
      <c r="E74" s="69"/>
      <c r="F74" s="51">
        <v>0.5</v>
      </c>
      <c r="G74" s="51">
        <v>2949.85</v>
      </c>
      <c r="H74" s="64">
        <f t="shared" si="12"/>
        <v>1.474925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34">
        <f t="shared" si="11"/>
        <v>0</v>
      </c>
    </row>
    <row r="75" spans="1:21" s="20" customFormat="1">
      <c r="A75" s="136"/>
      <c r="B75" s="19" t="s">
        <v>28</v>
      </c>
      <c r="C75" s="70"/>
      <c r="D75" s="71"/>
      <c r="E75" s="72"/>
      <c r="F75" s="55"/>
      <c r="G75" s="55"/>
      <c r="H75" s="73">
        <f>SUM(H56:H74)</f>
        <v>104.75020877000001</v>
      </c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>
        <f>SUM(U56:U74)</f>
        <v>92140.376970000012</v>
      </c>
    </row>
    <row r="76" spans="1:21">
      <c r="A76" s="137" t="s">
        <v>133</v>
      </c>
      <c r="B76" s="10" t="s">
        <v>134</v>
      </c>
      <c r="C76" s="75"/>
      <c r="D76" s="76"/>
      <c r="E76" s="120"/>
      <c r="F76" s="77">
        <v>1</v>
      </c>
      <c r="G76" s="78">
        <v>8275.7000000000007</v>
      </c>
      <c r="H76" s="64">
        <f>G76*F76/1000</f>
        <v>8.2757000000000005</v>
      </c>
      <c r="I76" s="34">
        <v>0</v>
      </c>
      <c r="J76" s="34">
        <f>G76</f>
        <v>8275.7000000000007</v>
      </c>
      <c r="K76" s="34">
        <v>0</v>
      </c>
      <c r="L76" s="34">
        <v>0</v>
      </c>
      <c r="M76" s="35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f t="shared" si="11"/>
        <v>8275.7000000000007</v>
      </c>
    </row>
    <row r="77" spans="1:21" ht="12.75" customHeight="1">
      <c r="A77" s="62"/>
      <c r="B77" s="74" t="s">
        <v>87</v>
      </c>
      <c r="C77" s="62" t="s">
        <v>88</v>
      </c>
      <c r="D77" s="79"/>
      <c r="E77" s="50">
        <v>2626.5</v>
      </c>
      <c r="F77" s="50">
        <f>SUM(E77*12)</f>
        <v>31518</v>
      </c>
      <c r="G77" s="80">
        <v>2.2400000000000002</v>
      </c>
      <c r="H77" s="64">
        <f>SUM(F77*G77/1000)</f>
        <v>70.600320000000011</v>
      </c>
      <c r="I77" s="34">
        <f>F77/12*G77</f>
        <v>5883.3600000000006</v>
      </c>
      <c r="J77" s="34">
        <f>F77/12*G77</f>
        <v>5883.3600000000006</v>
      </c>
      <c r="K77" s="34">
        <f>F77/12*G77</f>
        <v>5883.3600000000006</v>
      </c>
      <c r="L77" s="34">
        <f>F77/12*G77</f>
        <v>5883.3600000000006</v>
      </c>
      <c r="M77" s="34">
        <f>F77/12*G77</f>
        <v>5883.3600000000006</v>
      </c>
      <c r="N77" s="34">
        <f>F77/12*G77</f>
        <v>5883.3600000000006</v>
      </c>
      <c r="O77" s="34">
        <f>F77/12*G77</f>
        <v>5883.3600000000006</v>
      </c>
      <c r="P77" s="34">
        <f>F77/12*G77</f>
        <v>5883.3600000000006</v>
      </c>
      <c r="Q77" s="34">
        <f>F77/12*G77</f>
        <v>5883.3600000000006</v>
      </c>
      <c r="R77" s="34">
        <f>F77/12*G77</f>
        <v>5883.3600000000006</v>
      </c>
      <c r="S77" s="34">
        <f>F77/12*G77</f>
        <v>5883.3600000000006</v>
      </c>
      <c r="T77" s="34">
        <f>F77/12*G77</f>
        <v>5883.3600000000006</v>
      </c>
      <c r="U77" s="34">
        <f t="shared" si="11"/>
        <v>58833.600000000006</v>
      </c>
    </row>
    <row r="78" spans="1:21" s="18" customFormat="1">
      <c r="A78" s="81"/>
      <c r="B78" s="19" t="s">
        <v>28</v>
      </c>
      <c r="C78" s="82"/>
      <c r="D78" s="83"/>
      <c r="E78" s="84"/>
      <c r="F78" s="41"/>
      <c r="G78" s="85"/>
      <c r="H78" s="42">
        <f>SUM(H76:H77)</f>
        <v>78.876020000000011</v>
      </c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>
        <f>SUM(U76:U77)</f>
        <v>67109.3</v>
      </c>
    </row>
    <row r="79" spans="1:21" ht="25.5" customHeight="1">
      <c r="A79" s="135"/>
      <c r="B79" s="8" t="s">
        <v>89</v>
      </c>
      <c r="C79" s="62"/>
      <c r="D79" s="86"/>
      <c r="E79" s="31">
        <f>E77</f>
        <v>2626.5</v>
      </c>
      <c r="F79" s="50">
        <f>E79*12</f>
        <v>31518</v>
      </c>
      <c r="G79" s="50">
        <v>1.74</v>
      </c>
      <c r="H79" s="64">
        <f>F79*G79/1000</f>
        <v>54.841320000000003</v>
      </c>
      <c r="I79" s="34">
        <f>F79/12*G79</f>
        <v>4570.1099999999997</v>
      </c>
      <c r="J79" s="34">
        <f>F79/12*G79</f>
        <v>4570.1099999999997</v>
      </c>
      <c r="K79" s="34">
        <f>F79/12*G79</f>
        <v>4570.1099999999997</v>
      </c>
      <c r="L79" s="34">
        <f>F79/12*G79</f>
        <v>4570.1099999999997</v>
      </c>
      <c r="M79" s="34">
        <f>F79/12*G79</f>
        <v>4570.1099999999997</v>
      </c>
      <c r="N79" s="34">
        <f>F79/12*G79</f>
        <v>4570.1099999999997</v>
      </c>
      <c r="O79" s="34">
        <f>F79/12*G79</f>
        <v>4570.1099999999997</v>
      </c>
      <c r="P79" s="34">
        <f>F79/12*G79</f>
        <v>4570.1099999999997</v>
      </c>
      <c r="Q79" s="34">
        <f>F79/12*G79</f>
        <v>4570.1099999999997</v>
      </c>
      <c r="R79" s="34">
        <f>F79/12*G79</f>
        <v>4570.1099999999997</v>
      </c>
      <c r="S79" s="34">
        <f>F79/12*G79</f>
        <v>4570.1099999999997</v>
      </c>
      <c r="T79" s="34">
        <f>F79/12*G79</f>
        <v>4570.1099999999997</v>
      </c>
      <c r="U79" s="34">
        <f t="shared" si="11"/>
        <v>45701.1</v>
      </c>
    </row>
    <row r="80" spans="1:21" s="18" customFormat="1">
      <c r="A80" s="81"/>
      <c r="B80" s="87" t="s">
        <v>90</v>
      </c>
      <c r="C80" s="88"/>
      <c r="D80" s="87"/>
      <c r="E80" s="41"/>
      <c r="F80" s="41"/>
      <c r="G80" s="41"/>
      <c r="H80" s="73">
        <f>H79</f>
        <v>54.841320000000003</v>
      </c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116">
        <f>U79</f>
        <v>45701.1</v>
      </c>
    </row>
    <row r="81" spans="1:21" s="18" customFormat="1">
      <c r="A81" s="81"/>
      <c r="B81" s="87" t="s">
        <v>91</v>
      </c>
      <c r="C81" s="89"/>
      <c r="D81" s="90"/>
      <c r="E81" s="91"/>
      <c r="F81" s="91"/>
      <c r="G81" s="91"/>
      <c r="H81" s="73">
        <f>SUM(H80+H78+H75+H54+H42+H33+H22)</f>
        <v>610.41202700600013</v>
      </c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116">
        <f>SUM(U80+U78+U75+U54+U42+U33+U22)</f>
        <v>495150.87603733334</v>
      </c>
    </row>
    <row r="82" spans="1:21">
      <c r="A82" s="135"/>
      <c r="B82" s="86" t="s">
        <v>92</v>
      </c>
      <c r="C82" s="62"/>
      <c r="D82" s="86"/>
      <c r="E82" s="50"/>
      <c r="F82" s="50"/>
      <c r="G82" s="50" t="s">
        <v>93</v>
      </c>
      <c r="H82" s="92">
        <f>E79</f>
        <v>2626.5</v>
      </c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</row>
    <row r="83" spans="1:21" s="18" customFormat="1">
      <c r="A83" s="81"/>
      <c r="B83" s="90" t="s">
        <v>94</v>
      </c>
      <c r="C83" s="89"/>
      <c r="D83" s="90"/>
      <c r="E83" s="91"/>
      <c r="F83" s="91"/>
      <c r="G83" s="91"/>
      <c r="H83" s="93">
        <f>SUM(H81/H82/12*1000)</f>
        <v>19.367092677390701</v>
      </c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117"/>
    </row>
    <row r="84" spans="1:21">
      <c r="A84" s="94"/>
      <c r="B84" s="86"/>
      <c r="C84" s="62"/>
      <c r="D84" s="86"/>
      <c r="E84" s="50"/>
      <c r="F84" s="50"/>
      <c r="G84" s="50"/>
      <c r="H84" s="95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118"/>
    </row>
    <row r="85" spans="1:21">
      <c r="A85" s="135"/>
      <c r="B85" s="67" t="s">
        <v>95</v>
      </c>
      <c r="C85" s="62"/>
      <c r="D85" s="86"/>
      <c r="E85" s="50"/>
      <c r="F85" s="50"/>
      <c r="G85" s="50"/>
      <c r="H85" s="50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</row>
    <row r="86" spans="1:21" ht="25.5">
      <c r="A86" s="122" t="s">
        <v>198</v>
      </c>
      <c r="B86" s="123" t="s">
        <v>130</v>
      </c>
      <c r="C86" s="122" t="s">
        <v>62</v>
      </c>
      <c r="D86" s="8"/>
      <c r="E86" s="63"/>
      <c r="F86" s="50">
        <v>460</v>
      </c>
      <c r="G86" s="50">
        <v>53.42</v>
      </c>
      <c r="H86" s="64">
        <f>G86*F86/1000</f>
        <v>24.5732</v>
      </c>
      <c r="I86" s="34">
        <f>G86*46</f>
        <v>2457.3200000000002</v>
      </c>
      <c r="J86" s="34">
        <f>G86*46</f>
        <v>2457.3200000000002</v>
      </c>
      <c r="K86" s="34">
        <f>G86*46</f>
        <v>2457.3200000000002</v>
      </c>
      <c r="L86" s="34">
        <f>G86*46</f>
        <v>2457.3200000000002</v>
      </c>
      <c r="M86" s="34">
        <f>G86*46</f>
        <v>2457.3200000000002</v>
      </c>
      <c r="N86" s="34">
        <f>G86*46</f>
        <v>2457.3200000000002</v>
      </c>
      <c r="O86" s="34">
        <f>G86*46</f>
        <v>2457.3200000000002</v>
      </c>
      <c r="P86" s="34">
        <f>G86*46</f>
        <v>2457.3200000000002</v>
      </c>
      <c r="Q86" s="34">
        <f>G86*46</f>
        <v>2457.3200000000002</v>
      </c>
      <c r="R86" s="34">
        <f>G86*46</f>
        <v>2457.3200000000002</v>
      </c>
      <c r="S86" s="34">
        <f>G86*46</f>
        <v>2457.3200000000002</v>
      </c>
      <c r="T86" s="34">
        <f>G86*46</f>
        <v>2457.3200000000002</v>
      </c>
      <c r="U86" s="34">
        <f t="shared" ref="U86:U107" si="13">SUM(I86:R86)</f>
        <v>24573.200000000001</v>
      </c>
    </row>
    <row r="87" spans="1:21" ht="25.5">
      <c r="A87" s="122" t="s">
        <v>206</v>
      </c>
      <c r="B87" s="123" t="s">
        <v>205</v>
      </c>
      <c r="C87" s="122" t="s">
        <v>62</v>
      </c>
      <c r="D87" s="8"/>
      <c r="E87" s="63"/>
      <c r="F87" s="50">
        <v>6</v>
      </c>
      <c r="G87" s="50">
        <v>189.88</v>
      </c>
      <c r="H87" s="50">
        <f>G87*F87/1000</f>
        <v>1.1392800000000001</v>
      </c>
      <c r="I87" s="34">
        <f>G87</f>
        <v>189.88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f>G87*2</f>
        <v>379.76</v>
      </c>
      <c r="P87" s="34">
        <f>G87</f>
        <v>189.88</v>
      </c>
      <c r="Q87" s="34">
        <v>0</v>
      </c>
      <c r="R87" s="34">
        <f>G87*2</f>
        <v>379.76</v>
      </c>
      <c r="S87" s="34">
        <v>0</v>
      </c>
      <c r="T87" s="34">
        <f>G87</f>
        <v>189.88</v>
      </c>
      <c r="U87" s="34">
        <f t="shared" si="13"/>
        <v>1139.28</v>
      </c>
    </row>
    <row r="88" spans="1:21">
      <c r="A88" s="147" t="s">
        <v>207</v>
      </c>
      <c r="B88" s="148" t="s">
        <v>208</v>
      </c>
      <c r="C88" s="147" t="s">
        <v>62</v>
      </c>
      <c r="D88" s="8"/>
      <c r="E88" s="63"/>
      <c r="F88" s="50">
        <v>2</v>
      </c>
      <c r="G88" s="51">
        <v>86.15</v>
      </c>
      <c r="H88" s="50">
        <f t="shared" ref="H88:H90" si="14">G88*F88/1000</f>
        <v>0.17230000000000001</v>
      </c>
      <c r="I88" s="34">
        <f>G88</f>
        <v>86.15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f>G88</f>
        <v>86.15</v>
      </c>
      <c r="S88" s="34">
        <v>0</v>
      </c>
      <c r="T88" s="34">
        <v>0</v>
      </c>
      <c r="U88" s="34">
        <f t="shared" si="13"/>
        <v>172.3</v>
      </c>
    </row>
    <row r="89" spans="1:21" ht="38.25">
      <c r="A89" s="147" t="s">
        <v>210</v>
      </c>
      <c r="B89" s="148" t="s">
        <v>211</v>
      </c>
      <c r="C89" s="147"/>
      <c r="D89" s="8"/>
      <c r="E89" s="63"/>
      <c r="F89" s="50">
        <v>1</v>
      </c>
      <c r="G89" s="51">
        <v>3900</v>
      </c>
      <c r="H89" s="50">
        <f t="shared" si="14"/>
        <v>3.9</v>
      </c>
      <c r="I89" s="34">
        <f>G89</f>
        <v>3900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f t="shared" si="13"/>
        <v>3900</v>
      </c>
    </row>
    <row r="90" spans="1:21" ht="25.5">
      <c r="A90" s="140" t="s">
        <v>116</v>
      </c>
      <c r="B90" s="141" t="s">
        <v>209</v>
      </c>
      <c r="C90" s="142" t="s">
        <v>138</v>
      </c>
      <c r="D90" s="8"/>
      <c r="E90" s="63"/>
      <c r="F90" s="50">
        <v>1</v>
      </c>
      <c r="G90" s="50">
        <v>1934.94</v>
      </c>
      <c r="H90" s="50">
        <f t="shared" si="14"/>
        <v>1.9349400000000001</v>
      </c>
      <c r="I90" s="34">
        <v>0</v>
      </c>
      <c r="J90" s="34">
        <f>G90</f>
        <v>1934.94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f t="shared" si="13"/>
        <v>1934.94</v>
      </c>
    </row>
    <row r="91" spans="1:21" ht="25.5">
      <c r="A91" s="122" t="s">
        <v>184</v>
      </c>
      <c r="B91" s="123" t="s">
        <v>224</v>
      </c>
      <c r="C91" s="122" t="s">
        <v>59</v>
      </c>
      <c r="D91" s="8"/>
      <c r="E91" s="63"/>
      <c r="F91" s="50">
        <v>0.03</v>
      </c>
      <c r="G91" s="50">
        <v>3581.13</v>
      </c>
      <c r="H91" s="64">
        <f>G91*F91/1000</f>
        <v>0.1074339</v>
      </c>
      <c r="I91" s="34">
        <v>0</v>
      </c>
      <c r="J91" s="34">
        <f>G91*0.01</f>
        <v>35.811300000000003</v>
      </c>
      <c r="K91" s="34">
        <f>G91*0.01</f>
        <v>35.811300000000003</v>
      </c>
      <c r="L91" s="34">
        <v>0</v>
      </c>
      <c r="M91" s="34">
        <v>0</v>
      </c>
      <c r="N91" s="34">
        <v>0</v>
      </c>
      <c r="O91" s="34">
        <v>0</v>
      </c>
      <c r="P91" s="34">
        <f>G91*0.01</f>
        <v>35.811300000000003</v>
      </c>
      <c r="Q91" s="34">
        <v>0</v>
      </c>
      <c r="R91" s="34">
        <v>0</v>
      </c>
      <c r="S91" s="34">
        <v>0</v>
      </c>
      <c r="T91" s="34">
        <v>0</v>
      </c>
      <c r="U91" s="34">
        <f t="shared" si="13"/>
        <v>107.43390000000001</v>
      </c>
    </row>
    <row r="92" spans="1:21" ht="25.5" customHeight="1">
      <c r="A92" s="143" t="s">
        <v>183</v>
      </c>
      <c r="B92" s="144" t="s">
        <v>225</v>
      </c>
      <c r="C92" s="143" t="s">
        <v>48</v>
      </c>
      <c r="D92" s="8"/>
      <c r="E92" s="63"/>
      <c r="F92" s="145">
        <v>5.0000000000000001E-3</v>
      </c>
      <c r="G92" s="50">
        <v>1591.6</v>
      </c>
      <c r="H92" s="64">
        <f>G92*F92/1000</f>
        <v>7.9579999999999998E-3</v>
      </c>
      <c r="I92" s="34">
        <v>0</v>
      </c>
      <c r="J92" s="34">
        <f>G92*0.001</f>
        <v>1.5915999999999999</v>
      </c>
      <c r="K92" s="34">
        <f>G92*0.001</f>
        <v>1.5915999999999999</v>
      </c>
      <c r="L92" s="34">
        <v>0</v>
      </c>
      <c r="M92" s="34">
        <v>0</v>
      </c>
      <c r="N92" s="34">
        <f>G92*0.001</f>
        <v>1.5915999999999999</v>
      </c>
      <c r="O92" s="34">
        <f>G92*0.001</f>
        <v>1.5915999999999999</v>
      </c>
      <c r="P92" s="34">
        <v>0</v>
      </c>
      <c r="Q92" s="34">
        <v>0</v>
      </c>
      <c r="R92" s="34">
        <f>G92*0.001</f>
        <v>1.5915999999999999</v>
      </c>
      <c r="S92" s="34">
        <v>0</v>
      </c>
      <c r="T92" s="34">
        <v>0</v>
      </c>
      <c r="U92" s="34">
        <f t="shared" si="13"/>
        <v>7.9579999999999993</v>
      </c>
    </row>
    <row r="93" spans="1:21" ht="25.5">
      <c r="A93" s="146" t="s">
        <v>201</v>
      </c>
      <c r="B93" s="123" t="s">
        <v>135</v>
      </c>
      <c r="C93" s="122" t="s">
        <v>62</v>
      </c>
      <c r="D93" s="8"/>
      <c r="E93" s="63"/>
      <c r="F93" s="50">
        <v>1</v>
      </c>
      <c r="G93" s="50">
        <v>83.36</v>
      </c>
      <c r="H93" s="64">
        <f t="shared" ref="H93:H98" si="15">G93*F93/1000</f>
        <v>8.3360000000000004E-2</v>
      </c>
      <c r="I93" s="34">
        <v>0</v>
      </c>
      <c r="J93" s="34">
        <f>G93</f>
        <v>83.36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f>G93</f>
        <v>83.36</v>
      </c>
      <c r="T93" s="34">
        <v>0</v>
      </c>
      <c r="U93" s="34">
        <f t="shared" si="13"/>
        <v>83.36</v>
      </c>
    </row>
    <row r="94" spans="1:21">
      <c r="A94" s="146" t="s">
        <v>156</v>
      </c>
      <c r="B94" s="123" t="s">
        <v>240</v>
      </c>
      <c r="C94" s="122" t="s">
        <v>241</v>
      </c>
      <c r="D94" s="8"/>
      <c r="E94" s="63"/>
      <c r="F94" s="50">
        <v>1</v>
      </c>
      <c r="G94" s="50">
        <v>10279</v>
      </c>
      <c r="H94" s="64">
        <f t="shared" si="15"/>
        <v>10.279</v>
      </c>
      <c r="I94" s="34">
        <v>0</v>
      </c>
      <c r="J94" s="34">
        <f>G94</f>
        <v>10279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f t="shared" si="13"/>
        <v>10279</v>
      </c>
    </row>
    <row r="95" spans="1:21" ht="25.5" customHeight="1">
      <c r="A95" s="122" t="s">
        <v>185</v>
      </c>
      <c r="B95" s="123" t="s">
        <v>221</v>
      </c>
      <c r="C95" s="122" t="s">
        <v>154</v>
      </c>
      <c r="D95" s="86"/>
      <c r="E95" s="50"/>
      <c r="F95" s="50">
        <v>0.02</v>
      </c>
      <c r="G95" s="50">
        <v>7412.92</v>
      </c>
      <c r="H95" s="64">
        <f>G95*F95/1000</f>
        <v>0.14825839999999998</v>
      </c>
      <c r="I95" s="34">
        <v>0</v>
      </c>
      <c r="J95" s="34">
        <v>0</v>
      </c>
      <c r="K95" s="34">
        <v>0</v>
      </c>
      <c r="L95" s="34">
        <f>G95*0.01</f>
        <v>74.129199999999997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f>G95*0.01</f>
        <v>74.129199999999997</v>
      </c>
      <c r="S95" s="34">
        <v>0</v>
      </c>
      <c r="T95" s="34">
        <v>0</v>
      </c>
      <c r="U95" s="34">
        <f t="shared" si="13"/>
        <v>148.25839999999999</v>
      </c>
    </row>
    <row r="96" spans="1:21" ht="25.5">
      <c r="A96" s="122" t="s">
        <v>212</v>
      </c>
      <c r="B96" s="123" t="s">
        <v>213</v>
      </c>
      <c r="C96" s="122" t="s">
        <v>136</v>
      </c>
      <c r="D96" s="8"/>
      <c r="E96" s="63"/>
      <c r="F96" s="50">
        <v>3</v>
      </c>
      <c r="G96" s="50">
        <v>1332.61</v>
      </c>
      <c r="H96" s="64">
        <f t="shared" si="15"/>
        <v>3.99783</v>
      </c>
      <c r="I96" s="34">
        <v>0</v>
      </c>
      <c r="J96" s="34">
        <v>0</v>
      </c>
      <c r="K96" s="34">
        <v>0</v>
      </c>
      <c r="L96" s="34">
        <v>0</v>
      </c>
      <c r="M96" s="34">
        <f>G96*3</f>
        <v>3997.83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f t="shared" si="13"/>
        <v>3997.83</v>
      </c>
    </row>
    <row r="97" spans="1:21" ht="25.5">
      <c r="A97" s="146" t="s">
        <v>215</v>
      </c>
      <c r="B97" s="123" t="s">
        <v>214</v>
      </c>
      <c r="C97" s="122" t="s">
        <v>140</v>
      </c>
      <c r="D97" s="8"/>
      <c r="E97" s="63"/>
      <c r="F97" s="50">
        <v>2</v>
      </c>
      <c r="G97" s="50">
        <v>1020.84</v>
      </c>
      <c r="H97" s="64">
        <f t="shared" si="15"/>
        <v>2.0416799999999999</v>
      </c>
      <c r="I97" s="34">
        <v>0</v>
      </c>
      <c r="J97" s="34">
        <v>0</v>
      </c>
      <c r="K97" s="34">
        <v>0</v>
      </c>
      <c r="L97" s="34">
        <v>0</v>
      </c>
      <c r="M97" s="34">
        <f>G97*2</f>
        <v>2041.68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f t="shared" si="13"/>
        <v>2041.68</v>
      </c>
    </row>
    <row r="98" spans="1:21" ht="25.5">
      <c r="A98" s="122" t="s">
        <v>216</v>
      </c>
      <c r="B98" s="123" t="s">
        <v>217</v>
      </c>
      <c r="C98" s="122" t="s">
        <v>140</v>
      </c>
      <c r="D98" s="8"/>
      <c r="E98" s="63"/>
      <c r="F98" s="50">
        <v>4</v>
      </c>
      <c r="G98" s="50">
        <v>520.51</v>
      </c>
      <c r="H98" s="64">
        <f t="shared" si="15"/>
        <v>2.0820400000000001</v>
      </c>
      <c r="I98" s="34">
        <v>0</v>
      </c>
      <c r="J98" s="34">
        <v>0</v>
      </c>
      <c r="K98" s="34">
        <v>0</v>
      </c>
      <c r="L98" s="34">
        <v>0</v>
      </c>
      <c r="M98" s="34">
        <f>G98*4</f>
        <v>2082.04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f t="shared" si="13"/>
        <v>2082.04</v>
      </c>
    </row>
    <row r="99" spans="1:21" ht="12.75" customHeight="1">
      <c r="A99" s="149" t="s">
        <v>218</v>
      </c>
      <c r="B99" s="150" t="s">
        <v>219</v>
      </c>
      <c r="C99" s="149" t="s">
        <v>220</v>
      </c>
      <c r="D99" s="86"/>
      <c r="E99" s="50"/>
      <c r="F99" s="50">
        <v>1</v>
      </c>
      <c r="G99" s="50">
        <v>1120.8900000000001</v>
      </c>
      <c r="H99" s="64">
        <f>G99*F99/1000</f>
        <v>1.1208900000000002</v>
      </c>
      <c r="I99" s="34">
        <v>0</v>
      </c>
      <c r="J99" s="34">
        <v>0</v>
      </c>
      <c r="K99" s="34">
        <v>0</v>
      </c>
      <c r="L99" s="34">
        <v>0</v>
      </c>
      <c r="M99" s="34">
        <f>G99</f>
        <v>1120.8900000000001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0</v>
      </c>
      <c r="U99" s="34">
        <f t="shared" si="13"/>
        <v>1120.8900000000001</v>
      </c>
    </row>
    <row r="100" spans="1:21" ht="12.75" customHeight="1">
      <c r="A100" s="143" t="s">
        <v>222</v>
      </c>
      <c r="B100" s="144" t="s">
        <v>223</v>
      </c>
      <c r="C100" s="143" t="s">
        <v>140</v>
      </c>
      <c r="D100" s="86"/>
      <c r="E100" s="50"/>
      <c r="F100" s="50">
        <v>1</v>
      </c>
      <c r="G100" s="50">
        <v>4369.6099999999997</v>
      </c>
      <c r="H100" s="64">
        <f>G100*F100/1000</f>
        <v>4.3696099999999998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f>G100</f>
        <v>4369.6099999999997</v>
      </c>
      <c r="P100" s="34">
        <v>0</v>
      </c>
      <c r="Q100" s="34">
        <v>0</v>
      </c>
      <c r="R100" s="34">
        <v>0</v>
      </c>
      <c r="S100" s="34">
        <v>0</v>
      </c>
      <c r="T100" s="34">
        <v>0</v>
      </c>
      <c r="U100" s="34">
        <f t="shared" si="13"/>
        <v>4369.6099999999997</v>
      </c>
    </row>
    <row r="101" spans="1:21" ht="25.5">
      <c r="A101" s="140" t="s">
        <v>156</v>
      </c>
      <c r="B101" s="141" t="s">
        <v>203</v>
      </c>
      <c r="C101" s="142" t="s">
        <v>136</v>
      </c>
      <c r="D101" s="8"/>
      <c r="E101" s="63"/>
      <c r="F101" s="50">
        <v>2.5</v>
      </c>
      <c r="G101" s="125">
        <v>1187</v>
      </c>
      <c r="H101" s="64">
        <f>G101*F101/1000</f>
        <v>2.9674999999999998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f>G101*1.5</f>
        <v>1780.5</v>
      </c>
      <c r="P101" s="34">
        <v>0</v>
      </c>
      <c r="Q101" s="34">
        <v>0</v>
      </c>
      <c r="R101" s="34">
        <f>G101</f>
        <v>1187</v>
      </c>
      <c r="S101" s="34">
        <v>0</v>
      </c>
      <c r="T101" s="34">
        <v>0</v>
      </c>
      <c r="U101" s="34">
        <f t="shared" si="13"/>
        <v>2967.5</v>
      </c>
    </row>
    <row r="102" spans="1:21" ht="25.5">
      <c r="A102" s="140" t="s">
        <v>156</v>
      </c>
      <c r="B102" s="141" t="s">
        <v>202</v>
      </c>
      <c r="C102" s="142" t="s">
        <v>136</v>
      </c>
      <c r="D102" s="8"/>
      <c r="E102" s="63"/>
      <c r="F102" s="50">
        <v>1.3</v>
      </c>
      <c r="G102" s="125">
        <v>1272</v>
      </c>
      <c r="H102" s="64">
        <f t="shared" ref="H102" si="16">G102*F102/1000</f>
        <v>1.6536000000000002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f>G102</f>
        <v>1272</v>
      </c>
      <c r="P102" s="34">
        <v>0</v>
      </c>
      <c r="Q102" s="34">
        <v>0</v>
      </c>
      <c r="R102" s="34">
        <f>G102*0.3</f>
        <v>381.59999999999997</v>
      </c>
      <c r="S102" s="34">
        <v>0</v>
      </c>
      <c r="T102" s="34">
        <f>G102*(0.3+0.3)</f>
        <v>763.19999999999993</v>
      </c>
      <c r="U102" s="34">
        <f t="shared" si="13"/>
        <v>1653.6</v>
      </c>
    </row>
    <row r="103" spans="1:21" s="152" customFormat="1" ht="25.5">
      <c r="A103" s="122" t="s">
        <v>228</v>
      </c>
      <c r="B103" s="123" t="s">
        <v>229</v>
      </c>
      <c r="C103" s="122" t="s">
        <v>155</v>
      </c>
      <c r="D103" s="86"/>
      <c r="E103" s="50"/>
      <c r="F103" s="50">
        <f>12/10</f>
        <v>1.2</v>
      </c>
      <c r="G103" s="50">
        <v>2064.25</v>
      </c>
      <c r="H103" s="151">
        <f t="shared" ref="H103" si="17">G103*F103/1000</f>
        <v>2.4771000000000001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f>G103*1.2</f>
        <v>2477.1</v>
      </c>
      <c r="P103" s="34">
        <v>0</v>
      </c>
      <c r="Q103" s="34">
        <v>0</v>
      </c>
      <c r="R103" s="34">
        <v>0</v>
      </c>
      <c r="S103" s="34">
        <v>0</v>
      </c>
      <c r="T103" s="34">
        <v>0</v>
      </c>
      <c r="U103" s="34">
        <f t="shared" si="13"/>
        <v>2477.1</v>
      </c>
    </row>
    <row r="104" spans="1:21">
      <c r="A104" s="122" t="s">
        <v>199</v>
      </c>
      <c r="B104" s="123" t="s">
        <v>153</v>
      </c>
      <c r="C104" s="122" t="s">
        <v>141</v>
      </c>
      <c r="D104" s="8"/>
      <c r="E104" s="63"/>
      <c r="F104" s="50">
        <v>2</v>
      </c>
      <c r="G104" s="50">
        <v>195.85</v>
      </c>
      <c r="H104" s="64">
        <f>G104*F104/1000</f>
        <v>0.39169999999999999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f>G104*2</f>
        <v>391.7</v>
      </c>
      <c r="Q104" s="34">
        <v>0</v>
      </c>
      <c r="R104" s="34">
        <v>0</v>
      </c>
      <c r="S104" s="34">
        <v>0</v>
      </c>
      <c r="T104" s="34">
        <f>G104*2</f>
        <v>391.7</v>
      </c>
      <c r="U104" s="34">
        <f t="shared" si="13"/>
        <v>391.7</v>
      </c>
    </row>
    <row r="105" spans="1:21">
      <c r="A105" s="143" t="s">
        <v>226</v>
      </c>
      <c r="B105" s="144" t="s">
        <v>227</v>
      </c>
      <c r="C105" s="143" t="s">
        <v>62</v>
      </c>
      <c r="D105" s="8"/>
      <c r="E105" s="63"/>
      <c r="F105" s="50">
        <v>1</v>
      </c>
      <c r="G105" s="50">
        <v>1605.83</v>
      </c>
      <c r="H105" s="64">
        <f>G105*F105/1000</f>
        <v>1.6058299999999999</v>
      </c>
      <c r="I105" s="34">
        <v>0</v>
      </c>
      <c r="J105" s="34">
        <v>0</v>
      </c>
      <c r="K105" s="34">
        <v>0</v>
      </c>
      <c r="L105" s="34">
        <v>0</v>
      </c>
      <c r="M105" s="34">
        <v>0</v>
      </c>
      <c r="N105" s="34">
        <v>0</v>
      </c>
      <c r="O105" s="34">
        <v>0</v>
      </c>
      <c r="P105" s="34">
        <f>G105</f>
        <v>1605.83</v>
      </c>
      <c r="Q105" s="34">
        <v>0</v>
      </c>
      <c r="R105" s="34">
        <v>0</v>
      </c>
      <c r="S105" s="34">
        <v>0</v>
      </c>
      <c r="T105" s="34">
        <v>0</v>
      </c>
      <c r="U105" s="34">
        <f t="shared" si="13"/>
        <v>1605.83</v>
      </c>
    </row>
    <row r="106" spans="1:21" ht="25.5">
      <c r="A106" s="122" t="s">
        <v>232</v>
      </c>
      <c r="B106" s="123" t="s">
        <v>230</v>
      </c>
      <c r="C106" s="122" t="s">
        <v>231</v>
      </c>
      <c r="D106" s="8"/>
      <c r="E106" s="63"/>
      <c r="F106" s="50">
        <v>4</v>
      </c>
      <c r="G106" s="50">
        <v>206.54</v>
      </c>
      <c r="H106" s="64">
        <f>G106*F106/1000</f>
        <v>0.82616000000000001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  <c r="Q106" s="34">
        <v>0</v>
      </c>
      <c r="R106" s="34">
        <f>G106*(2+1+1)</f>
        <v>826.16</v>
      </c>
      <c r="S106" s="34">
        <v>0</v>
      </c>
      <c r="T106" s="34">
        <v>0</v>
      </c>
      <c r="U106" s="34">
        <f t="shared" si="13"/>
        <v>826.16</v>
      </c>
    </row>
    <row r="107" spans="1:21" ht="25.5">
      <c r="A107" s="146" t="s">
        <v>200</v>
      </c>
      <c r="B107" s="123" t="s">
        <v>137</v>
      </c>
      <c r="C107" s="122" t="s">
        <v>139</v>
      </c>
      <c r="D107" s="8"/>
      <c r="E107" s="63"/>
      <c r="F107" s="50">
        <v>5</v>
      </c>
      <c r="G107" s="50">
        <v>589.84</v>
      </c>
      <c r="H107" s="64">
        <f>G107*F107/1000</f>
        <v>2.9492000000000003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34">
        <v>0</v>
      </c>
      <c r="R107" s="34">
        <f>G107*(3+2)</f>
        <v>2949.2000000000003</v>
      </c>
      <c r="S107" s="34">
        <v>0</v>
      </c>
      <c r="T107" s="34">
        <f>G107</f>
        <v>589.84</v>
      </c>
      <c r="U107" s="34">
        <f t="shared" si="13"/>
        <v>2949.2000000000003</v>
      </c>
    </row>
    <row r="108" spans="1:21">
      <c r="A108" s="96"/>
      <c r="B108" s="97" t="s">
        <v>96</v>
      </c>
      <c r="C108" s="96"/>
      <c r="D108" s="96"/>
      <c r="E108" s="91"/>
      <c r="F108" s="91"/>
      <c r="G108" s="91"/>
      <c r="H108" s="42">
        <f>SUM(H85:H107)</f>
        <v>68.828870300000005</v>
      </c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41">
        <f>SUM(U85:U107)</f>
        <v>68828.870299999995</v>
      </c>
    </row>
    <row r="109" spans="1:21" ht="12" customHeight="1">
      <c r="A109" s="94"/>
      <c r="B109" s="98"/>
      <c r="C109" s="99"/>
      <c r="D109" s="99"/>
      <c r="E109" s="50"/>
      <c r="F109" s="50"/>
      <c r="G109" s="50"/>
      <c r="H109" s="100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119"/>
    </row>
    <row r="110" spans="1:21" s="18" customFormat="1" ht="25.5">
      <c r="A110" s="135"/>
      <c r="B110" s="17" t="s">
        <v>97</v>
      </c>
      <c r="C110" s="62"/>
      <c r="D110" s="86"/>
      <c r="E110" s="50"/>
      <c r="F110" s="50"/>
      <c r="G110" s="50"/>
      <c r="H110" s="101">
        <f>H108/E111/12*1000</f>
        <v>2.1837956183768008</v>
      </c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119"/>
    </row>
    <row r="111" spans="1:21">
      <c r="A111" s="81"/>
      <c r="B111" s="102" t="s">
        <v>98</v>
      </c>
      <c r="C111" s="103"/>
      <c r="D111" s="102"/>
      <c r="E111" s="138">
        <v>2626.5</v>
      </c>
      <c r="F111" s="104">
        <f>SUM(E111*12)</f>
        <v>31518</v>
      </c>
      <c r="G111" s="105">
        <f>H83+H110</f>
        <v>21.550888295767503</v>
      </c>
      <c r="H111" s="106">
        <f>SUM(F111*G111/1000)</f>
        <v>679.24089730600008</v>
      </c>
      <c r="I111" s="91">
        <f t="shared" ref="I111:T111" si="18">SUM(I11:I110)</f>
        <v>49665.663389333335</v>
      </c>
      <c r="J111" s="91">
        <f t="shared" si="18"/>
        <v>65564.695479333343</v>
      </c>
      <c r="K111" s="91">
        <f t="shared" si="18"/>
        <v>43096.778299333339</v>
      </c>
      <c r="L111" s="91">
        <f t="shared" si="18"/>
        <v>57608.478929333345</v>
      </c>
      <c r="M111" s="91">
        <f t="shared" si="18"/>
        <v>133923.97170666669</v>
      </c>
      <c r="N111" s="91">
        <f t="shared" si="18"/>
        <v>36313.83258266667</v>
      </c>
      <c r="O111" s="91">
        <f t="shared" si="18"/>
        <v>46361.300392666672</v>
      </c>
      <c r="P111" s="91">
        <f t="shared" si="18"/>
        <v>44723.86828266667</v>
      </c>
      <c r="Q111" s="91">
        <f t="shared" si="18"/>
        <v>44523.325492666678</v>
      </c>
      <c r="R111" s="91">
        <f t="shared" si="18"/>
        <v>42197.831782666675</v>
      </c>
      <c r="S111" s="91">
        <f t="shared" si="18"/>
        <v>42895.565099333333</v>
      </c>
      <c r="T111" s="91">
        <f t="shared" si="18"/>
        <v>53301.187129333324</v>
      </c>
      <c r="U111" s="41">
        <f>U81+U108</f>
        <v>563979.74633733334</v>
      </c>
    </row>
    <row r="112" spans="1:21">
      <c r="A112" s="66"/>
      <c r="B112" s="66"/>
      <c r="C112" s="66"/>
      <c r="D112" s="66"/>
      <c r="E112" s="107"/>
      <c r="F112" s="107"/>
      <c r="G112" s="107"/>
      <c r="H112" s="107"/>
      <c r="I112" s="107"/>
      <c r="J112" s="107"/>
      <c r="K112" s="107"/>
      <c r="L112" s="107"/>
      <c r="M112" s="66"/>
      <c r="N112" s="107"/>
      <c r="O112" s="66"/>
      <c r="P112" s="66"/>
      <c r="Q112" s="66"/>
      <c r="R112" s="66"/>
      <c r="S112" s="66"/>
      <c r="T112" s="66"/>
      <c r="U112" s="66"/>
    </row>
    <row r="113" spans="1:21">
      <c r="A113" s="66"/>
      <c r="B113" s="66"/>
      <c r="C113" s="66"/>
      <c r="D113" s="66"/>
      <c r="E113" s="107"/>
      <c r="F113" s="107"/>
      <c r="G113" s="107"/>
      <c r="H113" s="107"/>
      <c r="I113" s="107"/>
      <c r="J113" s="108"/>
      <c r="K113" s="109"/>
      <c r="L113" s="108"/>
      <c r="M113" s="107"/>
      <c r="N113" s="66"/>
      <c r="O113" s="66"/>
      <c r="P113" s="66"/>
      <c r="Q113" s="66"/>
      <c r="R113" s="66"/>
      <c r="S113" s="66"/>
      <c r="T113" s="66"/>
      <c r="U113" s="66"/>
    </row>
    <row r="114" spans="1:21" ht="45">
      <c r="A114" s="66"/>
      <c r="B114" s="114" t="s">
        <v>204</v>
      </c>
      <c r="C114" s="157">
        <v>392443.95</v>
      </c>
      <c r="D114" s="158"/>
      <c r="E114" s="158"/>
      <c r="F114" s="159"/>
      <c r="G114" s="107"/>
      <c r="H114" s="107"/>
      <c r="I114" s="107"/>
      <c r="J114" s="108"/>
      <c r="K114" s="109"/>
      <c r="L114" s="108"/>
      <c r="M114" s="107"/>
      <c r="N114" s="66"/>
      <c r="O114" s="66"/>
      <c r="P114" s="66"/>
      <c r="Q114" s="66"/>
      <c r="R114" s="66"/>
      <c r="S114" s="66"/>
      <c r="T114" s="66"/>
      <c r="U114" s="66"/>
    </row>
    <row r="115" spans="1:21" ht="30">
      <c r="A115" s="66"/>
      <c r="B115" s="114" t="s">
        <v>234</v>
      </c>
      <c r="C115" s="161">
        <f>(58329.78*3)+(58327.85*3)+(58358.63*4)</f>
        <v>583407.41</v>
      </c>
      <c r="D115" s="162"/>
      <c r="E115" s="162"/>
      <c r="F115" s="163"/>
      <c r="G115" s="107"/>
      <c r="H115" s="107"/>
      <c r="I115" s="107"/>
      <c r="J115" s="108"/>
      <c r="K115" s="109"/>
      <c r="L115" s="108"/>
      <c r="M115" s="107"/>
      <c r="N115" s="66"/>
      <c r="O115" s="66"/>
      <c r="P115" s="66"/>
      <c r="Q115" s="66"/>
      <c r="R115" s="66"/>
      <c r="S115" s="66"/>
      <c r="T115" s="66"/>
      <c r="U115" s="66"/>
    </row>
    <row r="116" spans="1:21" ht="30">
      <c r="A116" s="66"/>
      <c r="B116" s="114" t="s">
        <v>235</v>
      </c>
      <c r="C116" s="161">
        <f>SUM(U111-U108)</f>
        <v>495150.87603733334</v>
      </c>
      <c r="D116" s="162"/>
      <c r="E116" s="162"/>
      <c r="F116" s="163"/>
      <c r="G116" s="107"/>
      <c r="H116" s="107"/>
      <c r="I116" s="107"/>
      <c r="J116" s="108"/>
      <c r="K116" s="109"/>
      <c r="L116" s="108"/>
      <c r="M116" s="107"/>
      <c r="N116" s="66"/>
      <c r="O116" s="66"/>
      <c r="P116" s="66"/>
      <c r="Q116" s="66"/>
      <c r="R116" s="66"/>
      <c r="S116" s="66"/>
      <c r="T116" s="66"/>
      <c r="U116" s="66"/>
    </row>
    <row r="117" spans="1:21" ht="30">
      <c r="A117" s="66"/>
      <c r="B117" s="114" t="s">
        <v>236</v>
      </c>
      <c r="C117" s="161">
        <f>SUM(U108)</f>
        <v>68828.870299999995</v>
      </c>
      <c r="D117" s="162"/>
      <c r="E117" s="162"/>
      <c r="F117" s="163"/>
      <c r="G117" s="107"/>
      <c r="H117" s="107"/>
      <c r="I117" s="107"/>
      <c r="J117" s="108"/>
      <c r="K117" s="109"/>
      <c r="L117" s="108"/>
      <c r="M117" s="107"/>
      <c r="N117" s="66"/>
      <c r="O117" s="66"/>
      <c r="P117" s="66"/>
      <c r="Q117" s="66"/>
      <c r="R117" s="66"/>
      <c r="S117" s="66"/>
      <c r="T117" s="66"/>
      <c r="U117" s="66"/>
    </row>
    <row r="118" spans="1:21" ht="30">
      <c r="A118" s="66"/>
      <c r="B118" s="115" t="s">
        <v>237</v>
      </c>
      <c r="C118" s="161">
        <f>55397.33+47980.87+65829.16+50002.72+63962.01+49582.39+61164.09+52682.33+50196.35+63238.05</f>
        <v>560035.30000000005</v>
      </c>
      <c r="D118" s="162"/>
      <c r="E118" s="162"/>
      <c r="F118" s="163"/>
      <c r="G118" s="66"/>
      <c r="I118" s="110" t="s">
        <v>103</v>
      </c>
      <c r="J118" s="111"/>
      <c r="K118" s="112"/>
      <c r="L118" s="113"/>
      <c r="M118" s="110"/>
      <c r="N118" s="110"/>
      <c r="O118" s="66"/>
      <c r="P118" s="66"/>
      <c r="Q118" s="66"/>
      <c r="R118" s="66"/>
      <c r="S118" s="66"/>
      <c r="T118" s="66"/>
      <c r="U118" s="66"/>
    </row>
    <row r="119" spans="1:21" ht="78.75">
      <c r="A119" s="66"/>
      <c r="B119" s="124" t="s">
        <v>238</v>
      </c>
      <c r="C119" s="164">
        <v>161117.65</v>
      </c>
      <c r="D119" s="165"/>
      <c r="E119" s="165"/>
      <c r="F119" s="1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</row>
    <row r="120" spans="1:21" ht="45">
      <c r="A120" s="66"/>
      <c r="B120" s="114" t="s">
        <v>239</v>
      </c>
      <c r="C120" s="160">
        <f>SUM(U111-C115)+C114</f>
        <v>373016.28633733332</v>
      </c>
      <c r="D120" s="158"/>
      <c r="E120" s="158"/>
      <c r="F120" s="159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</row>
    <row r="122" spans="1:21">
      <c r="J122" s="3"/>
      <c r="K122" s="4"/>
      <c r="L122" s="4"/>
      <c r="M122" s="2"/>
    </row>
    <row r="123" spans="1:21">
      <c r="G123" s="5"/>
      <c r="H123" s="5"/>
    </row>
    <row r="124" spans="1:21">
      <c r="G124" s="6"/>
    </row>
  </sheetData>
  <mergeCells count="11">
    <mergeCell ref="C120:F120"/>
    <mergeCell ref="C115:F115"/>
    <mergeCell ref="C116:F116"/>
    <mergeCell ref="C117:F117"/>
    <mergeCell ref="C118:F118"/>
    <mergeCell ref="C119:F119"/>
    <mergeCell ref="B3:L3"/>
    <mergeCell ref="B4:L4"/>
    <mergeCell ref="B5:L5"/>
    <mergeCell ref="B6:L6"/>
    <mergeCell ref="C114:F114"/>
  </mergeCells>
  <pageMargins left="0.51181102362204722" right="0.31496062992125984" top="0.15748031496062992" bottom="0.19685039370078741" header="0.15748031496062992" footer="0.15748031496062992"/>
  <pageSetup paperSize="9" scale="5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Стр.,7</vt:lpstr>
      <vt:lpstr>'Стр.,7'!Область_печати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2018-03-21T07:33:19Z</cp:lastPrinted>
  <dcterms:created xsi:type="dcterms:W3CDTF">2014-02-05T12:20:20Z</dcterms:created>
  <dcterms:modified xsi:type="dcterms:W3CDTF">2018-03-27T12:35:12Z</dcterms:modified>
</cp:coreProperties>
</file>