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Окт.,53" sheetId="1" r:id="rId1"/>
  </sheets>
  <definedNames>
    <definedName name="_xlnm.Print_Area" localSheetId="0">'Окт.,53'!$A$1:$U$116</definedName>
  </definedNames>
  <calcPr calcId="124519"/>
</workbook>
</file>

<file path=xl/calcChain.xml><?xml version="1.0" encoding="utf-8"?>
<calcChain xmlns="http://schemas.openxmlformats.org/spreadsheetml/2006/main">
  <c r="R59" i="1"/>
  <c r="Q59" l="1"/>
  <c r="S59"/>
  <c r="Q95"/>
  <c r="F95"/>
  <c r="C114"/>
  <c r="C111"/>
  <c r="T86"/>
  <c r="U57"/>
  <c r="U60"/>
  <c r="U68"/>
  <c r="U69"/>
  <c r="U70"/>
  <c r="U72"/>
  <c r="U30"/>
  <c r="U31"/>
  <c r="S97"/>
  <c r="S101"/>
  <c r="U101" s="1"/>
  <c r="H101"/>
  <c r="S100"/>
  <c r="U100" s="1"/>
  <c r="H100"/>
  <c r="S99"/>
  <c r="U99" s="1"/>
  <c r="H99"/>
  <c r="S91"/>
  <c r="S102" l="1"/>
  <c r="U102" s="1"/>
  <c r="H102"/>
  <c r="S103"/>
  <c r="U103" s="1"/>
  <c r="H103"/>
  <c r="S86"/>
  <c r="S98"/>
  <c r="R88"/>
  <c r="R86"/>
  <c r="R98"/>
  <c r="R96"/>
  <c r="U96" s="1"/>
  <c r="H96"/>
  <c r="R97"/>
  <c r="U97" s="1"/>
  <c r="H97"/>
  <c r="Q86"/>
  <c r="U95"/>
  <c r="H95"/>
  <c r="U98" l="1"/>
  <c r="P94"/>
  <c r="U94" s="1"/>
  <c r="H94"/>
  <c r="O92"/>
  <c r="U92" s="1"/>
  <c r="H92"/>
  <c r="O91"/>
  <c r="H91"/>
  <c r="O59"/>
  <c r="P59"/>
  <c r="P86"/>
  <c r="U91" l="1"/>
  <c r="O93"/>
  <c r="U93" s="1"/>
  <c r="H93"/>
  <c r="O86"/>
  <c r="O90"/>
  <c r="U90" s="1"/>
  <c r="H90"/>
  <c r="N59" l="1"/>
  <c r="N86"/>
  <c r="N88"/>
  <c r="M89"/>
  <c r="U89" s="1"/>
  <c r="H89"/>
  <c r="M88"/>
  <c r="H88"/>
  <c r="M86"/>
  <c r="I52"/>
  <c r="L87"/>
  <c r="U87" s="1"/>
  <c r="H87"/>
  <c r="U88" l="1"/>
  <c r="L86"/>
  <c r="L84"/>
  <c r="L59"/>
  <c r="U59" s="1"/>
  <c r="K86" l="1"/>
  <c r="J86"/>
  <c r="I86"/>
  <c r="I85"/>
  <c r="U85" s="1"/>
  <c r="H85"/>
  <c r="I84"/>
  <c r="U84" s="1"/>
  <c r="I74"/>
  <c r="U74" s="1"/>
  <c r="U86" l="1"/>
  <c r="U104"/>
  <c r="H84"/>
  <c r="S51"/>
  <c r="T40"/>
  <c r="S40"/>
  <c r="T35"/>
  <c r="S35"/>
  <c r="Q66"/>
  <c r="U66" s="1"/>
  <c r="P52"/>
  <c r="M51"/>
  <c r="U51" s="1"/>
  <c r="R27"/>
  <c r="Q27"/>
  <c r="P27"/>
  <c r="O27"/>
  <c r="N27"/>
  <c r="L52"/>
  <c r="U52" s="1"/>
  <c r="F28"/>
  <c r="R28" s="1"/>
  <c r="M27"/>
  <c r="H98"/>
  <c r="L40"/>
  <c r="L35"/>
  <c r="K40"/>
  <c r="K35"/>
  <c r="H74"/>
  <c r="J40"/>
  <c r="J35"/>
  <c r="H86"/>
  <c r="I40"/>
  <c r="I35"/>
  <c r="U35" s="1"/>
  <c r="H104" l="1"/>
  <c r="U40"/>
  <c r="U27"/>
  <c r="N28"/>
  <c r="O28"/>
  <c r="Q28"/>
  <c r="M28"/>
  <c r="P28"/>
  <c r="F38"/>
  <c r="H27"/>
  <c r="U28" l="1"/>
  <c r="I38"/>
  <c r="S38"/>
  <c r="L38"/>
  <c r="K38"/>
  <c r="T38"/>
  <c r="J38"/>
  <c r="F16"/>
  <c r="F15"/>
  <c r="F57"/>
  <c r="F44"/>
  <c r="M44" s="1"/>
  <c r="F36"/>
  <c r="H70"/>
  <c r="F20"/>
  <c r="M20" s="1"/>
  <c r="U20" s="1"/>
  <c r="F47"/>
  <c r="M47" s="1"/>
  <c r="U38" l="1"/>
  <c r="S16"/>
  <c r="Q16"/>
  <c r="S36"/>
  <c r="L36"/>
  <c r="K36"/>
  <c r="T36"/>
  <c r="J36"/>
  <c r="H47"/>
  <c r="Q47"/>
  <c r="U47" s="1"/>
  <c r="Q44"/>
  <c r="U44" s="1"/>
  <c r="I16"/>
  <c r="O16"/>
  <c r="K16"/>
  <c r="M16"/>
  <c r="I15"/>
  <c r="S15"/>
  <c r="Q15"/>
  <c r="O15"/>
  <c r="M15"/>
  <c r="L15"/>
  <c r="T15"/>
  <c r="R15"/>
  <c r="P15"/>
  <c r="N15"/>
  <c r="K15"/>
  <c r="J15"/>
  <c r="H36"/>
  <c r="I36"/>
  <c r="U36" s="1"/>
  <c r="H69"/>
  <c r="F52"/>
  <c r="U15" l="1"/>
  <c r="U16"/>
  <c r="F14"/>
  <c r="M14" s="1"/>
  <c r="U14" s="1"/>
  <c r="F17"/>
  <c r="M17" s="1"/>
  <c r="U17" s="1"/>
  <c r="F18"/>
  <c r="M18" s="1"/>
  <c r="U18" s="1"/>
  <c r="F19"/>
  <c r="M19" s="1"/>
  <c r="U19" s="1"/>
  <c r="H57" l="1"/>
  <c r="H20"/>
  <c r="F107" l="1"/>
  <c r="H106"/>
  <c r="E77"/>
  <c r="H80" s="1"/>
  <c r="F75"/>
  <c r="H72"/>
  <c r="H68"/>
  <c r="H66"/>
  <c r="F65"/>
  <c r="F64"/>
  <c r="F63"/>
  <c r="F62"/>
  <c r="F61"/>
  <c r="H60"/>
  <c r="H59"/>
  <c r="F55"/>
  <c r="H52"/>
  <c r="H51"/>
  <c r="F50"/>
  <c r="F49"/>
  <c r="F48"/>
  <c r="F46"/>
  <c r="M46" s="1"/>
  <c r="F45"/>
  <c r="M45" s="1"/>
  <c r="H44"/>
  <c r="F43"/>
  <c r="M43" s="1"/>
  <c r="H40"/>
  <c r="F39"/>
  <c r="H38"/>
  <c r="F37"/>
  <c r="H35"/>
  <c r="F32"/>
  <c r="H31"/>
  <c r="H30"/>
  <c r="F29"/>
  <c r="H28"/>
  <c r="F26"/>
  <c r="F25"/>
  <c r="F24"/>
  <c r="F21"/>
  <c r="M21" s="1"/>
  <c r="U21" s="1"/>
  <c r="H18"/>
  <c r="H17"/>
  <c r="H14"/>
  <c r="F13"/>
  <c r="F12"/>
  <c r="F11"/>
  <c r="I13" l="1"/>
  <c r="S13"/>
  <c r="Q13"/>
  <c r="O13"/>
  <c r="K13"/>
  <c r="J13"/>
  <c r="T13"/>
  <c r="R13"/>
  <c r="P13"/>
  <c r="N13"/>
  <c r="M13"/>
  <c r="L13"/>
  <c r="H21"/>
  <c r="I12"/>
  <c r="S12"/>
  <c r="R12"/>
  <c r="P12"/>
  <c r="N12"/>
  <c r="M12"/>
  <c r="L12"/>
  <c r="T12"/>
  <c r="Q12"/>
  <c r="O12"/>
  <c r="K12"/>
  <c r="J12"/>
  <c r="H24"/>
  <c r="Q24"/>
  <c r="O24"/>
  <c r="M24"/>
  <c r="R24"/>
  <c r="P24"/>
  <c r="N24"/>
  <c r="H26"/>
  <c r="M26"/>
  <c r="U26" s="1"/>
  <c r="I29"/>
  <c r="S29"/>
  <c r="Q29"/>
  <c r="O29"/>
  <c r="M29"/>
  <c r="J29"/>
  <c r="T29"/>
  <c r="R29"/>
  <c r="P29"/>
  <c r="N29"/>
  <c r="L29"/>
  <c r="K29"/>
  <c r="H46"/>
  <c r="Q46"/>
  <c r="U46" s="1"/>
  <c r="H49"/>
  <c r="S49"/>
  <c r="M49"/>
  <c r="T55"/>
  <c r="L55"/>
  <c r="J55"/>
  <c r="S55"/>
  <c r="K55"/>
  <c r="H62"/>
  <c r="M62"/>
  <c r="U62" s="1"/>
  <c r="H64"/>
  <c r="M64"/>
  <c r="U64" s="1"/>
  <c r="I11"/>
  <c r="S11"/>
  <c r="Q11"/>
  <c r="O11"/>
  <c r="K11"/>
  <c r="J11"/>
  <c r="T11"/>
  <c r="R11"/>
  <c r="P11"/>
  <c r="N11"/>
  <c r="M11"/>
  <c r="L11"/>
  <c r="H25"/>
  <c r="R25"/>
  <c r="P25"/>
  <c r="N25"/>
  <c r="Q25"/>
  <c r="O25"/>
  <c r="M25"/>
  <c r="S32"/>
  <c r="R32"/>
  <c r="P32"/>
  <c r="N32"/>
  <c r="L32"/>
  <c r="K32"/>
  <c r="T32"/>
  <c r="Q32"/>
  <c r="O32"/>
  <c r="M32"/>
  <c r="J32"/>
  <c r="S37"/>
  <c r="J37"/>
  <c r="T37"/>
  <c r="L37"/>
  <c r="K37"/>
  <c r="S39"/>
  <c r="J39"/>
  <c r="T39"/>
  <c r="L39"/>
  <c r="K39"/>
  <c r="H43"/>
  <c r="Q43"/>
  <c r="U43" s="1"/>
  <c r="H45"/>
  <c r="Q45"/>
  <c r="U45" s="1"/>
  <c r="I48"/>
  <c r="Q48"/>
  <c r="M48"/>
  <c r="J48"/>
  <c r="T48"/>
  <c r="H50"/>
  <c r="M50"/>
  <c r="S50"/>
  <c r="H61"/>
  <c r="M61"/>
  <c r="U61" s="1"/>
  <c r="H63"/>
  <c r="M63"/>
  <c r="U63" s="1"/>
  <c r="H65"/>
  <c r="M65"/>
  <c r="U65" s="1"/>
  <c r="I75"/>
  <c r="T75"/>
  <c r="Q75"/>
  <c r="O75"/>
  <c r="K75"/>
  <c r="S75"/>
  <c r="R75"/>
  <c r="P75"/>
  <c r="N75"/>
  <c r="M75"/>
  <c r="L75"/>
  <c r="J75"/>
  <c r="H32"/>
  <c r="I32"/>
  <c r="U32" s="1"/>
  <c r="H37"/>
  <c r="I37"/>
  <c r="U37" s="1"/>
  <c r="H39"/>
  <c r="I39"/>
  <c r="U39" s="1"/>
  <c r="H55"/>
  <c r="H73" s="1"/>
  <c r="I55"/>
  <c r="U55" s="1"/>
  <c r="H75"/>
  <c r="H76" s="1"/>
  <c r="H29"/>
  <c r="H48"/>
  <c r="H53" s="1"/>
  <c r="H11"/>
  <c r="H12"/>
  <c r="H16"/>
  <c r="H13"/>
  <c r="H15"/>
  <c r="F77"/>
  <c r="H19"/>
  <c r="H41"/>
  <c r="U50" l="1"/>
  <c r="U25"/>
  <c r="U49"/>
  <c r="U12"/>
  <c r="U75"/>
  <c r="U48"/>
  <c r="U11"/>
  <c r="U29"/>
  <c r="U24"/>
  <c r="U13"/>
  <c r="H33"/>
  <c r="U41"/>
  <c r="I77"/>
  <c r="T77"/>
  <c r="R77"/>
  <c r="P77"/>
  <c r="P107" s="1"/>
  <c r="N77"/>
  <c r="M77"/>
  <c r="M107" s="1"/>
  <c r="L77"/>
  <c r="J77"/>
  <c r="S77"/>
  <c r="Q77"/>
  <c r="O77"/>
  <c r="K77"/>
  <c r="K107" s="1"/>
  <c r="U73"/>
  <c r="U76"/>
  <c r="T107"/>
  <c r="Q107"/>
  <c r="L107"/>
  <c r="N107"/>
  <c r="R107"/>
  <c r="J107"/>
  <c r="O107"/>
  <c r="S107"/>
  <c r="H77"/>
  <c r="H78" s="1"/>
  <c r="C113"/>
  <c r="H22"/>
  <c r="U33"/>
  <c r="U77" l="1"/>
  <c r="U78"/>
  <c r="U22"/>
  <c r="U53"/>
  <c r="I107"/>
  <c r="H79"/>
  <c r="H81" s="1"/>
  <c r="G107" s="1"/>
  <c r="H107" s="1"/>
  <c r="U79" l="1"/>
  <c r="U107" s="1"/>
  <c r="C112" s="1"/>
  <c r="C116" l="1"/>
</calcChain>
</file>

<file path=xl/sharedStrings.xml><?xml version="1.0" encoding="utf-8"?>
<sst xmlns="http://schemas.openxmlformats.org/spreadsheetml/2006/main" count="316" uniqueCount="236">
  <si>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</si>
  <si>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</si>
  <si>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</si>
  <si>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</si>
  <si>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</si>
  <si>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</si>
  <si>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</si>
  <si>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</si>
  <si>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</si>
  <si>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</si>
  <si>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</si>
  <si>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</si>
  <si>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</si>
  <si>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</si>
  <si>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</si>
  <si>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</si>
  <si>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</si>
  <si>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</si>
  <si>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</si>
  <si>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</si>
  <si>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</si>
  <si>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</si>
  <si>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</si>
  <si>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</si>
  <si>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</si>
  <si>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</si>
  <si>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</si>
  <si>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</si>
  <si>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</si>
  <si>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</si>
  <si>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</si>
  <si>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</si>
  <si>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</si>
  <si>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</si>
  <si>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</si>
  <si>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</si>
  <si>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</si>
  <si>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</si>
  <si>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</si>
  <si>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</si>
  <si>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</si>
  <si>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</si>
  <si>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</si>
  <si>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</si>
  <si>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</si>
  <si>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</si>
  <si>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</si>
  <si>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</si>
  <si>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</si>
  <si>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</si>
  <si>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>45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</si>
  <si>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</si>
  <si>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</si>
  <si>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</si>
  <si>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</si>
  <si>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</si>
  <si>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</si>
  <si>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</si>
  <si>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</si>
  <si>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</si>
  <si>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</si>
  <si>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</si>
  <si>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</si>
  <si>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</si>
  <si>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</si>
  <si>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</si>
  <si>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</si>
  <si>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</si>
  <si>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</si>
  <si>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</si>
  <si>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</si>
  <si>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</si>
  <si>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</si>
  <si>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</si>
  <si>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</si>
  <si>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</si>
  <si>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</si>
  <si>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</si>
  <si>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</si>
  <si>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</si>
  <si>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</si>
  <si>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</si>
  <si>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</si>
  <si>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</si>
  <si>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</si>
  <si>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</si>
  <si>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</si>
  <si>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</si>
  <si>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</si>
  <si>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</si>
  <si>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</si>
  <si>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</si>
  <si>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</si>
  <si>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</si>
  <si>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</si>
  <si>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</si>
  <si>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</si>
  <si>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</si>
  <si>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</si>
  <si>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 xml:space="preserve">1 раз в год  </t>
  </si>
  <si>
    <t>Влажная протирка шкафов для щитов и слаботочн. устройств</t>
  </si>
  <si>
    <t>3 раза в год</t>
  </si>
  <si>
    <t>Очистка чердака, подвала от мусора</t>
  </si>
  <si>
    <t>30 раз за сезон</t>
  </si>
  <si>
    <t>Вода для промывки СО</t>
  </si>
  <si>
    <t>Сброс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</si>
  <si>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</si>
  <si>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</si>
  <si>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Осмотр деревянных конструкций стропил</t>
  </si>
  <si>
    <t>100 м3</t>
  </si>
  <si>
    <t>Замена ламп ДРЛ</t>
  </si>
  <si>
    <t>1 раз в месяц</t>
  </si>
  <si>
    <t>1 раз в 2 месяца</t>
  </si>
  <si>
    <t>Очистка урн от мусора</t>
  </si>
  <si>
    <t>35 раз за сезон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</si>
  <si>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</si>
  <si>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</si>
  <si>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</si>
  <si>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</si>
  <si>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</si>
  <si>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</si>
  <si>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</si>
  <si>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</si>
  <si>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</si>
  <si>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</si>
  <si>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</si>
  <si>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</si>
  <si>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Снятие показаний эл.счетчика коммунального назначения</t>
  </si>
  <si>
    <t>5 этажей, 2 подъезда</t>
  </si>
  <si>
    <t>Стоимость (руб.)</t>
  </si>
  <si>
    <t>договор</t>
  </si>
  <si>
    <t>ТО внутридомового газ.оборудования</t>
  </si>
  <si>
    <t>калькуляция</t>
  </si>
  <si>
    <t>Внеплановый осмотр электросетей, арматуры и электрооборудования на лестничных клетках</t>
  </si>
  <si>
    <t>смета</t>
  </si>
  <si>
    <t>тыс.руб.</t>
  </si>
  <si>
    <t>Баланс выполненных работ на 01.01.2016 г. ( -долг за предприятием, +долг за населением)</t>
  </si>
  <si>
    <t>место</t>
  </si>
  <si>
    <t>Ремонт и регулировка доводчика (со стоимостью доводчика)</t>
  </si>
  <si>
    <t>1шт.</t>
  </si>
  <si>
    <t>Начислено за содержание и текущий ремонт за 2016  г.</t>
  </si>
  <si>
    <t>Выполнено работ по содержанию за        2016 г.</t>
  </si>
  <si>
    <t>Выполнено работ по текущему ремонту за 2016 г.</t>
  </si>
  <si>
    <t>Фактически оплачено за 2016 г.</t>
  </si>
  <si>
    <t>Ремонт и регулировка доводчика (без стоимости доводчика)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</si>
  <si>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Октябрьская, 53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2016 год</t>
    </r>
  </si>
  <si>
    <t xml:space="preserve">смета </t>
  </si>
  <si>
    <t>Установка скамейки (II под.)</t>
  </si>
  <si>
    <t xml:space="preserve"> - Уборка газонов</t>
  </si>
  <si>
    <t xml:space="preserve">Погрузка травы, ветвей </t>
  </si>
  <si>
    <t>Сдвигание снега в дни снегопада (крыльца, тротуары)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</si>
  <si>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</si>
  <si>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</si>
  <si>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</si>
  <si>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</si>
  <si>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</si>
  <si>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>Подключение и отключение сварочного аппарата</t>
  </si>
  <si>
    <t>Ремонт ограждений контейнерной площадки</t>
  </si>
  <si>
    <t xml:space="preserve"> - Подметание территории с усовершенствованным покрытием асф.: крыльца, контейнерн. пл., проезд, тротуар</t>
  </si>
  <si>
    <t>Вывоз смета, травы, ветвей и т.п.- м/ч</t>
  </si>
  <si>
    <t>Осмотр шиферной кровли</t>
  </si>
  <si>
    <t>Устройство хомута диаметром до 50 мм</t>
  </si>
  <si>
    <t>Смена дверных приборов (замки навесные)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</si>
  <si>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</si>
  <si>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</si>
  <si>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</si>
  <si>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</si>
  <si>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</si>
  <si>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</si>
  <si>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</si>
  <si>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</si>
  <si>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51-022</t>
  </si>
  <si>
    <t>ТЕР 51-024</t>
  </si>
  <si>
    <t>ТЕР 53-020</t>
  </si>
  <si>
    <t>ТЕР 53-001</t>
  </si>
  <si>
    <t>ТЕР 53-021</t>
  </si>
  <si>
    <t>ТЕР 52-003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</si>
  <si>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</si>
  <si>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</si>
  <si>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</si>
  <si>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</si>
  <si>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</si>
  <si>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</si>
  <si>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</si>
  <si>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3-7-1в</t>
  </si>
  <si>
    <t>ТЕР 42-007</t>
  </si>
  <si>
    <t>ТЕР 42-009</t>
  </si>
  <si>
    <t>ТЕР 42-010</t>
  </si>
  <si>
    <t>ТЕР 42-003</t>
  </si>
  <si>
    <t>ТЕР 42-011</t>
  </si>
  <si>
    <t>ТЕР 42-013</t>
  </si>
  <si>
    <t>ТЕР 42-012</t>
  </si>
  <si>
    <t>ТЕР 42-014</t>
  </si>
  <si>
    <t xml:space="preserve">пр.ТЕР 54-041 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</si>
  <si>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</si>
  <si>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</si>
  <si>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</si>
  <si>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</si>
  <si>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</si>
  <si>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</si>
  <si>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</si>
  <si>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</si>
  <si>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33-043</t>
  </si>
  <si>
    <t>ТЕР 33-049</t>
  </si>
  <si>
    <t>ТЕР 33-037</t>
  </si>
  <si>
    <t>ТЕР 33-060</t>
  </si>
  <si>
    <t>пр.ТЕР 32-098</t>
  </si>
  <si>
    <t>ТЕР 15-051</t>
  </si>
  <si>
    <t>Смена арматуры - вентилей и клапанов обратных муфтовых диаметром до 32 мм</t>
  </si>
  <si>
    <t>1 шт</t>
  </si>
  <si>
    <t>ТЕР 32-028</t>
  </si>
  <si>
    <t>1 сгон</t>
  </si>
  <si>
    <t xml:space="preserve">пр.ТЕР 31-010 </t>
  </si>
  <si>
    <t>Смена тройника 25*15*25</t>
  </si>
  <si>
    <t xml:space="preserve">Смена сгонов у трубопроводов диаметром до 20 мм </t>
  </si>
  <si>
    <t>ТЕР 31-009</t>
  </si>
  <si>
    <t>ТЕР 32-101</t>
  </si>
  <si>
    <t>Прочистка засоров ГВС, XВC</t>
  </si>
  <si>
    <t>3м</t>
  </si>
  <si>
    <t>Смена арматуры - вентилей и клапанов обратных муфтовых диаметром до 20 мм</t>
  </si>
  <si>
    <t>ТЕР 32-027</t>
  </si>
  <si>
    <t>пр.ТЕР 31-009</t>
  </si>
  <si>
    <r>
      <t>Смена тройника 20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15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 xml:space="preserve">20 </t>
    </r>
  </si>
  <si>
    <t>Пристрожка полотна по кромкам</t>
  </si>
  <si>
    <t>1 полотно</t>
  </si>
  <si>
    <t>ТЕР 20-1-134-2</t>
  </si>
  <si>
    <t>Смена патронов</t>
  </si>
  <si>
    <t>Смена арматуры - вентилей и клапанов обратных муфтовых диаметром до 50 мм</t>
  </si>
  <si>
    <t>ТЕР 32-029</t>
  </si>
  <si>
    <t>ТЕР 2-2-1-2-7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</si>
  <si>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</si>
  <si>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</si>
  <si>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Смена тройника Ду-25</t>
  </si>
  <si>
    <t>Просроченная задолженность по Вашему дому по статье "Содержание и текущий ремонт МКД" на конец декабря 2016 г., составляет:</t>
  </si>
  <si>
    <t>Баланс выполненных работ на 01.01.2017 г. ( -долг за предприятием, +долг за населением)</t>
  </si>
  <si>
    <t>ТЕР 33-028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</si>
</sst>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4" fontId="1" fillId="4" borderId="10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7" fillId="0" borderId="3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" fillId="12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0" fontId="17" fillId="0" borderId="0" xfId="0" applyFont="1" applyAlignment="1"/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0" fillId="4" borderId="0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0" borderId="19" xfId="0" applyFont="1" applyBorder="1"/>
    <xf numFmtId="0" fontId="1" fillId="5" borderId="19" xfId="0" applyFont="1" applyFill="1" applyBorder="1"/>
    <xf numFmtId="0" fontId="1" fillId="4" borderId="19" xfId="0" applyFont="1" applyFill="1" applyBorder="1" applyAlignment="1">
      <alignment horizontal="center" vertical="center"/>
    </xf>
    <xf numFmtId="4" fontId="1" fillId="2" borderId="20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4" borderId="13" xfId="0" applyNumberFormat="1" applyFont="1" applyFill="1" applyBorder="1" applyAlignment="1" applyProtection="1">
      <alignment horizontal="center" vertical="center" wrapText="1"/>
    </xf>
    <xf numFmtId="0" fontId="1" fillId="4" borderId="13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U120"/>
  <sheetViews>
    <sheetView tabSelected="1" view="pageBreakPreview" zoomScaleNormal="75" zoomScaleSheetLayoutView="100" workbookViewId="0">
      <pane ySplit="7" topLeftCell="A95" activePane="bottomLeft" state="frozen"/>
      <selection activeCell="B1" sqref="B1"/>
      <selection pane="bottomLeft" activeCell="A98" sqref="A98:XFD98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20" width="9.85546875" customWidth="1"/>
    <col min="21" max="21" width="12.28515625" customWidth="1"/>
  </cols>
  <sheetData>
    <row r="1" spans="1:21" ht="14.25" customHeight="1">
      <c r="A1" s="131"/>
    </row>
    <row r="3" spans="1:21" ht="18">
      <c r="A3" s="125"/>
      <c r="B3" s="152" t="s">
        <v>0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68"/>
      <c r="N3" s="68"/>
      <c r="O3" s="68"/>
      <c r="P3" s="68"/>
      <c r="Q3" s="68"/>
      <c r="R3" s="68"/>
      <c r="S3" s="68"/>
      <c r="T3" s="68"/>
      <c r="U3" s="68"/>
    </row>
    <row r="4" spans="1:21" ht="33" customHeight="1">
      <c r="A4" s="68"/>
      <c r="B4" s="153" t="s">
        <v>1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68"/>
      <c r="N4" s="68"/>
      <c r="O4" s="68"/>
      <c r="P4" s="68"/>
      <c r="Q4" s="68"/>
      <c r="R4" s="68"/>
      <c r="S4" s="68"/>
      <c r="T4" s="68"/>
      <c r="U4" s="68"/>
    </row>
    <row r="5" spans="1:21" ht="18">
      <c r="A5" s="68"/>
      <c r="B5" s="153" t="s">
        <v>145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68"/>
      <c r="N5" s="68"/>
      <c r="O5" s="68"/>
      <c r="P5" s="68"/>
      <c r="Q5" s="68"/>
      <c r="R5" s="68"/>
      <c r="S5" s="68"/>
      <c r="T5" s="68"/>
      <c r="U5" s="68"/>
    </row>
    <row r="6" spans="1:21" ht="14.25">
      <c r="A6" s="68"/>
      <c r="B6" s="154" t="s">
        <v>128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68"/>
      <c r="N6" s="68"/>
      <c r="O6" s="68"/>
      <c r="P6" s="68"/>
      <c r="Q6" s="68"/>
      <c r="R6" s="68"/>
      <c r="S6" s="68"/>
      <c r="T6" s="68"/>
      <c r="U6" s="68"/>
    </row>
    <row r="7" spans="1:21" ht="54.75" customHeight="1">
      <c r="A7" s="132" t="s">
        <v>2</v>
      </c>
      <c r="B7" s="133" t="s">
        <v>3</v>
      </c>
      <c r="C7" s="133" t="s">
        <v>4</v>
      </c>
      <c r="D7" s="133" t="s">
        <v>5</v>
      </c>
      <c r="E7" s="133" t="s">
        <v>6</v>
      </c>
      <c r="F7" s="133" t="s">
        <v>7</v>
      </c>
      <c r="G7" s="133" t="s">
        <v>8</v>
      </c>
      <c r="H7" s="134" t="s">
        <v>9</v>
      </c>
      <c r="I7" s="24" t="s">
        <v>115</v>
      </c>
      <c r="J7" s="24" t="s">
        <v>116</v>
      </c>
      <c r="K7" s="24" t="s">
        <v>117</v>
      </c>
      <c r="L7" s="24" t="s">
        <v>118</v>
      </c>
      <c r="M7" s="24" t="s">
        <v>119</v>
      </c>
      <c r="N7" s="24" t="s">
        <v>120</v>
      </c>
      <c r="O7" s="24" t="s">
        <v>121</v>
      </c>
      <c r="P7" s="24" t="s">
        <v>122</v>
      </c>
      <c r="Q7" s="24" t="s">
        <v>123</v>
      </c>
      <c r="R7" s="24" t="s">
        <v>124</v>
      </c>
      <c r="S7" s="24" t="s">
        <v>125</v>
      </c>
      <c r="T7" s="24" t="s">
        <v>126</v>
      </c>
      <c r="U7" s="24" t="s">
        <v>129</v>
      </c>
    </row>
    <row r="8" spans="1:21">
      <c r="A8" s="135">
        <v>1</v>
      </c>
      <c r="B8" s="7">
        <v>2</v>
      </c>
      <c r="C8" s="25">
        <v>3</v>
      </c>
      <c r="D8" s="7">
        <v>4</v>
      </c>
      <c r="E8" s="7">
        <v>5</v>
      </c>
      <c r="F8" s="25">
        <v>6</v>
      </c>
      <c r="G8" s="25">
        <v>7</v>
      </c>
      <c r="H8" s="26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7">
        <v>21</v>
      </c>
    </row>
    <row r="9" spans="1:21" ht="38.25">
      <c r="A9" s="135"/>
      <c r="B9" s="9" t="s">
        <v>10</v>
      </c>
      <c r="C9" s="25"/>
      <c r="D9" s="10"/>
      <c r="E9" s="10"/>
      <c r="F9" s="25"/>
      <c r="G9" s="25"/>
      <c r="H9" s="28"/>
      <c r="I9" s="29"/>
      <c r="J9" s="29"/>
      <c r="K9" s="29"/>
      <c r="L9" s="29"/>
      <c r="M9" s="30"/>
      <c r="N9" s="31"/>
      <c r="O9" s="31"/>
      <c r="P9" s="31"/>
      <c r="Q9" s="31"/>
      <c r="R9" s="31"/>
      <c r="S9" s="31"/>
      <c r="T9" s="31"/>
      <c r="U9" s="31"/>
    </row>
    <row r="10" spans="1:21">
      <c r="A10" s="135"/>
      <c r="B10" s="9" t="s">
        <v>11</v>
      </c>
      <c r="C10" s="25"/>
      <c r="D10" s="10"/>
      <c r="E10" s="10"/>
      <c r="F10" s="25"/>
      <c r="G10" s="25"/>
      <c r="H10" s="28"/>
      <c r="I10" s="29"/>
      <c r="J10" s="29"/>
      <c r="K10" s="29"/>
      <c r="L10" s="29"/>
      <c r="M10" s="30"/>
      <c r="N10" s="31"/>
      <c r="O10" s="31"/>
      <c r="P10" s="31"/>
      <c r="Q10" s="31"/>
      <c r="R10" s="31"/>
      <c r="S10" s="31"/>
      <c r="T10" s="31"/>
      <c r="U10" s="31"/>
    </row>
    <row r="11" spans="1:21" ht="25.5">
      <c r="A11" s="135" t="s">
        <v>163</v>
      </c>
      <c r="B11" s="10" t="s">
        <v>12</v>
      </c>
      <c r="C11" s="25" t="s">
        <v>13</v>
      </c>
      <c r="D11" s="10" t="s">
        <v>14</v>
      </c>
      <c r="E11" s="32">
        <v>37.78</v>
      </c>
      <c r="F11" s="33">
        <f>SUM(E11*156/100)</f>
        <v>58.936800000000005</v>
      </c>
      <c r="G11" s="33">
        <v>187.48</v>
      </c>
      <c r="H11" s="34">
        <f t="shared" ref="H11:H21" si="0">SUM(F11*G11/1000)</f>
        <v>11.049471263999999</v>
      </c>
      <c r="I11" s="35">
        <f>F11/12*G11</f>
        <v>920.78927199999998</v>
      </c>
      <c r="J11" s="35">
        <f>F11/12*G11</f>
        <v>920.78927199999998</v>
      </c>
      <c r="K11" s="35">
        <f>F11/12*G11</f>
        <v>920.78927199999998</v>
      </c>
      <c r="L11" s="35">
        <f>F11/12*G11</f>
        <v>920.78927199999998</v>
      </c>
      <c r="M11" s="35">
        <f>F11/12*G11</f>
        <v>920.78927199999998</v>
      </c>
      <c r="N11" s="35">
        <f>F11/12*G11</f>
        <v>920.78927199999998</v>
      </c>
      <c r="O11" s="35">
        <f>F11/12*G11</f>
        <v>920.78927199999998</v>
      </c>
      <c r="P11" s="35">
        <f>F11/12*G11</f>
        <v>920.78927199999998</v>
      </c>
      <c r="Q11" s="35">
        <f>F11/12*G11</f>
        <v>920.78927199999998</v>
      </c>
      <c r="R11" s="35">
        <f>F11/12*G11</f>
        <v>920.78927199999998</v>
      </c>
      <c r="S11" s="35">
        <f>F11/12*G11</f>
        <v>920.78927199999998</v>
      </c>
      <c r="T11" s="35">
        <f>F11/12*G11</f>
        <v>920.78927199999998</v>
      </c>
      <c r="U11" s="35">
        <f>SUM(I11:T11)</f>
        <v>11049.471264</v>
      </c>
    </row>
    <row r="12" spans="1:21" ht="25.5">
      <c r="A12" s="135" t="s">
        <v>163</v>
      </c>
      <c r="B12" s="10" t="s">
        <v>15</v>
      </c>
      <c r="C12" s="25" t="s">
        <v>13</v>
      </c>
      <c r="D12" s="10" t="s">
        <v>16</v>
      </c>
      <c r="E12" s="32">
        <v>151.12</v>
      </c>
      <c r="F12" s="33">
        <f>SUM(E12*104/100)</f>
        <v>157.16479999999999</v>
      </c>
      <c r="G12" s="33">
        <v>187.48</v>
      </c>
      <c r="H12" s="34">
        <f t="shared" si="0"/>
        <v>29.465256703999994</v>
      </c>
      <c r="I12" s="35">
        <f>F12/12*G12</f>
        <v>2455.4380586666662</v>
      </c>
      <c r="J12" s="35">
        <f>F12/12*G12</f>
        <v>2455.4380586666662</v>
      </c>
      <c r="K12" s="35">
        <f>F12/12*G12</f>
        <v>2455.4380586666662</v>
      </c>
      <c r="L12" s="35">
        <f>F12/12*G12</f>
        <v>2455.4380586666662</v>
      </c>
      <c r="M12" s="35">
        <f>F12/12*G12</f>
        <v>2455.4380586666662</v>
      </c>
      <c r="N12" s="35">
        <f>F12/12*G12</f>
        <v>2455.4380586666662</v>
      </c>
      <c r="O12" s="35">
        <f>F12/12*G12</f>
        <v>2455.4380586666662</v>
      </c>
      <c r="P12" s="35">
        <f>F12/12*G12</f>
        <v>2455.4380586666662</v>
      </c>
      <c r="Q12" s="35">
        <f>F12/12*G12</f>
        <v>2455.4380586666662</v>
      </c>
      <c r="R12" s="35">
        <f>F12/12*G12</f>
        <v>2455.4380586666662</v>
      </c>
      <c r="S12" s="35">
        <f>F12/12*G12</f>
        <v>2455.4380586666662</v>
      </c>
      <c r="T12" s="35">
        <f>F12/12*G12</f>
        <v>2455.4380586666662</v>
      </c>
      <c r="U12" s="35">
        <f t="shared" ref="U12:U21" si="1">SUM(I12:T12)</f>
        <v>29465.256703999996</v>
      </c>
    </row>
    <row r="13" spans="1:21" ht="25.5">
      <c r="A13" s="135" t="s">
        <v>164</v>
      </c>
      <c r="B13" s="10" t="s">
        <v>17</v>
      </c>
      <c r="C13" s="25" t="s">
        <v>13</v>
      </c>
      <c r="D13" s="10" t="s">
        <v>18</v>
      </c>
      <c r="E13" s="32">
        <v>188.9</v>
      </c>
      <c r="F13" s="33">
        <f>SUM(E13*24/100)</f>
        <v>45.336000000000006</v>
      </c>
      <c r="G13" s="33">
        <v>539.30999999999995</v>
      </c>
      <c r="H13" s="34">
        <f t="shared" si="0"/>
        <v>24.450158159999997</v>
      </c>
      <c r="I13" s="35">
        <f>F13/12*G13</f>
        <v>2037.5131800000001</v>
      </c>
      <c r="J13" s="35">
        <f>F13/12*G13</f>
        <v>2037.5131800000001</v>
      </c>
      <c r="K13" s="35">
        <f>F13/12*G13</f>
        <v>2037.5131800000001</v>
      </c>
      <c r="L13" s="35">
        <f>F13/12*G13</f>
        <v>2037.5131800000001</v>
      </c>
      <c r="M13" s="35">
        <f>F13/12*G13</f>
        <v>2037.5131800000001</v>
      </c>
      <c r="N13" s="35">
        <f>F13/12*G13</f>
        <v>2037.5131800000001</v>
      </c>
      <c r="O13" s="35">
        <f>F13/12*G13</f>
        <v>2037.5131800000001</v>
      </c>
      <c r="P13" s="35">
        <f>F13/12*G13</f>
        <v>2037.5131800000001</v>
      </c>
      <c r="Q13" s="35">
        <f>F13/12*G13</f>
        <v>2037.5131800000001</v>
      </c>
      <c r="R13" s="35">
        <f>F13/12*G13</f>
        <v>2037.5131800000001</v>
      </c>
      <c r="S13" s="35">
        <f>F13/12*G13</f>
        <v>2037.5131800000001</v>
      </c>
      <c r="T13" s="35">
        <f>F13/12*G13</f>
        <v>2037.5131800000001</v>
      </c>
      <c r="U13" s="35">
        <f t="shared" si="1"/>
        <v>24450.158160000006</v>
      </c>
    </row>
    <row r="14" spans="1:21">
      <c r="A14" s="135" t="s">
        <v>165</v>
      </c>
      <c r="B14" s="10" t="s">
        <v>19</v>
      </c>
      <c r="C14" s="25" t="s">
        <v>20</v>
      </c>
      <c r="D14" s="10" t="s">
        <v>98</v>
      </c>
      <c r="E14" s="32">
        <v>18</v>
      </c>
      <c r="F14" s="33">
        <f>SUM(E14/10)</f>
        <v>1.8</v>
      </c>
      <c r="G14" s="33">
        <v>181.91</v>
      </c>
      <c r="H14" s="34">
        <f t="shared" si="0"/>
        <v>0.32743800000000001</v>
      </c>
      <c r="I14" s="35">
        <v>0</v>
      </c>
      <c r="J14" s="35">
        <v>0</v>
      </c>
      <c r="K14" s="35">
        <v>0</v>
      </c>
      <c r="L14" s="35">
        <v>0</v>
      </c>
      <c r="M14" s="35">
        <f>F14/2*G14</f>
        <v>163.71899999999999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f t="shared" si="1"/>
        <v>163.71899999999999</v>
      </c>
    </row>
    <row r="15" spans="1:21">
      <c r="A15" s="135" t="s">
        <v>166</v>
      </c>
      <c r="B15" s="10" t="s">
        <v>21</v>
      </c>
      <c r="C15" s="25" t="s">
        <v>13</v>
      </c>
      <c r="D15" s="10" t="s">
        <v>111</v>
      </c>
      <c r="E15" s="32">
        <v>14.6</v>
      </c>
      <c r="F15" s="33">
        <f>SUM(E15*12/100)</f>
        <v>1.7519999999999998</v>
      </c>
      <c r="G15" s="33">
        <v>232.92</v>
      </c>
      <c r="H15" s="34">
        <f t="shared" si="0"/>
        <v>0.40807583999999991</v>
      </c>
      <c r="I15" s="35">
        <f>F15/12*G15</f>
        <v>34.006319999999995</v>
      </c>
      <c r="J15" s="35">
        <f>F15/12*G15</f>
        <v>34.006319999999995</v>
      </c>
      <c r="K15" s="35">
        <f>F15/12*G15</f>
        <v>34.006319999999995</v>
      </c>
      <c r="L15" s="35">
        <f>F15/12*G15</f>
        <v>34.006319999999995</v>
      </c>
      <c r="M15" s="35">
        <f>F15/12*G15</f>
        <v>34.006319999999995</v>
      </c>
      <c r="N15" s="35">
        <f>F15/12*G15</f>
        <v>34.006319999999995</v>
      </c>
      <c r="O15" s="35">
        <f>F15/12*G15</f>
        <v>34.006319999999995</v>
      </c>
      <c r="P15" s="35">
        <f>F15/12*G15</f>
        <v>34.006319999999995</v>
      </c>
      <c r="Q15" s="35">
        <f>F15/12*G15</f>
        <v>34.006319999999995</v>
      </c>
      <c r="R15" s="35">
        <f>F15/12*G15</f>
        <v>34.006319999999995</v>
      </c>
      <c r="S15" s="35">
        <f>F15/12*G15</f>
        <v>34.006319999999995</v>
      </c>
      <c r="T15" s="35">
        <f>F15/12*G15</f>
        <v>34.006319999999995</v>
      </c>
      <c r="U15" s="35">
        <f t="shared" si="1"/>
        <v>408.07584000000003</v>
      </c>
    </row>
    <row r="16" spans="1:21">
      <c r="A16" s="135" t="s">
        <v>167</v>
      </c>
      <c r="B16" s="10" t="s">
        <v>22</v>
      </c>
      <c r="C16" s="25" t="s">
        <v>13</v>
      </c>
      <c r="D16" s="10" t="s">
        <v>112</v>
      </c>
      <c r="E16" s="32">
        <v>2.7</v>
      </c>
      <c r="F16" s="33">
        <f>SUM(E16*6/100)</f>
        <v>0.16200000000000003</v>
      </c>
      <c r="G16" s="33">
        <v>231.03</v>
      </c>
      <c r="H16" s="34">
        <f t="shared" si="0"/>
        <v>3.7426860000000006E-2</v>
      </c>
      <c r="I16" s="35">
        <f>F16/6*G16</f>
        <v>6.2378100000000014</v>
      </c>
      <c r="J16" s="35">
        <v>0</v>
      </c>
      <c r="K16" s="35">
        <f>F16/6*G16</f>
        <v>6.2378100000000014</v>
      </c>
      <c r="L16" s="35">
        <v>0</v>
      </c>
      <c r="M16" s="35">
        <f>F16/6*G16</f>
        <v>6.2378100000000014</v>
      </c>
      <c r="N16" s="35">
        <v>0</v>
      </c>
      <c r="O16" s="35">
        <f>F16/6*G16</f>
        <v>6.2378100000000014</v>
      </c>
      <c r="P16" s="35">
        <v>0</v>
      </c>
      <c r="Q16" s="35">
        <f>F16/6*G16</f>
        <v>6.2378100000000014</v>
      </c>
      <c r="R16" s="35">
        <v>0</v>
      </c>
      <c r="S16" s="35">
        <f>F16/6*G16</f>
        <v>6.2378100000000014</v>
      </c>
      <c r="T16" s="35">
        <v>0</v>
      </c>
      <c r="U16" s="35">
        <f t="shared" si="1"/>
        <v>37.426860000000012</v>
      </c>
    </row>
    <row r="17" spans="1:21">
      <c r="A17" s="135" t="s">
        <v>168</v>
      </c>
      <c r="B17" s="10" t="s">
        <v>23</v>
      </c>
      <c r="C17" s="25" t="s">
        <v>24</v>
      </c>
      <c r="D17" s="10" t="s">
        <v>98</v>
      </c>
      <c r="E17" s="32">
        <v>259.2</v>
      </c>
      <c r="F17" s="33">
        <f>SUM(E17/100)</f>
        <v>2.5920000000000001</v>
      </c>
      <c r="G17" s="33">
        <v>287.83999999999997</v>
      </c>
      <c r="H17" s="34">
        <f t="shared" si="0"/>
        <v>0.74608127999999996</v>
      </c>
      <c r="I17" s="35">
        <v>0</v>
      </c>
      <c r="J17" s="35">
        <v>0</v>
      </c>
      <c r="K17" s="35">
        <v>0</v>
      </c>
      <c r="L17" s="35">
        <v>0</v>
      </c>
      <c r="M17" s="35">
        <f>F17*G17</f>
        <v>746.08127999999999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f t="shared" si="1"/>
        <v>746.08127999999999</v>
      </c>
    </row>
    <row r="18" spans="1:21">
      <c r="A18" s="135" t="s">
        <v>169</v>
      </c>
      <c r="B18" s="10" t="s">
        <v>25</v>
      </c>
      <c r="C18" s="25" t="s">
        <v>24</v>
      </c>
      <c r="D18" s="10" t="s">
        <v>98</v>
      </c>
      <c r="E18" s="37">
        <v>24.15</v>
      </c>
      <c r="F18" s="33">
        <f>SUM(E18/100)</f>
        <v>0.24149999999999999</v>
      </c>
      <c r="G18" s="33">
        <v>47.34</v>
      </c>
      <c r="H18" s="34">
        <f t="shared" si="0"/>
        <v>1.1432610000000001E-2</v>
      </c>
      <c r="I18" s="35">
        <v>0</v>
      </c>
      <c r="J18" s="35">
        <v>0</v>
      </c>
      <c r="K18" s="35">
        <v>0</v>
      </c>
      <c r="L18" s="35">
        <v>0</v>
      </c>
      <c r="M18" s="35">
        <f t="shared" ref="M18:M21" si="2">F18*G18</f>
        <v>11.43261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f t="shared" si="1"/>
        <v>11.43261</v>
      </c>
    </row>
    <row r="19" spans="1:21">
      <c r="A19" s="135" t="s">
        <v>170</v>
      </c>
      <c r="B19" s="10" t="s">
        <v>26</v>
      </c>
      <c r="C19" s="25" t="s">
        <v>24</v>
      </c>
      <c r="D19" s="10" t="s">
        <v>99</v>
      </c>
      <c r="E19" s="32">
        <v>10</v>
      </c>
      <c r="F19" s="33">
        <f>E19/100</f>
        <v>0.1</v>
      </c>
      <c r="G19" s="33">
        <v>416.62</v>
      </c>
      <c r="H19" s="34">
        <f t="shared" si="0"/>
        <v>4.1662000000000005E-2</v>
      </c>
      <c r="I19" s="35">
        <v>0</v>
      </c>
      <c r="J19" s="35">
        <v>0</v>
      </c>
      <c r="K19" s="35">
        <v>0</v>
      </c>
      <c r="L19" s="35">
        <v>0</v>
      </c>
      <c r="M19" s="35">
        <f t="shared" si="2"/>
        <v>41.662000000000006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f t="shared" si="1"/>
        <v>41.662000000000006</v>
      </c>
    </row>
    <row r="20" spans="1:21" ht="25.5">
      <c r="A20" s="135" t="s">
        <v>171</v>
      </c>
      <c r="B20" s="10" t="s">
        <v>100</v>
      </c>
      <c r="C20" s="25" t="s">
        <v>24</v>
      </c>
      <c r="D20" s="10" t="s">
        <v>34</v>
      </c>
      <c r="E20" s="32">
        <v>9.5</v>
      </c>
      <c r="F20" s="33">
        <f>E20/100</f>
        <v>9.5000000000000001E-2</v>
      </c>
      <c r="G20" s="33">
        <v>231.03</v>
      </c>
      <c r="H20" s="34">
        <f>G20*F20/1000</f>
        <v>2.1947849999999998E-2</v>
      </c>
      <c r="I20" s="35">
        <v>0</v>
      </c>
      <c r="J20" s="35">
        <v>0</v>
      </c>
      <c r="K20" s="35">
        <v>0</v>
      </c>
      <c r="L20" s="35">
        <v>0</v>
      </c>
      <c r="M20" s="35">
        <f t="shared" si="2"/>
        <v>21.947849999999999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f t="shared" si="1"/>
        <v>21.947849999999999</v>
      </c>
    </row>
    <row r="21" spans="1:21">
      <c r="A21" s="135" t="s">
        <v>172</v>
      </c>
      <c r="B21" s="10" t="s">
        <v>27</v>
      </c>
      <c r="C21" s="25" t="s">
        <v>24</v>
      </c>
      <c r="D21" s="10" t="s">
        <v>98</v>
      </c>
      <c r="E21" s="32">
        <v>4.25</v>
      </c>
      <c r="F21" s="33">
        <f>SUM(E21/100)</f>
        <v>4.2500000000000003E-2</v>
      </c>
      <c r="G21" s="33">
        <v>556.74</v>
      </c>
      <c r="H21" s="34">
        <f t="shared" si="0"/>
        <v>2.3661450000000001E-2</v>
      </c>
      <c r="I21" s="35">
        <v>0</v>
      </c>
      <c r="J21" s="35">
        <v>0</v>
      </c>
      <c r="K21" s="35">
        <v>0</v>
      </c>
      <c r="L21" s="35">
        <v>0</v>
      </c>
      <c r="M21" s="35">
        <f t="shared" si="2"/>
        <v>23.661450000000002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f t="shared" si="1"/>
        <v>23.661450000000002</v>
      </c>
    </row>
    <row r="22" spans="1:21" s="19" customFormat="1">
      <c r="A22" s="136"/>
      <c r="B22" s="20" t="s">
        <v>28</v>
      </c>
      <c r="C22" s="38"/>
      <c r="D22" s="20"/>
      <c r="E22" s="39"/>
      <c r="F22" s="40"/>
      <c r="G22" s="40"/>
      <c r="H22" s="41">
        <f>SUM(H11:H21)</f>
        <v>66.582612017999992</v>
      </c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>
        <f>SUM(U11:U21)</f>
        <v>66418.893018000002</v>
      </c>
    </row>
    <row r="23" spans="1:21">
      <c r="A23" s="135"/>
      <c r="B23" s="12" t="s">
        <v>29</v>
      </c>
      <c r="C23" s="25"/>
      <c r="D23" s="10"/>
      <c r="E23" s="32"/>
      <c r="F23" s="33"/>
      <c r="G23" s="33"/>
      <c r="H23" s="34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</row>
    <row r="24" spans="1:21" ht="25.5" customHeight="1">
      <c r="A24" s="135" t="s">
        <v>173</v>
      </c>
      <c r="B24" s="10" t="s">
        <v>148</v>
      </c>
      <c r="C24" s="25" t="s">
        <v>31</v>
      </c>
      <c r="D24" s="10" t="s">
        <v>30</v>
      </c>
      <c r="E24" s="33">
        <v>331.9</v>
      </c>
      <c r="F24" s="33">
        <f>SUM(E24*52/1000)</f>
        <v>17.258800000000001</v>
      </c>
      <c r="G24" s="33">
        <v>166.65</v>
      </c>
      <c r="H24" s="34">
        <f t="shared" ref="H24:H32" si="3">SUM(F24*G24/1000)</f>
        <v>2.8761790199999999</v>
      </c>
      <c r="I24" s="35">
        <v>0</v>
      </c>
      <c r="J24" s="35">
        <v>0</v>
      </c>
      <c r="K24" s="35">
        <v>0</v>
      </c>
      <c r="L24" s="35">
        <v>0</v>
      </c>
      <c r="M24" s="35">
        <f>F24/6*G24</f>
        <v>479.36317000000008</v>
      </c>
      <c r="N24" s="35">
        <f>F24/6*G24</f>
        <v>479.36317000000008</v>
      </c>
      <c r="O24" s="35">
        <f>F24/6*G24</f>
        <v>479.36317000000008</v>
      </c>
      <c r="P24" s="35">
        <f>F24/6*G24</f>
        <v>479.36317000000008</v>
      </c>
      <c r="Q24" s="35">
        <f>F24/6*G24</f>
        <v>479.36317000000008</v>
      </c>
      <c r="R24" s="35">
        <f>F24/6*G24</f>
        <v>479.36317000000008</v>
      </c>
      <c r="S24" s="35">
        <v>0</v>
      </c>
      <c r="T24" s="35">
        <v>0</v>
      </c>
      <c r="U24" s="35">
        <f>SUM(I24:T24)</f>
        <v>2876.1790200000005</v>
      </c>
    </row>
    <row r="25" spans="1:21" ht="38.25" customHeight="1">
      <c r="A25" s="135" t="s">
        <v>174</v>
      </c>
      <c r="B25" s="10" t="s">
        <v>158</v>
      </c>
      <c r="C25" s="25" t="s">
        <v>31</v>
      </c>
      <c r="D25" s="10" t="s">
        <v>32</v>
      </c>
      <c r="E25" s="33">
        <v>115.82</v>
      </c>
      <c r="F25" s="33">
        <f>SUM(E25*78/1000)</f>
        <v>9.0339599999999987</v>
      </c>
      <c r="G25" s="33">
        <v>276.48</v>
      </c>
      <c r="H25" s="34">
        <f t="shared" si="3"/>
        <v>2.4977092607999998</v>
      </c>
      <c r="I25" s="35">
        <v>0</v>
      </c>
      <c r="J25" s="35">
        <v>0</v>
      </c>
      <c r="K25" s="35">
        <v>0</v>
      </c>
      <c r="L25" s="35">
        <v>0</v>
      </c>
      <c r="M25" s="35">
        <f>F25/6*G25</f>
        <v>416.28487679999995</v>
      </c>
      <c r="N25" s="35">
        <f>F25/6*G25</f>
        <v>416.28487679999995</v>
      </c>
      <c r="O25" s="35">
        <f>F25/6*G25</f>
        <v>416.28487679999995</v>
      </c>
      <c r="P25" s="35">
        <f>F25/6*G25</f>
        <v>416.28487679999995</v>
      </c>
      <c r="Q25" s="35">
        <f>F25/6*G25</f>
        <v>416.28487679999995</v>
      </c>
      <c r="R25" s="35">
        <f>F25/6*G25</f>
        <v>416.28487679999995</v>
      </c>
      <c r="S25" s="35">
        <v>0</v>
      </c>
      <c r="T25" s="35">
        <v>0</v>
      </c>
      <c r="U25" s="35">
        <f t="shared" ref="U25:U32" si="4">SUM(I25:T25)</f>
        <v>2497.7092607999998</v>
      </c>
    </row>
    <row r="26" spans="1:21">
      <c r="A26" s="135" t="s">
        <v>175</v>
      </c>
      <c r="B26" s="10" t="s">
        <v>33</v>
      </c>
      <c r="C26" s="25" t="s">
        <v>31</v>
      </c>
      <c r="D26" s="10" t="s">
        <v>34</v>
      </c>
      <c r="E26" s="33">
        <v>331.9</v>
      </c>
      <c r="F26" s="33">
        <f>SUM(E26/1000)</f>
        <v>0.33189999999999997</v>
      </c>
      <c r="G26" s="33">
        <v>3228.73</v>
      </c>
      <c r="H26" s="34">
        <f t="shared" si="3"/>
        <v>1.0716154870000001</v>
      </c>
      <c r="I26" s="35">
        <v>0</v>
      </c>
      <c r="J26" s="35">
        <v>0</v>
      </c>
      <c r="K26" s="35">
        <v>0</v>
      </c>
      <c r="L26" s="35">
        <v>0</v>
      </c>
      <c r="M26" s="35">
        <f>F26*G26</f>
        <v>1071.615487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f t="shared" si="4"/>
        <v>1071.615487</v>
      </c>
    </row>
    <row r="27" spans="1:21">
      <c r="A27" s="135" t="s">
        <v>176</v>
      </c>
      <c r="B27" s="10" t="s">
        <v>113</v>
      </c>
      <c r="C27" s="25" t="s">
        <v>62</v>
      </c>
      <c r="D27" s="10" t="s">
        <v>37</v>
      </c>
      <c r="E27" s="33">
        <v>2</v>
      </c>
      <c r="F27" s="33">
        <v>3.1</v>
      </c>
      <c r="G27" s="33">
        <v>1391.86</v>
      </c>
      <c r="H27" s="34">
        <f>F27*G27/1000</f>
        <v>4.3147659999999997</v>
      </c>
      <c r="I27" s="35">
        <v>0</v>
      </c>
      <c r="J27" s="35">
        <v>0</v>
      </c>
      <c r="K27" s="35">
        <v>0</v>
      </c>
      <c r="L27" s="35">
        <v>0</v>
      </c>
      <c r="M27" s="35">
        <f>F27/6*G27</f>
        <v>719.12766666666664</v>
      </c>
      <c r="N27" s="35">
        <f>F27/6*G27</f>
        <v>719.12766666666664</v>
      </c>
      <c r="O27" s="35">
        <f>F27/6*G27</f>
        <v>719.12766666666664</v>
      </c>
      <c r="P27" s="35">
        <f>F27/6*G27</f>
        <v>719.12766666666664</v>
      </c>
      <c r="Q27" s="35">
        <f>F27/6*G27</f>
        <v>719.12766666666664</v>
      </c>
      <c r="R27" s="35">
        <f>F27/6*G27</f>
        <v>719.12766666666664</v>
      </c>
      <c r="S27" s="35">
        <v>0</v>
      </c>
      <c r="T27" s="35">
        <v>0</v>
      </c>
      <c r="U27" s="35">
        <f t="shared" si="4"/>
        <v>4314.7659999999996</v>
      </c>
    </row>
    <row r="28" spans="1:21">
      <c r="A28" s="135" t="s">
        <v>177</v>
      </c>
      <c r="B28" s="10" t="s">
        <v>35</v>
      </c>
      <c r="C28" s="25" t="s">
        <v>36</v>
      </c>
      <c r="D28" s="10" t="s">
        <v>37</v>
      </c>
      <c r="E28" s="44">
        <v>0.33333333333333331</v>
      </c>
      <c r="F28" s="33">
        <f>155/3</f>
        <v>51.666666666666664</v>
      </c>
      <c r="G28" s="33">
        <v>60.6</v>
      </c>
      <c r="H28" s="34">
        <f>SUM(G28*155/3/1000)</f>
        <v>3.1309999999999998</v>
      </c>
      <c r="I28" s="35">
        <v>0</v>
      </c>
      <c r="J28" s="35">
        <v>0</v>
      </c>
      <c r="K28" s="35">
        <v>0</v>
      </c>
      <c r="L28" s="35">
        <v>0</v>
      </c>
      <c r="M28" s="35">
        <f>F28/6*G28</f>
        <v>521.83333333333337</v>
      </c>
      <c r="N28" s="35">
        <f>F28/6*G28</f>
        <v>521.83333333333337</v>
      </c>
      <c r="O28" s="35">
        <f>F28/6*G28</f>
        <v>521.83333333333337</v>
      </c>
      <c r="P28" s="35">
        <f>F28/6*G28</f>
        <v>521.83333333333337</v>
      </c>
      <c r="Q28" s="35">
        <f>F28/6*G28</f>
        <v>521.83333333333337</v>
      </c>
      <c r="R28" s="35">
        <f>F28/6*G28</f>
        <v>521.83333333333337</v>
      </c>
      <c r="S28" s="35">
        <v>0</v>
      </c>
      <c r="T28" s="35">
        <v>0</v>
      </c>
      <c r="U28" s="35">
        <f t="shared" si="4"/>
        <v>3131.0000000000005</v>
      </c>
    </row>
    <row r="29" spans="1:21" ht="12.75" customHeight="1">
      <c r="A29" s="135" t="s">
        <v>178</v>
      </c>
      <c r="B29" s="10" t="s">
        <v>38</v>
      </c>
      <c r="C29" s="25" t="s">
        <v>39</v>
      </c>
      <c r="D29" s="10" t="s">
        <v>40</v>
      </c>
      <c r="E29" s="45">
        <v>0.1</v>
      </c>
      <c r="F29" s="33">
        <f>SUM(E29*365)</f>
        <v>36.5</v>
      </c>
      <c r="G29" s="33">
        <v>157.18</v>
      </c>
      <c r="H29" s="34">
        <f t="shared" si="3"/>
        <v>5.737070000000001</v>
      </c>
      <c r="I29" s="35">
        <f>F29/12*G29</f>
        <v>478.08916666666664</v>
      </c>
      <c r="J29" s="35">
        <f>F29/12*G29</f>
        <v>478.08916666666664</v>
      </c>
      <c r="K29" s="35">
        <f>F29/12*G29</f>
        <v>478.08916666666664</v>
      </c>
      <c r="L29" s="35">
        <f>F29/12*G29</f>
        <v>478.08916666666664</v>
      </c>
      <c r="M29" s="35">
        <f>F29/12*G29</f>
        <v>478.08916666666664</v>
      </c>
      <c r="N29" s="35">
        <f>F29/12*G29</f>
        <v>478.08916666666664</v>
      </c>
      <c r="O29" s="35">
        <f>F29/12*G29</f>
        <v>478.08916666666664</v>
      </c>
      <c r="P29" s="35">
        <f>F29/12*G29</f>
        <v>478.08916666666664</v>
      </c>
      <c r="Q29" s="35">
        <f>F29/12*G29</f>
        <v>478.08916666666664</v>
      </c>
      <c r="R29" s="35">
        <f>F29/12*G29</f>
        <v>478.08916666666664</v>
      </c>
      <c r="S29" s="35">
        <f>F29/12*G29</f>
        <v>478.08916666666664</v>
      </c>
      <c r="T29" s="35">
        <f>F29/12*G29</f>
        <v>478.08916666666664</v>
      </c>
      <c r="U29" s="35">
        <f t="shared" si="4"/>
        <v>5737.07</v>
      </c>
    </row>
    <row r="30" spans="1:21" ht="12.75" customHeight="1">
      <c r="A30" s="135" t="s">
        <v>179</v>
      </c>
      <c r="B30" s="10" t="s">
        <v>149</v>
      </c>
      <c r="C30" s="25" t="s">
        <v>39</v>
      </c>
      <c r="D30" s="10" t="s">
        <v>41</v>
      </c>
      <c r="E30" s="32"/>
      <c r="F30" s="33">
        <v>3</v>
      </c>
      <c r="G30" s="33">
        <v>204.52</v>
      </c>
      <c r="H30" s="34">
        <f t="shared" si="3"/>
        <v>0.61356000000000011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f t="shared" si="4"/>
        <v>0</v>
      </c>
    </row>
    <row r="31" spans="1:21" ht="12.75" customHeight="1">
      <c r="A31" s="135" t="s">
        <v>132</v>
      </c>
      <c r="B31" s="10" t="s">
        <v>159</v>
      </c>
      <c r="C31" s="25" t="s">
        <v>42</v>
      </c>
      <c r="D31" s="10" t="s">
        <v>41</v>
      </c>
      <c r="E31" s="32"/>
      <c r="F31" s="33">
        <v>2</v>
      </c>
      <c r="G31" s="33">
        <v>1214.74</v>
      </c>
      <c r="H31" s="34">
        <f t="shared" si="3"/>
        <v>2.4294799999999999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f t="shared" si="4"/>
        <v>0</v>
      </c>
    </row>
    <row r="32" spans="1:21">
      <c r="A32" s="135"/>
      <c r="B32" s="46" t="s">
        <v>43</v>
      </c>
      <c r="C32" s="25" t="s">
        <v>44</v>
      </c>
      <c r="D32" s="46" t="s">
        <v>45</v>
      </c>
      <c r="E32" s="32">
        <v>2135.1999999999998</v>
      </c>
      <c r="F32" s="33">
        <f>SUM(E32*12)</f>
        <v>25622.399999999998</v>
      </c>
      <c r="G32" s="33">
        <v>6.15</v>
      </c>
      <c r="H32" s="34">
        <f t="shared" si="3"/>
        <v>157.57776000000001</v>
      </c>
      <c r="I32" s="35">
        <f>F32/12*G32</f>
        <v>13131.48</v>
      </c>
      <c r="J32" s="35">
        <f>F32/12*G32</f>
        <v>13131.48</v>
      </c>
      <c r="K32" s="35">
        <f>F32/12*G32</f>
        <v>13131.48</v>
      </c>
      <c r="L32" s="35">
        <f>F32/12*G32</f>
        <v>13131.48</v>
      </c>
      <c r="M32" s="35">
        <f>F32/12*G32</f>
        <v>13131.48</v>
      </c>
      <c r="N32" s="35">
        <f>F32/12*G32</f>
        <v>13131.48</v>
      </c>
      <c r="O32" s="35">
        <f>F32/12*G32</f>
        <v>13131.48</v>
      </c>
      <c r="P32" s="35">
        <f>F32/12*G32</f>
        <v>13131.48</v>
      </c>
      <c r="Q32" s="35">
        <f>F32/12*G32</f>
        <v>13131.48</v>
      </c>
      <c r="R32" s="35">
        <f>F32/12*G32</f>
        <v>13131.48</v>
      </c>
      <c r="S32" s="35">
        <f>F32/12*G32</f>
        <v>13131.48</v>
      </c>
      <c r="T32" s="35">
        <f>F32/12*G32</f>
        <v>13131.48</v>
      </c>
      <c r="U32" s="35">
        <f t="shared" si="4"/>
        <v>157577.76</v>
      </c>
    </row>
    <row r="33" spans="1:21" s="19" customFormat="1">
      <c r="A33" s="136"/>
      <c r="B33" s="20" t="s">
        <v>28</v>
      </c>
      <c r="C33" s="38"/>
      <c r="D33" s="20"/>
      <c r="E33" s="39"/>
      <c r="F33" s="40"/>
      <c r="G33" s="40"/>
      <c r="H33" s="47">
        <f>SUM(H24:H32)</f>
        <v>180.24913976780002</v>
      </c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>
        <f>SUM(U24:U32)</f>
        <v>177206.09976780001</v>
      </c>
    </row>
    <row r="34" spans="1:21">
      <c r="A34" s="135"/>
      <c r="B34" s="12" t="s">
        <v>46</v>
      </c>
      <c r="C34" s="25"/>
      <c r="D34" s="10"/>
      <c r="E34" s="32"/>
      <c r="F34" s="33"/>
      <c r="G34" s="33"/>
      <c r="H34" s="34" t="s">
        <v>45</v>
      </c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</row>
    <row r="35" spans="1:21" ht="12.75" customHeight="1">
      <c r="A35" s="135" t="s">
        <v>132</v>
      </c>
      <c r="B35" s="13" t="s">
        <v>47</v>
      </c>
      <c r="C35" s="25" t="s">
        <v>42</v>
      </c>
      <c r="D35" s="10"/>
      <c r="E35" s="32"/>
      <c r="F35" s="33">
        <v>8</v>
      </c>
      <c r="G35" s="33">
        <v>1632.6</v>
      </c>
      <c r="H35" s="34">
        <f t="shared" ref="H35:H40" si="5">SUM(F35*G35/1000)</f>
        <v>13.060799999999999</v>
      </c>
      <c r="I35" s="35">
        <f t="shared" ref="I35:I40" si="6">F35/6*G35</f>
        <v>2176.7999999999997</v>
      </c>
      <c r="J35" s="35">
        <f t="shared" ref="J35:J40" si="7">F35/6*G35</f>
        <v>2176.7999999999997</v>
      </c>
      <c r="K35" s="35">
        <f t="shared" ref="K35:K40" si="8">F35/6*G35</f>
        <v>2176.7999999999997</v>
      </c>
      <c r="L35" s="35">
        <f t="shared" ref="L35:L40" si="9">F35/6*G35</f>
        <v>2176.7999999999997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f t="shared" ref="S35:S40" si="10">F35/6*G35</f>
        <v>2176.7999999999997</v>
      </c>
      <c r="T35" s="35">
        <f t="shared" ref="T35:T40" si="11">F35/6*G35</f>
        <v>2176.7999999999997</v>
      </c>
      <c r="U35" s="35">
        <f>SUM(I35:T35)</f>
        <v>13060.799999999997</v>
      </c>
    </row>
    <row r="36" spans="1:21" ht="25.5">
      <c r="A36" s="137" t="s">
        <v>180</v>
      </c>
      <c r="B36" s="13" t="s">
        <v>150</v>
      </c>
      <c r="C36" s="49" t="s">
        <v>48</v>
      </c>
      <c r="D36" s="10" t="s">
        <v>103</v>
      </c>
      <c r="E36" s="32">
        <v>115.82</v>
      </c>
      <c r="F36" s="48">
        <f>E36*30/1000</f>
        <v>3.4745999999999997</v>
      </c>
      <c r="G36" s="33">
        <v>2247.8000000000002</v>
      </c>
      <c r="H36" s="34">
        <f>G36*F36/1000</f>
        <v>7.8102058799999998</v>
      </c>
      <c r="I36" s="35">
        <f t="shared" si="6"/>
        <v>1301.7009800000001</v>
      </c>
      <c r="J36" s="35">
        <f t="shared" si="7"/>
        <v>1301.7009800000001</v>
      </c>
      <c r="K36" s="35">
        <f t="shared" si="8"/>
        <v>1301.7009800000001</v>
      </c>
      <c r="L36" s="35">
        <f t="shared" si="9"/>
        <v>1301.7009800000001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f t="shared" si="10"/>
        <v>1301.7009800000001</v>
      </c>
      <c r="T36" s="35">
        <f t="shared" si="11"/>
        <v>1301.7009800000001</v>
      </c>
      <c r="U36" s="35">
        <f t="shared" ref="U36:U40" si="12">SUM(I36:T36)</f>
        <v>7810.2058799999995</v>
      </c>
    </row>
    <row r="37" spans="1:21" ht="24.75" customHeight="1">
      <c r="A37" s="135" t="s">
        <v>181</v>
      </c>
      <c r="B37" s="10" t="s">
        <v>151</v>
      </c>
      <c r="C37" s="25" t="s">
        <v>48</v>
      </c>
      <c r="D37" s="10" t="s">
        <v>49</v>
      </c>
      <c r="E37" s="33">
        <v>115.82</v>
      </c>
      <c r="F37" s="48">
        <f>SUM(E37*155/1000)</f>
        <v>17.952099999999998</v>
      </c>
      <c r="G37" s="33">
        <v>374.95</v>
      </c>
      <c r="H37" s="34">
        <f t="shared" si="5"/>
        <v>6.7311398949999992</v>
      </c>
      <c r="I37" s="35">
        <f t="shared" si="6"/>
        <v>1121.8566491666666</v>
      </c>
      <c r="J37" s="35">
        <f t="shared" si="7"/>
        <v>1121.8566491666666</v>
      </c>
      <c r="K37" s="35">
        <f t="shared" si="8"/>
        <v>1121.8566491666666</v>
      </c>
      <c r="L37" s="35">
        <f t="shared" si="9"/>
        <v>1121.8566491666666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f t="shared" si="10"/>
        <v>1121.8566491666666</v>
      </c>
      <c r="T37" s="35">
        <f t="shared" si="11"/>
        <v>1121.8566491666666</v>
      </c>
      <c r="U37" s="35">
        <f t="shared" si="12"/>
        <v>6731.1398949999984</v>
      </c>
    </row>
    <row r="38" spans="1:21" ht="51" customHeight="1">
      <c r="A38" s="135" t="s">
        <v>182</v>
      </c>
      <c r="B38" s="10" t="s">
        <v>152</v>
      </c>
      <c r="C38" s="25" t="s">
        <v>31</v>
      </c>
      <c r="D38" s="10" t="s">
        <v>114</v>
      </c>
      <c r="E38" s="33">
        <v>40</v>
      </c>
      <c r="F38" s="48">
        <f>SUM(E38*35/1000)</f>
        <v>1.4</v>
      </c>
      <c r="G38" s="33">
        <v>6203.7</v>
      </c>
      <c r="H38" s="34">
        <f t="shared" si="5"/>
        <v>8.685179999999999</v>
      </c>
      <c r="I38" s="35">
        <f t="shared" si="6"/>
        <v>1447.5299999999997</v>
      </c>
      <c r="J38" s="35">
        <f t="shared" si="7"/>
        <v>1447.5299999999997</v>
      </c>
      <c r="K38" s="35">
        <f t="shared" si="8"/>
        <v>1447.5299999999997</v>
      </c>
      <c r="L38" s="35">
        <f t="shared" si="9"/>
        <v>1447.5299999999997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f t="shared" si="10"/>
        <v>1447.5299999999997</v>
      </c>
      <c r="T38" s="35">
        <f t="shared" si="11"/>
        <v>1447.5299999999997</v>
      </c>
      <c r="U38" s="35">
        <f t="shared" si="12"/>
        <v>8685.1799999999985</v>
      </c>
    </row>
    <row r="39" spans="1:21" ht="12.75" customHeight="1">
      <c r="A39" s="135" t="s">
        <v>183</v>
      </c>
      <c r="B39" s="10" t="s">
        <v>153</v>
      </c>
      <c r="C39" s="25" t="s">
        <v>31</v>
      </c>
      <c r="D39" s="10" t="s">
        <v>50</v>
      </c>
      <c r="E39" s="33">
        <v>115.82</v>
      </c>
      <c r="F39" s="48">
        <f>SUM(E39*45/1000)</f>
        <v>5.2119</v>
      </c>
      <c r="G39" s="33">
        <v>458.28</v>
      </c>
      <c r="H39" s="34">
        <f t="shared" si="5"/>
        <v>2.388509532</v>
      </c>
      <c r="I39" s="35">
        <f t="shared" si="6"/>
        <v>398.08492200000001</v>
      </c>
      <c r="J39" s="35">
        <f t="shared" si="7"/>
        <v>398.08492200000001</v>
      </c>
      <c r="K39" s="35">
        <f t="shared" si="8"/>
        <v>398.08492200000001</v>
      </c>
      <c r="L39" s="35">
        <f t="shared" si="9"/>
        <v>398.08492200000001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f t="shared" si="10"/>
        <v>398.08492200000001</v>
      </c>
      <c r="T39" s="35">
        <f t="shared" si="11"/>
        <v>398.08492200000001</v>
      </c>
      <c r="U39" s="35">
        <f t="shared" si="12"/>
        <v>2388.509532</v>
      </c>
    </row>
    <row r="40" spans="1:21" s="1" customFormat="1">
      <c r="A40" s="137"/>
      <c r="B40" s="13" t="s">
        <v>154</v>
      </c>
      <c r="C40" s="49" t="s">
        <v>39</v>
      </c>
      <c r="D40" s="13"/>
      <c r="E40" s="45"/>
      <c r="F40" s="48">
        <v>0.5</v>
      </c>
      <c r="G40" s="48">
        <v>853.06</v>
      </c>
      <c r="H40" s="34">
        <f t="shared" si="5"/>
        <v>0.42652999999999996</v>
      </c>
      <c r="I40" s="50">
        <f t="shared" si="6"/>
        <v>71.088333333333324</v>
      </c>
      <c r="J40" s="50">
        <f t="shared" si="7"/>
        <v>71.088333333333324</v>
      </c>
      <c r="K40" s="50">
        <f t="shared" si="8"/>
        <v>71.088333333333324</v>
      </c>
      <c r="L40" s="50">
        <f t="shared" si="9"/>
        <v>71.088333333333324</v>
      </c>
      <c r="M40" s="50">
        <v>0</v>
      </c>
      <c r="N40" s="50">
        <v>0</v>
      </c>
      <c r="O40" s="50">
        <v>0</v>
      </c>
      <c r="P40" s="50">
        <v>0</v>
      </c>
      <c r="Q40" s="50">
        <v>0</v>
      </c>
      <c r="R40" s="50">
        <v>0</v>
      </c>
      <c r="S40" s="50">
        <f t="shared" si="10"/>
        <v>71.088333333333324</v>
      </c>
      <c r="T40" s="50">
        <f t="shared" si="11"/>
        <v>71.088333333333324</v>
      </c>
      <c r="U40" s="35">
        <f t="shared" si="12"/>
        <v>426.52999999999992</v>
      </c>
    </row>
    <row r="41" spans="1:21" s="19" customFormat="1">
      <c r="A41" s="136"/>
      <c r="B41" s="20" t="s">
        <v>28</v>
      </c>
      <c r="C41" s="38"/>
      <c r="D41" s="20"/>
      <c r="E41" s="39"/>
      <c r="F41" s="40" t="s">
        <v>45</v>
      </c>
      <c r="G41" s="40"/>
      <c r="H41" s="47">
        <f>SUM(H35:H40)</f>
        <v>39.102365306999999</v>
      </c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>
        <f>SUM(U35:U40)</f>
        <v>39102.365307</v>
      </c>
    </row>
    <row r="42" spans="1:21">
      <c r="A42" s="135"/>
      <c r="B42" s="14" t="s">
        <v>51</v>
      </c>
      <c r="C42" s="25"/>
      <c r="D42" s="10"/>
      <c r="E42" s="32"/>
      <c r="F42" s="33"/>
      <c r="G42" s="33"/>
      <c r="H42" s="34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</row>
    <row r="43" spans="1:21">
      <c r="A43" s="135" t="s">
        <v>184</v>
      </c>
      <c r="B43" s="10" t="s">
        <v>160</v>
      </c>
      <c r="C43" s="25" t="s">
        <v>31</v>
      </c>
      <c r="D43" s="10" t="s">
        <v>52</v>
      </c>
      <c r="E43" s="32">
        <v>838.88</v>
      </c>
      <c r="F43" s="33">
        <f>SUM(E43*2/1000)</f>
        <v>1.6777599999999999</v>
      </c>
      <c r="G43" s="51">
        <v>865.61</v>
      </c>
      <c r="H43" s="34">
        <f t="shared" ref="H43:H52" si="13">SUM(F43*G43/1000)</f>
        <v>1.4522858336</v>
      </c>
      <c r="I43" s="35">
        <v>0</v>
      </c>
      <c r="J43" s="35">
        <v>0</v>
      </c>
      <c r="K43" s="35">
        <v>0</v>
      </c>
      <c r="L43" s="35">
        <v>0</v>
      </c>
      <c r="M43" s="35">
        <f>F43/2*G43</f>
        <v>726.14291679999997</v>
      </c>
      <c r="N43" s="35">
        <v>0</v>
      </c>
      <c r="O43" s="35">
        <v>0</v>
      </c>
      <c r="P43" s="35">
        <v>0</v>
      </c>
      <c r="Q43" s="35">
        <f>F43/2*G43</f>
        <v>726.14291679999997</v>
      </c>
      <c r="R43" s="35">
        <v>0</v>
      </c>
      <c r="S43" s="35">
        <v>0</v>
      </c>
      <c r="T43" s="35">
        <v>0</v>
      </c>
      <c r="U43" s="35">
        <f>SUM(I43:T43)</f>
        <v>1452.2858335999999</v>
      </c>
    </row>
    <row r="44" spans="1:21">
      <c r="A44" s="135" t="s">
        <v>185</v>
      </c>
      <c r="B44" s="10" t="s">
        <v>53</v>
      </c>
      <c r="C44" s="25" t="s">
        <v>31</v>
      </c>
      <c r="D44" s="10" t="s">
        <v>52</v>
      </c>
      <c r="E44" s="32">
        <v>26</v>
      </c>
      <c r="F44" s="33">
        <f>E44*2/1000</f>
        <v>5.1999999999999998E-2</v>
      </c>
      <c r="G44" s="51">
        <v>619.46</v>
      </c>
      <c r="H44" s="34">
        <f t="shared" si="13"/>
        <v>3.2211919999999998E-2</v>
      </c>
      <c r="I44" s="35">
        <v>0</v>
      </c>
      <c r="J44" s="35">
        <v>0</v>
      </c>
      <c r="K44" s="35">
        <v>0</v>
      </c>
      <c r="L44" s="35">
        <v>0</v>
      </c>
      <c r="M44" s="35">
        <f t="shared" ref="M44:M47" si="14">F44/2*G44</f>
        <v>16.10596</v>
      </c>
      <c r="N44" s="35">
        <v>0</v>
      </c>
      <c r="O44" s="35">
        <v>0</v>
      </c>
      <c r="P44" s="35">
        <v>0</v>
      </c>
      <c r="Q44" s="35">
        <f>F44/2*G44</f>
        <v>16.10596</v>
      </c>
      <c r="R44" s="35">
        <v>0</v>
      </c>
      <c r="S44" s="35">
        <v>0</v>
      </c>
      <c r="T44" s="35">
        <v>0</v>
      </c>
      <c r="U44" s="35">
        <f t="shared" ref="U44:U52" si="15">SUM(I44:T44)</f>
        <v>32.211919999999999</v>
      </c>
    </row>
    <row r="45" spans="1:21" ht="12.75" customHeight="1">
      <c r="A45" s="135" t="s">
        <v>186</v>
      </c>
      <c r="B45" s="10" t="s">
        <v>54</v>
      </c>
      <c r="C45" s="25" t="s">
        <v>31</v>
      </c>
      <c r="D45" s="10" t="s">
        <v>52</v>
      </c>
      <c r="E45" s="32">
        <v>879</v>
      </c>
      <c r="F45" s="33">
        <f>SUM(E45*2/1000)</f>
        <v>1.758</v>
      </c>
      <c r="G45" s="51">
        <v>619.46</v>
      </c>
      <c r="H45" s="34">
        <f t="shared" si="13"/>
        <v>1.0890106800000001</v>
      </c>
      <c r="I45" s="35">
        <v>0</v>
      </c>
      <c r="J45" s="35">
        <v>0</v>
      </c>
      <c r="K45" s="35">
        <v>0</v>
      </c>
      <c r="L45" s="35">
        <v>0</v>
      </c>
      <c r="M45" s="35">
        <f t="shared" si="14"/>
        <v>544.50534000000005</v>
      </c>
      <c r="N45" s="35">
        <v>0</v>
      </c>
      <c r="O45" s="35">
        <v>0</v>
      </c>
      <c r="P45" s="35">
        <v>0</v>
      </c>
      <c r="Q45" s="35">
        <f>F45/2*G45</f>
        <v>544.50534000000005</v>
      </c>
      <c r="R45" s="35">
        <v>0</v>
      </c>
      <c r="S45" s="35">
        <v>0</v>
      </c>
      <c r="T45" s="35">
        <v>0</v>
      </c>
      <c r="U45" s="35">
        <f t="shared" si="15"/>
        <v>1089.0106800000001</v>
      </c>
    </row>
    <row r="46" spans="1:21">
      <c r="A46" s="135" t="s">
        <v>187</v>
      </c>
      <c r="B46" s="10" t="s">
        <v>55</v>
      </c>
      <c r="C46" s="25" t="s">
        <v>31</v>
      </c>
      <c r="D46" s="10" t="s">
        <v>52</v>
      </c>
      <c r="E46" s="32">
        <v>1490.75</v>
      </c>
      <c r="F46" s="33">
        <f>SUM(E46*2/1000)</f>
        <v>2.9815</v>
      </c>
      <c r="G46" s="51">
        <v>648.64</v>
      </c>
      <c r="H46" s="34">
        <f t="shared" si="13"/>
        <v>1.93392016</v>
      </c>
      <c r="I46" s="35">
        <v>0</v>
      </c>
      <c r="J46" s="35">
        <v>0</v>
      </c>
      <c r="K46" s="35">
        <v>0</v>
      </c>
      <c r="L46" s="35">
        <v>0</v>
      </c>
      <c r="M46" s="35">
        <f t="shared" si="14"/>
        <v>966.96007999999995</v>
      </c>
      <c r="N46" s="35">
        <v>0</v>
      </c>
      <c r="O46" s="35">
        <v>0</v>
      </c>
      <c r="P46" s="35">
        <v>0</v>
      </c>
      <c r="Q46" s="35">
        <f>F46/2*G46</f>
        <v>966.96007999999995</v>
      </c>
      <c r="R46" s="35">
        <v>0</v>
      </c>
      <c r="S46" s="35">
        <v>0</v>
      </c>
      <c r="T46" s="35">
        <v>0</v>
      </c>
      <c r="U46" s="35">
        <f t="shared" si="15"/>
        <v>1933.9201599999999</v>
      </c>
    </row>
    <row r="47" spans="1:21">
      <c r="A47" s="135" t="s">
        <v>188</v>
      </c>
      <c r="B47" s="10" t="s">
        <v>108</v>
      </c>
      <c r="C47" s="25" t="s">
        <v>109</v>
      </c>
      <c r="D47" s="10" t="s">
        <v>52</v>
      </c>
      <c r="E47" s="32">
        <v>61.04</v>
      </c>
      <c r="F47" s="33">
        <f>SUM(E47*2/100)</f>
        <v>1.2207999999999999</v>
      </c>
      <c r="G47" s="51">
        <v>77.84</v>
      </c>
      <c r="H47" s="34">
        <f t="shared" si="13"/>
        <v>9.502707199999999E-2</v>
      </c>
      <c r="I47" s="35">
        <v>0</v>
      </c>
      <c r="J47" s="35">
        <v>0</v>
      </c>
      <c r="K47" s="35">
        <v>0</v>
      </c>
      <c r="L47" s="35">
        <v>0</v>
      </c>
      <c r="M47" s="35">
        <f t="shared" si="14"/>
        <v>47.513535999999995</v>
      </c>
      <c r="N47" s="35">
        <v>0</v>
      </c>
      <c r="O47" s="35">
        <v>0</v>
      </c>
      <c r="P47" s="35">
        <v>0</v>
      </c>
      <c r="Q47" s="35">
        <f>F47/2*G47</f>
        <v>47.513535999999995</v>
      </c>
      <c r="R47" s="35">
        <v>0</v>
      </c>
      <c r="S47" s="35">
        <v>0</v>
      </c>
      <c r="T47" s="35">
        <v>0</v>
      </c>
      <c r="U47" s="35">
        <f t="shared" si="15"/>
        <v>95.02707199999999</v>
      </c>
    </row>
    <row r="48" spans="1:21" ht="25.5">
      <c r="A48" s="135" t="s">
        <v>189</v>
      </c>
      <c r="B48" s="10" t="s">
        <v>56</v>
      </c>
      <c r="C48" s="25" t="s">
        <v>31</v>
      </c>
      <c r="D48" s="10" t="s">
        <v>57</v>
      </c>
      <c r="E48" s="32">
        <v>1342.2</v>
      </c>
      <c r="F48" s="33">
        <f>SUM(E48*5/1000)</f>
        <v>6.7110000000000003</v>
      </c>
      <c r="G48" s="51">
        <v>1297.28</v>
      </c>
      <c r="H48" s="34">
        <f t="shared" si="13"/>
        <v>8.7060460800000001</v>
      </c>
      <c r="I48" s="35">
        <f>F48/5*G48</f>
        <v>1741.209216</v>
      </c>
      <c r="J48" s="35">
        <f>F48/5*G48</f>
        <v>1741.209216</v>
      </c>
      <c r="K48" s="35">
        <v>0</v>
      </c>
      <c r="L48" s="35">
        <v>0</v>
      </c>
      <c r="M48" s="35">
        <f>F48/5*G48</f>
        <v>1741.209216</v>
      </c>
      <c r="N48" s="35">
        <v>0</v>
      </c>
      <c r="O48" s="35">
        <v>0</v>
      </c>
      <c r="P48" s="35">
        <v>0</v>
      </c>
      <c r="Q48" s="35">
        <f>F48/5*G48</f>
        <v>1741.209216</v>
      </c>
      <c r="R48" s="35">
        <v>0</v>
      </c>
      <c r="S48" s="35">
        <v>0</v>
      </c>
      <c r="T48" s="35">
        <f>F48/5*G48</f>
        <v>1741.209216</v>
      </c>
      <c r="U48" s="35">
        <f t="shared" si="15"/>
        <v>8706.0460800000001</v>
      </c>
    </row>
    <row r="49" spans="1:21" ht="38.25" customHeight="1">
      <c r="A49" s="135" t="s">
        <v>190</v>
      </c>
      <c r="B49" s="10" t="s">
        <v>58</v>
      </c>
      <c r="C49" s="25" t="s">
        <v>31</v>
      </c>
      <c r="D49" s="10" t="s">
        <v>52</v>
      </c>
      <c r="E49" s="32">
        <v>1342.2</v>
      </c>
      <c r="F49" s="33">
        <f>SUM(E49*2/1000)</f>
        <v>2.6844000000000001</v>
      </c>
      <c r="G49" s="51">
        <v>1297.28</v>
      </c>
      <c r="H49" s="34">
        <f t="shared" si="13"/>
        <v>3.4824184319999998</v>
      </c>
      <c r="I49" s="35">
        <v>0</v>
      </c>
      <c r="J49" s="35">
        <v>0</v>
      </c>
      <c r="K49" s="35">
        <v>0</v>
      </c>
      <c r="L49" s="35">
        <v>0</v>
      </c>
      <c r="M49" s="35">
        <f>F49/2*G49</f>
        <v>1741.209216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f>F49/2*G49</f>
        <v>1741.209216</v>
      </c>
      <c r="T49" s="35">
        <v>0</v>
      </c>
      <c r="U49" s="35">
        <f t="shared" si="15"/>
        <v>3482.4184319999999</v>
      </c>
    </row>
    <row r="50" spans="1:21" ht="25.5" customHeight="1">
      <c r="A50" s="135" t="s">
        <v>191</v>
      </c>
      <c r="B50" s="10" t="s">
        <v>59</v>
      </c>
      <c r="C50" s="25" t="s">
        <v>60</v>
      </c>
      <c r="D50" s="10" t="s">
        <v>52</v>
      </c>
      <c r="E50" s="32">
        <v>10</v>
      </c>
      <c r="F50" s="33">
        <f>SUM(E50*2/100)</f>
        <v>0.2</v>
      </c>
      <c r="G50" s="51">
        <v>2918.89</v>
      </c>
      <c r="H50" s="34">
        <f t="shared" si="13"/>
        <v>0.58377800000000002</v>
      </c>
      <c r="I50" s="35">
        <v>0</v>
      </c>
      <c r="J50" s="35">
        <v>0</v>
      </c>
      <c r="K50" s="35">
        <v>0</v>
      </c>
      <c r="L50" s="35">
        <v>0</v>
      </c>
      <c r="M50" s="35">
        <f>F50/2*G50</f>
        <v>291.88900000000001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5">
        <f>F50/2*G50</f>
        <v>291.88900000000001</v>
      </c>
      <c r="T50" s="35">
        <v>0</v>
      </c>
      <c r="U50" s="35">
        <f t="shared" si="15"/>
        <v>583.77800000000002</v>
      </c>
    </row>
    <row r="51" spans="1:21">
      <c r="A51" s="135" t="s">
        <v>192</v>
      </c>
      <c r="B51" s="10" t="s">
        <v>61</v>
      </c>
      <c r="C51" s="25" t="s">
        <v>62</v>
      </c>
      <c r="D51" s="10" t="s">
        <v>52</v>
      </c>
      <c r="E51" s="32">
        <v>1</v>
      </c>
      <c r="F51" s="33">
        <v>0.02</v>
      </c>
      <c r="G51" s="51">
        <v>6042.12</v>
      </c>
      <c r="H51" s="34">
        <f t="shared" si="13"/>
        <v>0.1208424</v>
      </c>
      <c r="I51" s="35">
        <v>0</v>
      </c>
      <c r="J51" s="35">
        <v>0</v>
      </c>
      <c r="K51" s="35">
        <v>0</v>
      </c>
      <c r="L51" s="35">
        <v>0</v>
      </c>
      <c r="M51" s="35">
        <f>F51/2*G51</f>
        <v>60.421199999999999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f>F51/2*G51</f>
        <v>60.421199999999999</v>
      </c>
      <c r="T51" s="35">
        <v>0</v>
      </c>
      <c r="U51" s="35">
        <f t="shared" si="15"/>
        <v>120.8424</v>
      </c>
    </row>
    <row r="52" spans="1:21" ht="13.5" customHeight="1">
      <c r="A52" s="135" t="s">
        <v>64</v>
      </c>
      <c r="B52" s="10" t="s">
        <v>65</v>
      </c>
      <c r="C52" s="25" t="s">
        <v>63</v>
      </c>
      <c r="D52" s="10" t="s">
        <v>101</v>
      </c>
      <c r="E52" s="32">
        <v>80</v>
      </c>
      <c r="F52" s="33">
        <f>SUM(E52)*3</f>
        <v>240</v>
      </c>
      <c r="G52" s="52">
        <v>70.209999999999994</v>
      </c>
      <c r="H52" s="34">
        <f t="shared" si="13"/>
        <v>16.850399999999997</v>
      </c>
      <c r="I52" s="35">
        <f>E52*G52</f>
        <v>5616.7999999999993</v>
      </c>
      <c r="J52" s="35">
        <v>0</v>
      </c>
      <c r="K52" s="35">
        <v>0</v>
      </c>
      <c r="L52" s="35">
        <f>E52*G52</f>
        <v>5616.7999999999993</v>
      </c>
      <c r="M52" s="35">
        <v>0</v>
      </c>
      <c r="N52" s="35">
        <v>0</v>
      </c>
      <c r="O52" s="35">
        <v>0</v>
      </c>
      <c r="P52" s="35">
        <f>E52*G52</f>
        <v>5616.7999999999993</v>
      </c>
      <c r="Q52" s="35">
        <v>0</v>
      </c>
      <c r="R52" s="35">
        <v>0</v>
      </c>
      <c r="S52" s="35">
        <v>0</v>
      </c>
      <c r="T52" s="35">
        <v>0</v>
      </c>
      <c r="U52" s="35">
        <f t="shared" si="15"/>
        <v>16850.399999999998</v>
      </c>
    </row>
    <row r="53" spans="1:21" s="21" customFormat="1">
      <c r="A53" s="136"/>
      <c r="B53" s="20" t="s">
        <v>28</v>
      </c>
      <c r="C53" s="53"/>
      <c r="D53" s="20"/>
      <c r="E53" s="54"/>
      <c r="F53" s="55"/>
      <c r="G53" s="55"/>
      <c r="H53" s="47">
        <f>SUM(H43:H52)</f>
        <v>34.345940577599997</v>
      </c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>
        <f>SUM(U43:U52)</f>
        <v>34345.940577599991</v>
      </c>
    </row>
    <row r="54" spans="1:21">
      <c r="A54" s="135"/>
      <c r="B54" s="12" t="s">
        <v>66</v>
      </c>
      <c r="C54" s="25"/>
      <c r="D54" s="10"/>
      <c r="E54" s="32"/>
      <c r="F54" s="33"/>
      <c r="G54" s="33"/>
      <c r="H54" s="34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</row>
    <row r="55" spans="1:21" ht="38.25" customHeight="1">
      <c r="A55" s="135" t="s">
        <v>193</v>
      </c>
      <c r="B55" s="10" t="s">
        <v>155</v>
      </c>
      <c r="C55" s="25" t="s">
        <v>13</v>
      </c>
      <c r="D55" s="10" t="s">
        <v>67</v>
      </c>
      <c r="E55" s="32">
        <v>90.76</v>
      </c>
      <c r="F55" s="33">
        <f>SUM(E55*6/100)</f>
        <v>5.4456000000000007</v>
      </c>
      <c r="G55" s="51">
        <v>1654.04</v>
      </c>
      <c r="H55" s="34">
        <f>SUM(F55*G55/1000)</f>
        <v>9.0072402240000002</v>
      </c>
      <c r="I55" s="35">
        <f>F55/6*G55</f>
        <v>1501.2067040000002</v>
      </c>
      <c r="J55" s="35">
        <f>F55/6*G55</f>
        <v>1501.2067040000002</v>
      </c>
      <c r="K55" s="35">
        <f>F55/6*G55</f>
        <v>1501.2067040000002</v>
      </c>
      <c r="L55" s="35">
        <f>F55/6*G55</f>
        <v>1501.2067040000002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f>F55/6*G55</f>
        <v>1501.2067040000002</v>
      </c>
      <c r="T55" s="35">
        <f>F55/6*G55</f>
        <v>1501.2067040000002</v>
      </c>
      <c r="U55" s="35">
        <f>SUM(I55:T55)</f>
        <v>9007.240224000001</v>
      </c>
    </row>
    <row r="56" spans="1:21">
      <c r="A56" s="135"/>
      <c r="B56" s="11" t="s">
        <v>68</v>
      </c>
      <c r="C56" s="25"/>
      <c r="D56" s="10"/>
      <c r="E56" s="32"/>
      <c r="F56" s="33"/>
      <c r="G56" s="57"/>
      <c r="H56" s="34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</row>
    <row r="57" spans="1:21">
      <c r="A57" s="135" t="s">
        <v>194</v>
      </c>
      <c r="B57" s="10" t="s">
        <v>102</v>
      </c>
      <c r="C57" s="25" t="s">
        <v>13</v>
      </c>
      <c r="D57" s="10" t="s">
        <v>41</v>
      </c>
      <c r="E57" s="32">
        <v>1342.2</v>
      </c>
      <c r="F57" s="34">
        <f>E57/100</f>
        <v>13.422000000000001</v>
      </c>
      <c r="G57" s="51">
        <v>848.37</v>
      </c>
      <c r="H57" s="58">
        <f>F57*G57/1000</f>
        <v>11.38682214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35">
        <f t="shared" ref="U57:U72" si="16">SUM(I57:T57)</f>
        <v>0</v>
      </c>
    </row>
    <row r="58" spans="1:21">
      <c r="A58" s="138"/>
      <c r="B58" s="15" t="s">
        <v>69</v>
      </c>
      <c r="C58" s="59"/>
      <c r="D58" s="60"/>
      <c r="E58" s="61"/>
      <c r="F58" s="62"/>
      <c r="G58" s="62"/>
      <c r="H58" s="63" t="s">
        <v>45</v>
      </c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</row>
    <row r="59" spans="1:21" ht="12.75" customHeight="1">
      <c r="A59" s="64" t="s">
        <v>195</v>
      </c>
      <c r="B59" s="16" t="s">
        <v>70</v>
      </c>
      <c r="C59" s="64" t="s">
        <v>63</v>
      </c>
      <c r="D59" s="8" t="s">
        <v>41</v>
      </c>
      <c r="E59" s="65">
        <v>10</v>
      </c>
      <c r="F59" s="33">
        <v>10</v>
      </c>
      <c r="G59" s="51">
        <v>237.74</v>
      </c>
      <c r="H59" s="66">
        <f t="shared" ref="H59:H72" si="17">SUM(F59*G59/1000)</f>
        <v>2.3774000000000002</v>
      </c>
      <c r="I59" s="35">
        <v>0</v>
      </c>
      <c r="J59" s="35">
        <v>0</v>
      </c>
      <c r="K59" s="35">
        <v>0</v>
      </c>
      <c r="L59" s="35">
        <f>G59</f>
        <v>237.74</v>
      </c>
      <c r="M59" s="35">
        <v>0</v>
      </c>
      <c r="N59" s="35">
        <f>G59</f>
        <v>237.74</v>
      </c>
      <c r="O59" s="35">
        <f>G59</f>
        <v>237.74</v>
      </c>
      <c r="P59" s="35">
        <f>G59</f>
        <v>237.74</v>
      </c>
      <c r="Q59" s="35">
        <f>G59</f>
        <v>237.74</v>
      </c>
      <c r="R59" s="35">
        <f>G59*6</f>
        <v>1426.44</v>
      </c>
      <c r="S59" s="35">
        <f>G59*8</f>
        <v>1901.92</v>
      </c>
      <c r="T59" s="35">
        <v>0</v>
      </c>
      <c r="U59" s="35">
        <f t="shared" si="16"/>
        <v>4517.0600000000004</v>
      </c>
    </row>
    <row r="60" spans="1:21" ht="12.75" customHeight="1">
      <c r="A60" s="64" t="s">
        <v>196</v>
      </c>
      <c r="B60" s="16" t="s">
        <v>71</v>
      </c>
      <c r="C60" s="64" t="s">
        <v>63</v>
      </c>
      <c r="D60" s="8" t="s">
        <v>41</v>
      </c>
      <c r="E60" s="65">
        <v>5</v>
      </c>
      <c r="F60" s="33">
        <v>5</v>
      </c>
      <c r="G60" s="51">
        <v>81.510000000000005</v>
      </c>
      <c r="H60" s="66">
        <f t="shared" si="17"/>
        <v>0.40755000000000002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35">
        <v>0</v>
      </c>
      <c r="T60" s="35">
        <v>0</v>
      </c>
      <c r="U60" s="35">
        <f t="shared" si="16"/>
        <v>0</v>
      </c>
    </row>
    <row r="61" spans="1:21" s="1" customFormat="1">
      <c r="A61" s="67" t="s">
        <v>197</v>
      </c>
      <c r="B61" s="16" t="s">
        <v>72</v>
      </c>
      <c r="C61" s="67" t="s">
        <v>73</v>
      </c>
      <c r="D61" s="8" t="s">
        <v>34</v>
      </c>
      <c r="E61" s="32">
        <v>10348</v>
      </c>
      <c r="F61" s="52">
        <f>SUM(E61/100)</f>
        <v>103.48</v>
      </c>
      <c r="G61" s="51">
        <v>226.79</v>
      </c>
      <c r="H61" s="66">
        <f t="shared" si="17"/>
        <v>23.468229200000003</v>
      </c>
      <c r="I61" s="50">
        <v>0</v>
      </c>
      <c r="J61" s="50">
        <v>0</v>
      </c>
      <c r="K61" s="50">
        <v>0</v>
      </c>
      <c r="L61" s="50">
        <v>0</v>
      </c>
      <c r="M61" s="50">
        <f>F61*G61</f>
        <v>23468.229200000002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35">
        <f t="shared" si="16"/>
        <v>23468.229200000002</v>
      </c>
    </row>
    <row r="62" spans="1:21" ht="12.75" customHeight="1">
      <c r="A62" s="64" t="s">
        <v>198</v>
      </c>
      <c r="B62" s="16" t="s">
        <v>74</v>
      </c>
      <c r="C62" s="64" t="s">
        <v>75</v>
      </c>
      <c r="D62" s="8"/>
      <c r="E62" s="32">
        <v>10348</v>
      </c>
      <c r="F62" s="51">
        <f>SUM(E62/1000)</f>
        <v>10.348000000000001</v>
      </c>
      <c r="G62" s="51">
        <v>176.61</v>
      </c>
      <c r="H62" s="66">
        <f t="shared" si="17"/>
        <v>1.8275602800000004</v>
      </c>
      <c r="I62" s="35">
        <v>0</v>
      </c>
      <c r="J62" s="35">
        <v>0</v>
      </c>
      <c r="K62" s="35">
        <v>0</v>
      </c>
      <c r="L62" s="35">
        <v>0</v>
      </c>
      <c r="M62" s="35">
        <f>F62*G62</f>
        <v>1827.5602800000004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35">
        <v>0</v>
      </c>
      <c r="T62" s="35">
        <v>0</v>
      </c>
      <c r="U62" s="35">
        <f t="shared" si="16"/>
        <v>1827.5602800000004</v>
      </c>
    </row>
    <row r="63" spans="1:21">
      <c r="A63" s="64" t="s">
        <v>199</v>
      </c>
      <c r="B63" s="16" t="s">
        <v>76</v>
      </c>
      <c r="C63" s="64" t="s">
        <v>77</v>
      </c>
      <c r="D63" s="8" t="s">
        <v>34</v>
      </c>
      <c r="E63" s="32">
        <v>1645</v>
      </c>
      <c r="F63" s="51">
        <f>SUM(E63/100)</f>
        <v>16.45</v>
      </c>
      <c r="G63" s="51">
        <v>2217.7800000000002</v>
      </c>
      <c r="H63" s="66">
        <f t="shared" si="17"/>
        <v>36.482481</v>
      </c>
      <c r="I63" s="35">
        <v>0</v>
      </c>
      <c r="J63" s="35">
        <v>0</v>
      </c>
      <c r="K63" s="35">
        <v>0</v>
      </c>
      <c r="L63" s="35">
        <v>0</v>
      </c>
      <c r="M63" s="35">
        <f>F63*G63</f>
        <v>36482.481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5">
        <v>0</v>
      </c>
      <c r="U63" s="35">
        <f t="shared" si="16"/>
        <v>36482.481</v>
      </c>
    </row>
    <row r="64" spans="1:21">
      <c r="A64" s="64"/>
      <c r="B64" s="17" t="s">
        <v>104</v>
      </c>
      <c r="C64" s="64" t="s">
        <v>39</v>
      </c>
      <c r="D64" s="8"/>
      <c r="E64" s="32">
        <v>8.6</v>
      </c>
      <c r="F64" s="51">
        <f>SUM(E64)</f>
        <v>8.6</v>
      </c>
      <c r="G64" s="51">
        <v>42.67</v>
      </c>
      <c r="H64" s="66">
        <f t="shared" si="17"/>
        <v>0.36696200000000001</v>
      </c>
      <c r="I64" s="35">
        <v>0</v>
      </c>
      <c r="J64" s="35">
        <v>0</v>
      </c>
      <c r="K64" s="35">
        <v>0</v>
      </c>
      <c r="L64" s="35">
        <v>0</v>
      </c>
      <c r="M64" s="35">
        <f>F64*G64</f>
        <v>366.96199999999999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5">
        <v>0</v>
      </c>
      <c r="U64" s="35">
        <f t="shared" si="16"/>
        <v>366.96199999999999</v>
      </c>
    </row>
    <row r="65" spans="1:21" ht="12.75" customHeight="1">
      <c r="A65" s="139"/>
      <c r="B65" s="17" t="s">
        <v>105</v>
      </c>
      <c r="C65" s="64" t="s">
        <v>39</v>
      </c>
      <c r="D65" s="8"/>
      <c r="E65" s="32">
        <v>8.6</v>
      </c>
      <c r="F65" s="51">
        <f>SUM(E65)</f>
        <v>8.6</v>
      </c>
      <c r="G65" s="51">
        <v>39.81</v>
      </c>
      <c r="H65" s="66">
        <f t="shared" si="17"/>
        <v>0.342366</v>
      </c>
      <c r="I65" s="35">
        <v>0</v>
      </c>
      <c r="J65" s="35">
        <v>0</v>
      </c>
      <c r="K65" s="35">
        <v>0</v>
      </c>
      <c r="L65" s="35">
        <v>0</v>
      </c>
      <c r="M65" s="35">
        <f>F65*G65</f>
        <v>342.36599999999999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5">
        <v>0</v>
      </c>
      <c r="U65" s="35">
        <f t="shared" si="16"/>
        <v>342.36599999999999</v>
      </c>
    </row>
    <row r="66" spans="1:21">
      <c r="A66" s="64" t="s">
        <v>200</v>
      </c>
      <c r="B66" s="8" t="s">
        <v>78</v>
      </c>
      <c r="C66" s="64" t="s">
        <v>79</v>
      </c>
      <c r="D66" s="8" t="s">
        <v>34</v>
      </c>
      <c r="E66" s="65">
        <v>5</v>
      </c>
      <c r="F66" s="33">
        <v>5</v>
      </c>
      <c r="G66" s="51">
        <v>53.32</v>
      </c>
      <c r="H66" s="66">
        <f t="shared" si="17"/>
        <v>0.2666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f>F66*G66</f>
        <v>266.60000000000002</v>
      </c>
      <c r="R66" s="35">
        <v>0</v>
      </c>
      <c r="S66" s="35">
        <v>0</v>
      </c>
      <c r="T66" s="35">
        <v>0</v>
      </c>
      <c r="U66" s="35">
        <f t="shared" si="16"/>
        <v>266.60000000000002</v>
      </c>
    </row>
    <row r="67" spans="1:21">
      <c r="A67" s="139"/>
      <c r="B67" s="18" t="s">
        <v>80</v>
      </c>
      <c r="C67" s="64"/>
      <c r="D67" s="8"/>
      <c r="E67" s="65"/>
      <c r="F67" s="51"/>
      <c r="G67" s="51"/>
      <c r="H67" s="66" t="s">
        <v>45</v>
      </c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</row>
    <row r="68" spans="1:21">
      <c r="A68" s="64" t="s">
        <v>201</v>
      </c>
      <c r="B68" s="8" t="s">
        <v>81</v>
      </c>
      <c r="C68" s="64" t="s">
        <v>82</v>
      </c>
      <c r="D68" s="8"/>
      <c r="E68" s="65">
        <v>2</v>
      </c>
      <c r="F68" s="51">
        <v>0.2</v>
      </c>
      <c r="G68" s="51">
        <v>536.23</v>
      </c>
      <c r="H68" s="66">
        <f t="shared" si="17"/>
        <v>0.10724600000000001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5">
        <f t="shared" si="16"/>
        <v>0</v>
      </c>
    </row>
    <row r="69" spans="1:21">
      <c r="A69" s="64" t="s">
        <v>202</v>
      </c>
      <c r="B69" s="8" t="s">
        <v>106</v>
      </c>
      <c r="C69" s="64" t="s">
        <v>36</v>
      </c>
      <c r="D69" s="8"/>
      <c r="E69" s="65">
        <v>2</v>
      </c>
      <c r="F69" s="57">
        <v>2</v>
      </c>
      <c r="G69" s="51">
        <v>911.85</v>
      </c>
      <c r="H69" s="66">
        <f>F69*G69/1000</f>
        <v>1.8237000000000001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f t="shared" si="16"/>
        <v>0</v>
      </c>
    </row>
    <row r="70" spans="1:21">
      <c r="A70" s="64" t="s">
        <v>203</v>
      </c>
      <c r="B70" s="8" t="s">
        <v>110</v>
      </c>
      <c r="C70" s="64" t="s">
        <v>36</v>
      </c>
      <c r="D70" s="8"/>
      <c r="E70" s="65">
        <v>1</v>
      </c>
      <c r="F70" s="51">
        <v>1</v>
      </c>
      <c r="G70" s="51">
        <v>383.25</v>
      </c>
      <c r="H70" s="66">
        <f>G70*F70/1000</f>
        <v>0.38324999999999998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f t="shared" si="16"/>
        <v>0</v>
      </c>
    </row>
    <row r="71" spans="1:21">
      <c r="A71" s="139"/>
      <c r="B71" s="69" t="s">
        <v>83</v>
      </c>
      <c r="C71" s="64"/>
      <c r="D71" s="8"/>
      <c r="E71" s="65"/>
      <c r="F71" s="51"/>
      <c r="G71" s="51" t="s">
        <v>45</v>
      </c>
      <c r="H71" s="66" t="s">
        <v>45</v>
      </c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</row>
    <row r="72" spans="1:21" s="1" customFormat="1">
      <c r="A72" s="67" t="s">
        <v>84</v>
      </c>
      <c r="B72" s="70" t="s">
        <v>85</v>
      </c>
      <c r="C72" s="67" t="s">
        <v>77</v>
      </c>
      <c r="D72" s="16"/>
      <c r="E72" s="71"/>
      <c r="F72" s="52">
        <v>0.6</v>
      </c>
      <c r="G72" s="52">
        <v>2949.85</v>
      </c>
      <c r="H72" s="66">
        <f t="shared" si="17"/>
        <v>1.7699099999999999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35">
        <f t="shared" si="16"/>
        <v>0</v>
      </c>
    </row>
    <row r="73" spans="1:21" s="21" customFormat="1">
      <c r="A73" s="140"/>
      <c r="B73" s="20" t="s">
        <v>28</v>
      </c>
      <c r="C73" s="72"/>
      <c r="D73" s="73"/>
      <c r="E73" s="74"/>
      <c r="F73" s="56"/>
      <c r="G73" s="56"/>
      <c r="H73" s="75">
        <f>SUM(H55:H72)</f>
        <v>90.017316844000007</v>
      </c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>
        <f>SUM(U55:U72)</f>
        <v>76278.498704000012</v>
      </c>
    </row>
    <row r="74" spans="1:21">
      <c r="A74" s="141" t="s">
        <v>130</v>
      </c>
      <c r="B74" s="10" t="s">
        <v>131</v>
      </c>
      <c r="C74" s="76"/>
      <c r="D74" s="77"/>
      <c r="E74" s="124"/>
      <c r="F74" s="78">
        <v>1</v>
      </c>
      <c r="G74" s="79">
        <v>6480.5</v>
      </c>
      <c r="H74" s="66">
        <f>G74*F74/1000</f>
        <v>6.4805000000000001</v>
      </c>
      <c r="I74" s="35">
        <f>G74</f>
        <v>6480.5</v>
      </c>
      <c r="J74" s="35">
        <v>0</v>
      </c>
      <c r="K74" s="35">
        <v>0</v>
      </c>
      <c r="L74" s="35">
        <v>0</v>
      </c>
      <c r="M74" s="36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5">
        <v>0</v>
      </c>
      <c r="U74" s="35">
        <f>SUM(I74:T74)</f>
        <v>6480.5</v>
      </c>
    </row>
    <row r="75" spans="1:21" ht="12.75" customHeight="1">
      <c r="A75" s="64"/>
      <c r="B75" s="11" t="s">
        <v>86</v>
      </c>
      <c r="C75" s="64" t="s">
        <v>87</v>
      </c>
      <c r="D75" s="80"/>
      <c r="E75" s="51">
        <v>2135.1999999999998</v>
      </c>
      <c r="F75" s="51">
        <f>SUM(E75*12)</f>
        <v>25622.399999999998</v>
      </c>
      <c r="G75" s="81">
        <v>2.2400000000000002</v>
      </c>
      <c r="H75" s="66">
        <f>SUM(F75*G75/1000)</f>
        <v>57.394176000000002</v>
      </c>
      <c r="I75" s="35">
        <f>F75/12*G75</f>
        <v>4782.848</v>
      </c>
      <c r="J75" s="35">
        <f>F75/12*G75</f>
        <v>4782.848</v>
      </c>
      <c r="K75" s="35">
        <f>F75/12*G75</f>
        <v>4782.848</v>
      </c>
      <c r="L75" s="35">
        <f>F75/12*G75</f>
        <v>4782.848</v>
      </c>
      <c r="M75" s="35">
        <f>F75/12*G75</f>
        <v>4782.848</v>
      </c>
      <c r="N75" s="35">
        <f>F75/12*G75</f>
        <v>4782.848</v>
      </c>
      <c r="O75" s="35">
        <f>F75/12*G75</f>
        <v>4782.848</v>
      </c>
      <c r="P75" s="35">
        <f>F75/12*G75</f>
        <v>4782.848</v>
      </c>
      <c r="Q75" s="35">
        <f>F75/12*G75</f>
        <v>4782.848</v>
      </c>
      <c r="R75" s="35">
        <f>F75/12*G75</f>
        <v>4782.848</v>
      </c>
      <c r="S75" s="35">
        <f>F75/12*G75</f>
        <v>4782.848</v>
      </c>
      <c r="T75" s="35">
        <f>F75/12*G75</f>
        <v>4782.848</v>
      </c>
      <c r="U75" s="35">
        <f>SUM(I75:T75)</f>
        <v>57394.175999999985</v>
      </c>
    </row>
    <row r="76" spans="1:21" s="19" customFormat="1">
      <c r="A76" s="82"/>
      <c r="B76" s="20" t="s">
        <v>28</v>
      </c>
      <c r="C76" s="83"/>
      <c r="D76" s="84"/>
      <c r="E76" s="85"/>
      <c r="F76" s="42"/>
      <c r="G76" s="86"/>
      <c r="H76" s="43">
        <f>SUM(H74:H75)</f>
        <v>63.874676000000001</v>
      </c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>
        <f>SUM(U74:U75)</f>
        <v>63874.675999999985</v>
      </c>
    </row>
    <row r="77" spans="1:21" ht="25.5" customHeight="1">
      <c r="A77" s="139"/>
      <c r="B77" s="8" t="s">
        <v>88</v>
      </c>
      <c r="C77" s="64"/>
      <c r="D77" s="87"/>
      <c r="E77" s="32">
        <f>E75</f>
        <v>2135.1999999999998</v>
      </c>
      <c r="F77" s="51">
        <f>E77*12</f>
        <v>25622.399999999998</v>
      </c>
      <c r="G77" s="51">
        <v>1.74</v>
      </c>
      <c r="H77" s="66">
        <f>F77*G77/1000</f>
        <v>44.582975999999995</v>
      </c>
      <c r="I77" s="35">
        <f>F77/12*G77</f>
        <v>3715.2479999999996</v>
      </c>
      <c r="J77" s="35">
        <f>F77/12*G77</f>
        <v>3715.2479999999996</v>
      </c>
      <c r="K77" s="35">
        <f>F77/12*G77</f>
        <v>3715.2479999999996</v>
      </c>
      <c r="L77" s="35">
        <f>F77/12*G77</f>
        <v>3715.2479999999996</v>
      </c>
      <c r="M77" s="35">
        <f>F77/12*G77</f>
        <v>3715.2479999999996</v>
      </c>
      <c r="N77" s="35">
        <f>F77/12*G77</f>
        <v>3715.2479999999996</v>
      </c>
      <c r="O77" s="35">
        <f>F77/12*G77</f>
        <v>3715.2479999999996</v>
      </c>
      <c r="P77" s="35">
        <f>F77/12*G77</f>
        <v>3715.2479999999996</v>
      </c>
      <c r="Q77" s="35">
        <f>F77/12*G77</f>
        <v>3715.2479999999996</v>
      </c>
      <c r="R77" s="35">
        <f>F77/12*G77</f>
        <v>3715.2479999999996</v>
      </c>
      <c r="S77" s="35">
        <f>F77/12*G77</f>
        <v>3715.2479999999996</v>
      </c>
      <c r="T77" s="35">
        <f>F77/12*G77</f>
        <v>3715.2479999999996</v>
      </c>
      <c r="U77" s="35">
        <f>SUM(I77:T77)</f>
        <v>44582.975999999995</v>
      </c>
    </row>
    <row r="78" spans="1:21" s="19" customFormat="1">
      <c r="A78" s="82"/>
      <c r="B78" s="88" t="s">
        <v>89</v>
      </c>
      <c r="C78" s="89"/>
      <c r="D78" s="88"/>
      <c r="E78" s="42"/>
      <c r="F78" s="42"/>
      <c r="G78" s="42"/>
      <c r="H78" s="75">
        <f>H77</f>
        <v>44.582975999999995</v>
      </c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120">
        <f>U77</f>
        <v>44582.975999999995</v>
      </c>
    </row>
    <row r="79" spans="1:21" s="19" customFormat="1">
      <c r="A79" s="82"/>
      <c r="B79" s="88" t="s">
        <v>90</v>
      </c>
      <c r="C79" s="90"/>
      <c r="D79" s="91"/>
      <c r="E79" s="92"/>
      <c r="F79" s="92"/>
      <c r="G79" s="92"/>
      <c r="H79" s="75">
        <f>SUM(H78+H76+H73+H53+H41+H33+H22)</f>
        <v>518.75502651440002</v>
      </c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120">
        <f>SUM(U78+U76+U73+U53+U41+U33+U22)</f>
        <v>501809.44937439996</v>
      </c>
    </row>
    <row r="80" spans="1:21">
      <c r="A80" s="139"/>
      <c r="B80" s="87" t="s">
        <v>91</v>
      </c>
      <c r="C80" s="64"/>
      <c r="D80" s="87"/>
      <c r="E80" s="51"/>
      <c r="F80" s="51"/>
      <c r="G80" s="51" t="s">
        <v>92</v>
      </c>
      <c r="H80" s="93">
        <f>E77</f>
        <v>2135.1999999999998</v>
      </c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</row>
    <row r="81" spans="1:21" s="19" customFormat="1">
      <c r="A81" s="82"/>
      <c r="B81" s="91" t="s">
        <v>93</v>
      </c>
      <c r="C81" s="90"/>
      <c r="D81" s="91"/>
      <c r="E81" s="92"/>
      <c r="F81" s="92"/>
      <c r="G81" s="92"/>
      <c r="H81" s="94">
        <f>SUM(H79/H80/12*1000)</f>
        <v>20.246152839484203</v>
      </c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121"/>
    </row>
    <row r="82" spans="1:21">
      <c r="A82" s="95"/>
      <c r="B82" s="87"/>
      <c r="C82" s="64"/>
      <c r="D82" s="87"/>
      <c r="E82" s="51"/>
      <c r="F82" s="51"/>
      <c r="G82" s="51"/>
      <c r="H82" s="96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122"/>
    </row>
    <row r="83" spans="1:21">
      <c r="A83" s="139"/>
      <c r="B83" s="69" t="s">
        <v>94</v>
      </c>
      <c r="C83" s="64"/>
      <c r="D83" s="87"/>
      <c r="E83" s="51"/>
      <c r="F83" s="51"/>
      <c r="G83" s="51"/>
      <c r="H83" s="51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</row>
    <row r="84" spans="1:21" ht="25.5" customHeight="1">
      <c r="A84" s="126" t="s">
        <v>132</v>
      </c>
      <c r="B84" s="127" t="s">
        <v>138</v>
      </c>
      <c r="C84" s="128" t="s">
        <v>139</v>
      </c>
      <c r="D84" s="87"/>
      <c r="E84" s="51"/>
      <c r="F84" s="51">
        <v>2</v>
      </c>
      <c r="G84" s="51">
        <v>1835.8</v>
      </c>
      <c r="H84" s="66">
        <f t="shared" ref="H84:H94" si="18">G84*F84/1000</f>
        <v>3.6715999999999998</v>
      </c>
      <c r="I84" s="35">
        <f>G84</f>
        <v>1835.8</v>
      </c>
      <c r="J84" s="35">
        <v>0</v>
      </c>
      <c r="K84" s="35">
        <v>0</v>
      </c>
      <c r="L84" s="35">
        <f>G84</f>
        <v>1835.8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f>SUM(I84:T84)</f>
        <v>3671.6</v>
      </c>
    </row>
    <row r="85" spans="1:21" ht="25.5" customHeight="1">
      <c r="A85" s="126" t="s">
        <v>132</v>
      </c>
      <c r="B85" s="127" t="s">
        <v>144</v>
      </c>
      <c r="C85" s="128" t="s">
        <v>139</v>
      </c>
      <c r="D85" s="87"/>
      <c r="E85" s="51"/>
      <c r="F85" s="51">
        <v>1</v>
      </c>
      <c r="G85" s="51">
        <v>383.01</v>
      </c>
      <c r="H85" s="66">
        <f t="shared" si="18"/>
        <v>0.38301000000000002</v>
      </c>
      <c r="I85" s="35">
        <f>G85</f>
        <v>383.01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f t="shared" ref="U85:U103" si="19">SUM(I85:T85)</f>
        <v>383.01</v>
      </c>
    </row>
    <row r="86" spans="1:21" ht="25.5" customHeight="1">
      <c r="A86" s="129" t="s">
        <v>204</v>
      </c>
      <c r="B86" s="130" t="s">
        <v>127</v>
      </c>
      <c r="C86" s="118" t="s">
        <v>63</v>
      </c>
      <c r="D86" s="87"/>
      <c r="E86" s="51"/>
      <c r="F86" s="51">
        <v>492</v>
      </c>
      <c r="G86" s="51">
        <v>50.68</v>
      </c>
      <c r="H86" s="66">
        <f t="shared" si="18"/>
        <v>24.934560000000001</v>
      </c>
      <c r="I86" s="35">
        <f>G86*41</f>
        <v>2077.88</v>
      </c>
      <c r="J86" s="35">
        <f>G86*41</f>
        <v>2077.88</v>
      </c>
      <c r="K86" s="35">
        <f>G86*41</f>
        <v>2077.88</v>
      </c>
      <c r="L86" s="35">
        <f>G86*41</f>
        <v>2077.88</v>
      </c>
      <c r="M86" s="35">
        <f>G86*41</f>
        <v>2077.88</v>
      </c>
      <c r="N86" s="35">
        <f>G86*41</f>
        <v>2077.88</v>
      </c>
      <c r="O86" s="35">
        <f>G86*41</f>
        <v>2077.88</v>
      </c>
      <c r="P86" s="35">
        <f>G86*41</f>
        <v>2077.88</v>
      </c>
      <c r="Q86" s="35">
        <f>G86*41</f>
        <v>2077.88</v>
      </c>
      <c r="R86" s="35">
        <f>G86*41</f>
        <v>2077.88</v>
      </c>
      <c r="S86" s="35">
        <f>G86*41</f>
        <v>2077.88</v>
      </c>
      <c r="T86" s="35">
        <f>G86*41</f>
        <v>2077.88</v>
      </c>
      <c r="U86" s="35">
        <f t="shared" si="19"/>
        <v>24934.560000000009</v>
      </c>
    </row>
    <row r="87" spans="1:21" ht="12.75" customHeight="1">
      <c r="A87" s="129" t="s">
        <v>146</v>
      </c>
      <c r="B87" s="130" t="s">
        <v>147</v>
      </c>
      <c r="C87" s="118" t="s">
        <v>135</v>
      </c>
      <c r="D87" s="87"/>
      <c r="E87" s="51"/>
      <c r="F87" s="51">
        <v>1</v>
      </c>
      <c r="G87" s="51">
        <v>4879</v>
      </c>
      <c r="H87" s="66">
        <f t="shared" si="18"/>
        <v>4.8789999999999996</v>
      </c>
      <c r="I87" s="35">
        <v>0</v>
      </c>
      <c r="J87" s="35">
        <v>0</v>
      </c>
      <c r="K87" s="35">
        <v>0</v>
      </c>
      <c r="L87" s="35">
        <f>G87</f>
        <v>4879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5">
        <v>0</v>
      </c>
      <c r="U87" s="35">
        <f t="shared" si="19"/>
        <v>4879</v>
      </c>
    </row>
    <row r="88" spans="1:21" ht="25.5" customHeight="1">
      <c r="A88" s="129" t="s">
        <v>205</v>
      </c>
      <c r="B88" s="130" t="s">
        <v>156</v>
      </c>
      <c r="C88" s="129" t="s">
        <v>63</v>
      </c>
      <c r="D88" s="87"/>
      <c r="E88" s="51"/>
      <c r="F88" s="51">
        <v>3</v>
      </c>
      <c r="G88" s="51">
        <v>180.15</v>
      </c>
      <c r="H88" s="66">
        <f t="shared" si="18"/>
        <v>0.5404500000000001</v>
      </c>
      <c r="I88" s="35">
        <v>0</v>
      </c>
      <c r="J88" s="35">
        <v>0</v>
      </c>
      <c r="K88" s="35">
        <v>0</v>
      </c>
      <c r="L88" s="35">
        <v>0</v>
      </c>
      <c r="M88" s="35">
        <f>G88</f>
        <v>180.15</v>
      </c>
      <c r="N88" s="35">
        <f>G88</f>
        <v>180.15</v>
      </c>
      <c r="O88" s="35">
        <v>0</v>
      </c>
      <c r="P88" s="35">
        <v>0</v>
      </c>
      <c r="Q88" s="35">
        <v>0</v>
      </c>
      <c r="R88" s="35">
        <f>G88</f>
        <v>180.15</v>
      </c>
      <c r="S88" s="35">
        <v>0</v>
      </c>
      <c r="T88" s="35">
        <v>0</v>
      </c>
      <c r="U88" s="35">
        <f t="shared" si="19"/>
        <v>540.45000000000005</v>
      </c>
    </row>
    <row r="89" spans="1:21" ht="12.75" customHeight="1">
      <c r="A89" s="129" t="s">
        <v>134</v>
      </c>
      <c r="B89" s="130" t="s">
        <v>157</v>
      </c>
      <c r="C89" s="118" t="s">
        <v>135</v>
      </c>
      <c r="D89" s="87"/>
      <c r="E89" s="51"/>
      <c r="F89" s="51">
        <v>1</v>
      </c>
      <c r="G89" s="51">
        <v>3372</v>
      </c>
      <c r="H89" s="66">
        <f t="shared" si="18"/>
        <v>3.3719999999999999</v>
      </c>
      <c r="I89" s="35">
        <v>0</v>
      </c>
      <c r="J89" s="35">
        <v>0</v>
      </c>
      <c r="K89" s="35">
        <v>0</v>
      </c>
      <c r="L89" s="35">
        <v>0</v>
      </c>
      <c r="M89" s="35">
        <f>G89</f>
        <v>3372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v>0</v>
      </c>
      <c r="U89" s="35">
        <f t="shared" si="19"/>
        <v>3372</v>
      </c>
    </row>
    <row r="90" spans="1:21" s="19" customFormat="1">
      <c r="A90" s="129" t="s">
        <v>206</v>
      </c>
      <c r="B90" s="130" t="s">
        <v>161</v>
      </c>
      <c r="C90" s="129" t="s">
        <v>137</v>
      </c>
      <c r="D90" s="143"/>
      <c r="E90" s="144"/>
      <c r="F90" s="144">
        <v>1</v>
      </c>
      <c r="G90" s="144">
        <v>185.81</v>
      </c>
      <c r="H90" s="145">
        <f t="shared" si="18"/>
        <v>0.18581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f>G90</f>
        <v>185.81</v>
      </c>
      <c r="P90" s="35">
        <v>0</v>
      </c>
      <c r="Q90" s="35">
        <v>0</v>
      </c>
      <c r="R90" s="35">
        <v>0</v>
      </c>
      <c r="S90" s="35">
        <v>0</v>
      </c>
      <c r="T90" s="35">
        <v>0</v>
      </c>
      <c r="U90" s="35">
        <f t="shared" si="19"/>
        <v>185.81</v>
      </c>
    </row>
    <row r="91" spans="1:21" s="19" customFormat="1" ht="25.5">
      <c r="A91" s="147" t="s">
        <v>210</v>
      </c>
      <c r="B91" s="130" t="s">
        <v>208</v>
      </c>
      <c r="C91" s="129" t="s">
        <v>209</v>
      </c>
      <c r="D91" s="143"/>
      <c r="E91" s="144"/>
      <c r="F91" s="144">
        <v>2</v>
      </c>
      <c r="G91" s="144">
        <v>762.37</v>
      </c>
      <c r="H91" s="145">
        <f t="shared" si="18"/>
        <v>1.52474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f>G91</f>
        <v>762.37</v>
      </c>
      <c r="P91" s="35">
        <v>0</v>
      </c>
      <c r="Q91" s="35">
        <v>0</v>
      </c>
      <c r="R91" s="35">
        <v>0</v>
      </c>
      <c r="S91" s="35">
        <f>G91</f>
        <v>762.37</v>
      </c>
      <c r="T91" s="35">
        <v>0</v>
      </c>
      <c r="U91" s="35">
        <f t="shared" si="19"/>
        <v>1524.74</v>
      </c>
    </row>
    <row r="92" spans="1:21" s="19" customFormat="1">
      <c r="A92" s="129" t="s">
        <v>212</v>
      </c>
      <c r="B92" s="130" t="s">
        <v>213</v>
      </c>
      <c r="C92" s="129" t="s">
        <v>209</v>
      </c>
      <c r="D92" s="143"/>
      <c r="E92" s="144"/>
      <c r="F92" s="144">
        <v>1</v>
      </c>
      <c r="G92" s="144">
        <v>367.38</v>
      </c>
      <c r="H92" s="145">
        <f t="shared" si="18"/>
        <v>0.36737999999999998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f>G92</f>
        <v>367.38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f t="shared" si="19"/>
        <v>367.38</v>
      </c>
    </row>
    <row r="93" spans="1:21" ht="12.75" customHeight="1">
      <c r="A93" s="126" t="s">
        <v>207</v>
      </c>
      <c r="B93" s="146" t="s">
        <v>162</v>
      </c>
      <c r="C93" s="117" t="s">
        <v>63</v>
      </c>
      <c r="D93" s="87"/>
      <c r="E93" s="51"/>
      <c r="F93" s="51">
        <v>1</v>
      </c>
      <c r="G93" s="51">
        <v>179.96</v>
      </c>
      <c r="H93" s="66">
        <f>G93*F93/1000</f>
        <v>0.17996000000000001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f>G93</f>
        <v>179.96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f t="shared" si="19"/>
        <v>179.96</v>
      </c>
    </row>
    <row r="94" spans="1:21" s="19" customFormat="1" ht="25.5">
      <c r="A94" s="129" t="s">
        <v>215</v>
      </c>
      <c r="B94" s="130" t="s">
        <v>214</v>
      </c>
      <c r="C94" s="129" t="s">
        <v>211</v>
      </c>
      <c r="D94" s="143"/>
      <c r="E94" s="144"/>
      <c r="F94" s="144">
        <v>1</v>
      </c>
      <c r="G94" s="144">
        <v>195.95</v>
      </c>
      <c r="H94" s="145">
        <f t="shared" si="18"/>
        <v>0.19594999999999999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f>G94</f>
        <v>195.95</v>
      </c>
      <c r="Q94" s="35">
        <v>0</v>
      </c>
      <c r="R94" s="35">
        <v>0</v>
      </c>
      <c r="S94" s="35">
        <v>0</v>
      </c>
      <c r="T94" s="35">
        <v>0</v>
      </c>
      <c r="U94" s="35">
        <f t="shared" si="19"/>
        <v>195.95</v>
      </c>
    </row>
    <row r="95" spans="1:21" s="19" customFormat="1">
      <c r="A95" s="148" t="s">
        <v>216</v>
      </c>
      <c r="B95" s="149" t="s">
        <v>217</v>
      </c>
      <c r="C95" s="148" t="s">
        <v>218</v>
      </c>
      <c r="D95" s="87"/>
      <c r="E95" s="51"/>
      <c r="F95" s="51">
        <f>6/3</f>
        <v>2</v>
      </c>
      <c r="G95" s="51">
        <v>1063.47</v>
      </c>
      <c r="H95" s="66">
        <f t="shared" ref="H95:H103" si="20">G95*F95/1000</f>
        <v>2.1269400000000003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f>G95*2</f>
        <v>2126.94</v>
      </c>
      <c r="R95" s="35">
        <v>0</v>
      </c>
      <c r="S95" s="35">
        <v>0</v>
      </c>
      <c r="T95" s="35">
        <v>0</v>
      </c>
      <c r="U95" s="35">
        <f t="shared" si="19"/>
        <v>2126.94</v>
      </c>
    </row>
    <row r="96" spans="1:21" s="19" customFormat="1">
      <c r="A96" s="129" t="s">
        <v>221</v>
      </c>
      <c r="B96" s="130" t="s">
        <v>222</v>
      </c>
      <c r="C96" s="129" t="s">
        <v>209</v>
      </c>
      <c r="D96" s="87"/>
      <c r="E96" s="51"/>
      <c r="F96" s="51">
        <v>1</v>
      </c>
      <c r="G96" s="51">
        <v>291.43</v>
      </c>
      <c r="H96" s="66">
        <f t="shared" si="20"/>
        <v>0.29143000000000002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f>G96</f>
        <v>291.43</v>
      </c>
      <c r="S96" s="35">
        <v>0</v>
      </c>
      <c r="T96" s="35">
        <v>0</v>
      </c>
      <c r="U96" s="35">
        <f t="shared" si="19"/>
        <v>291.43</v>
      </c>
    </row>
    <row r="97" spans="1:21" s="19" customFormat="1" ht="25.5">
      <c r="A97" s="147" t="s">
        <v>220</v>
      </c>
      <c r="B97" s="130" t="s">
        <v>219</v>
      </c>
      <c r="C97" s="129" t="s">
        <v>209</v>
      </c>
      <c r="D97" s="87"/>
      <c r="E97" s="51"/>
      <c r="F97" s="51">
        <v>5</v>
      </c>
      <c r="G97" s="51">
        <v>559.62</v>
      </c>
      <c r="H97" s="66">
        <f t="shared" si="20"/>
        <v>2.7980999999999998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f>G97*4</f>
        <v>2238.48</v>
      </c>
      <c r="S97" s="35">
        <f>G97</f>
        <v>559.62</v>
      </c>
      <c r="T97" s="35">
        <v>0</v>
      </c>
      <c r="U97" s="35">
        <f t="shared" si="19"/>
        <v>2798.1</v>
      </c>
    </row>
    <row r="98" spans="1:21" ht="25.5" customHeight="1">
      <c r="A98" s="129" t="s">
        <v>191</v>
      </c>
      <c r="B98" s="130" t="s">
        <v>133</v>
      </c>
      <c r="C98" s="118" t="s">
        <v>60</v>
      </c>
      <c r="D98" s="87"/>
      <c r="E98" s="51"/>
      <c r="F98" s="51">
        <v>0.02</v>
      </c>
      <c r="G98" s="51">
        <v>3397.65</v>
      </c>
      <c r="H98" s="66">
        <f>G98*F98/1000</f>
        <v>6.7953E-2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f>G98*0.01</f>
        <v>33.976500000000001</v>
      </c>
      <c r="S98" s="35">
        <f>G98*0.01</f>
        <v>33.976500000000001</v>
      </c>
      <c r="T98" s="35">
        <v>0</v>
      </c>
      <c r="U98" s="35">
        <f>SUM(I98:T98)</f>
        <v>67.953000000000003</v>
      </c>
    </row>
    <row r="99" spans="1:21" s="19" customFormat="1" ht="25.5">
      <c r="A99" s="147" t="s">
        <v>228</v>
      </c>
      <c r="B99" s="130" t="s">
        <v>227</v>
      </c>
      <c r="C99" s="129" t="s">
        <v>209</v>
      </c>
      <c r="D99" s="87"/>
      <c r="E99" s="51"/>
      <c r="F99" s="51">
        <v>1</v>
      </c>
      <c r="G99" s="51">
        <v>968.53</v>
      </c>
      <c r="H99" s="66">
        <f t="shared" si="20"/>
        <v>0.96853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0</v>
      </c>
      <c r="S99" s="35">
        <f>G99</f>
        <v>968.53</v>
      </c>
      <c r="T99" s="35">
        <v>0</v>
      </c>
      <c r="U99" s="35">
        <f t="shared" si="19"/>
        <v>968.53</v>
      </c>
    </row>
    <row r="100" spans="1:21" s="19" customFormat="1" ht="38.25">
      <c r="A100" s="129" t="s">
        <v>229</v>
      </c>
      <c r="B100" s="130" t="s">
        <v>230</v>
      </c>
      <c r="C100" s="129" t="s">
        <v>231</v>
      </c>
      <c r="D100" s="143"/>
      <c r="E100" s="144"/>
      <c r="F100" s="144">
        <v>1</v>
      </c>
      <c r="G100" s="144">
        <v>51.39</v>
      </c>
      <c r="H100" s="145">
        <f t="shared" si="20"/>
        <v>5.1389999999999998E-2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0</v>
      </c>
      <c r="S100" s="35">
        <f>G100</f>
        <v>51.39</v>
      </c>
      <c r="T100" s="35">
        <v>0</v>
      </c>
      <c r="U100" s="35">
        <f t="shared" si="19"/>
        <v>51.39</v>
      </c>
    </row>
    <row r="101" spans="1:21" s="19" customFormat="1">
      <c r="A101" s="129" t="s">
        <v>212</v>
      </c>
      <c r="B101" s="130" t="s">
        <v>232</v>
      </c>
      <c r="C101" s="129" t="s">
        <v>209</v>
      </c>
      <c r="D101" s="143"/>
      <c r="E101" s="144"/>
      <c r="F101" s="144">
        <v>1</v>
      </c>
      <c r="G101" s="51">
        <v>267.58</v>
      </c>
      <c r="H101" s="66">
        <f t="shared" si="20"/>
        <v>0.26757999999999998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0</v>
      </c>
      <c r="S101" s="35">
        <f>G101</f>
        <v>267.58</v>
      </c>
      <c r="T101" s="35">
        <v>0</v>
      </c>
      <c r="U101" s="35">
        <f t="shared" si="19"/>
        <v>267.58</v>
      </c>
    </row>
    <row r="102" spans="1:21" ht="12.75" customHeight="1">
      <c r="A102" s="150" t="s">
        <v>235</v>
      </c>
      <c r="B102" s="151" t="s">
        <v>226</v>
      </c>
      <c r="C102" s="118" t="s">
        <v>63</v>
      </c>
      <c r="D102" s="87"/>
      <c r="E102" s="51"/>
      <c r="F102" s="51">
        <v>1</v>
      </c>
      <c r="G102" s="51">
        <v>149.63999999999999</v>
      </c>
      <c r="H102" s="66">
        <f t="shared" si="20"/>
        <v>0.14964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35">
        <v>0</v>
      </c>
      <c r="S102" s="35">
        <f>G102</f>
        <v>149.63999999999999</v>
      </c>
      <c r="T102" s="35">
        <v>0</v>
      </c>
      <c r="U102" s="35">
        <f t="shared" si="19"/>
        <v>149.63999999999999</v>
      </c>
    </row>
    <row r="103" spans="1:21" ht="12.75" customHeight="1">
      <c r="A103" s="129" t="s">
        <v>225</v>
      </c>
      <c r="B103" s="130" t="s">
        <v>223</v>
      </c>
      <c r="C103" s="129" t="s">
        <v>224</v>
      </c>
      <c r="D103" s="87"/>
      <c r="E103" s="51"/>
      <c r="F103" s="51">
        <v>1</v>
      </c>
      <c r="G103" s="51">
        <v>290.91000000000003</v>
      </c>
      <c r="H103" s="66">
        <f t="shared" si="20"/>
        <v>0.29091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0</v>
      </c>
      <c r="S103" s="35">
        <f>G103</f>
        <v>290.91000000000003</v>
      </c>
      <c r="T103" s="35">
        <v>0</v>
      </c>
      <c r="U103" s="35">
        <f t="shared" si="19"/>
        <v>290.91000000000003</v>
      </c>
    </row>
    <row r="104" spans="1:21" s="19" customFormat="1">
      <c r="A104" s="97"/>
      <c r="B104" s="98" t="s">
        <v>95</v>
      </c>
      <c r="C104" s="97"/>
      <c r="D104" s="97"/>
      <c r="E104" s="92"/>
      <c r="F104" s="92"/>
      <c r="G104" s="92"/>
      <c r="H104" s="43">
        <f>SUM(H84:H103)</f>
        <v>47.246932999999991</v>
      </c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42">
        <f>SUM(U84:U103)</f>
        <v>47246.933000000005</v>
      </c>
    </row>
    <row r="105" spans="1:21">
      <c r="A105" s="95"/>
      <c r="B105" s="99"/>
      <c r="C105" s="100"/>
      <c r="D105" s="100"/>
      <c r="E105" s="51"/>
      <c r="F105" s="51"/>
      <c r="G105" s="51"/>
      <c r="H105" s="101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123"/>
    </row>
    <row r="106" spans="1:21" ht="12" customHeight="1">
      <c r="A106" s="139"/>
      <c r="B106" s="18" t="s">
        <v>96</v>
      </c>
      <c r="C106" s="64"/>
      <c r="D106" s="87"/>
      <c r="E106" s="51"/>
      <c r="F106" s="51"/>
      <c r="G106" s="51"/>
      <c r="H106" s="102">
        <f>H104/E107/12*1000</f>
        <v>1.8439698466966401</v>
      </c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123"/>
    </row>
    <row r="107" spans="1:21" s="19" customFormat="1">
      <c r="A107" s="82"/>
      <c r="B107" s="103" t="s">
        <v>97</v>
      </c>
      <c r="C107" s="104"/>
      <c r="D107" s="103"/>
      <c r="E107" s="142">
        <v>2135.1999999999998</v>
      </c>
      <c r="F107" s="105">
        <f>SUM(E107*12)</f>
        <v>25622.399999999998</v>
      </c>
      <c r="G107" s="106">
        <f>H81+H106</f>
        <v>22.090122686180845</v>
      </c>
      <c r="H107" s="107">
        <f>SUM(F107*G107/1000)</f>
        <v>566.00195951440003</v>
      </c>
      <c r="I107" s="92">
        <f>SUM(I11:I106)</f>
        <v>53715.116611833328</v>
      </c>
      <c r="J107" s="92">
        <f>SUM(J11:J106)</f>
        <v>39392.768801833328</v>
      </c>
      <c r="K107" s="92">
        <f>SUM(K11:K106)</f>
        <v>37657.797395833331</v>
      </c>
      <c r="L107" s="92">
        <f>SUM(L11:L106)</f>
        <v>50220.899585833329</v>
      </c>
      <c r="M107" s="92">
        <f>SUM(M11:M106)</f>
        <v>106031.96347593333</v>
      </c>
      <c r="N107" s="92">
        <f t="shared" ref="N107:T107" si="21">SUM(N11:N106)</f>
        <v>32187.791044133341</v>
      </c>
      <c r="O107" s="92">
        <f t="shared" si="21"/>
        <v>33509.398854133338</v>
      </c>
      <c r="P107" s="92">
        <f t="shared" si="21"/>
        <v>37820.391044133328</v>
      </c>
      <c r="Q107" s="92">
        <f t="shared" si="21"/>
        <v>38449.855902933334</v>
      </c>
      <c r="R107" s="92">
        <f t="shared" si="21"/>
        <v>35940.377544133335</v>
      </c>
      <c r="S107" s="92">
        <f t="shared" si="21"/>
        <v>44737.25331183333</v>
      </c>
      <c r="T107" s="92">
        <f t="shared" si="21"/>
        <v>39392.768801833328</v>
      </c>
      <c r="U107" s="42">
        <f>U79+U104</f>
        <v>549056.38237439992</v>
      </c>
    </row>
    <row r="108" spans="1:21">
      <c r="A108" s="68"/>
      <c r="B108" s="68"/>
      <c r="C108" s="68"/>
      <c r="D108" s="68"/>
      <c r="E108" s="108"/>
      <c r="F108" s="108"/>
      <c r="G108" s="108"/>
      <c r="H108" s="108"/>
      <c r="I108" s="108"/>
      <c r="J108" s="108"/>
      <c r="K108" s="108"/>
      <c r="L108" s="108"/>
      <c r="M108" s="68"/>
      <c r="N108" s="108"/>
      <c r="O108" s="68"/>
      <c r="P108" s="68"/>
      <c r="Q108" s="68"/>
      <c r="R108" s="68"/>
      <c r="S108" s="68"/>
      <c r="T108" s="68"/>
      <c r="U108" s="68"/>
    </row>
    <row r="109" spans="1:21">
      <c r="A109" s="68"/>
      <c r="B109" s="68"/>
      <c r="C109" s="68"/>
      <c r="D109" s="68"/>
      <c r="E109" s="108"/>
      <c r="F109" s="108"/>
      <c r="G109" s="108"/>
      <c r="H109" s="108"/>
      <c r="I109" s="108"/>
      <c r="J109" s="109"/>
      <c r="K109" s="110"/>
      <c r="L109" s="109"/>
      <c r="M109" s="108"/>
      <c r="N109" s="68"/>
      <c r="O109" s="68"/>
      <c r="P109" s="68"/>
      <c r="Q109" s="68"/>
      <c r="R109" s="68"/>
      <c r="S109" s="68"/>
      <c r="T109" s="68"/>
      <c r="U109" s="68"/>
    </row>
    <row r="110" spans="1:21" ht="45">
      <c r="A110" s="68"/>
      <c r="B110" s="111" t="s">
        <v>136</v>
      </c>
      <c r="C110" s="155">
        <v>-109994.88</v>
      </c>
      <c r="D110" s="156"/>
      <c r="E110" s="156"/>
      <c r="F110" s="157"/>
      <c r="G110" s="108"/>
      <c r="H110" s="108"/>
      <c r="I110" s="108"/>
      <c r="J110" s="109"/>
      <c r="K110" s="110"/>
      <c r="L110" s="109"/>
      <c r="M110" s="108"/>
      <c r="N110" s="68"/>
      <c r="O110" s="68"/>
      <c r="P110" s="68"/>
      <c r="Q110" s="68"/>
      <c r="R110" s="68"/>
      <c r="S110" s="68"/>
      <c r="T110" s="68"/>
      <c r="U110" s="68"/>
    </row>
    <row r="111" spans="1:21" ht="30">
      <c r="A111" s="68"/>
      <c r="B111" s="22" t="s">
        <v>140</v>
      </c>
      <c r="C111" s="155">
        <f>47597.12*12</f>
        <v>571165.44000000006</v>
      </c>
      <c r="D111" s="156"/>
      <c r="E111" s="156"/>
      <c r="F111" s="157"/>
      <c r="G111" s="108"/>
      <c r="H111" s="108"/>
      <c r="I111" s="108"/>
      <c r="J111" s="109"/>
      <c r="K111" s="110"/>
      <c r="L111" s="109"/>
      <c r="M111" s="108"/>
      <c r="N111" s="68"/>
      <c r="O111" s="68"/>
      <c r="P111" s="68"/>
      <c r="Q111" s="68"/>
      <c r="R111" s="68"/>
      <c r="S111" s="68"/>
      <c r="T111" s="68"/>
      <c r="U111" s="68"/>
    </row>
    <row r="112" spans="1:21" ht="30">
      <c r="A112" s="68"/>
      <c r="B112" s="22" t="s">
        <v>141</v>
      </c>
      <c r="C112" s="155">
        <f>SUM(U107-U104)</f>
        <v>501809.4493743999</v>
      </c>
      <c r="D112" s="156"/>
      <c r="E112" s="156"/>
      <c r="F112" s="157"/>
      <c r="G112" s="108"/>
      <c r="H112" s="108"/>
      <c r="I112" s="108"/>
      <c r="J112" s="109"/>
      <c r="K112" s="110"/>
      <c r="L112" s="109"/>
      <c r="M112" s="108"/>
      <c r="N112" s="68"/>
      <c r="O112" s="68"/>
      <c r="P112" s="68"/>
      <c r="Q112" s="68"/>
      <c r="R112" s="68"/>
      <c r="S112" s="68"/>
      <c r="T112" s="68"/>
      <c r="U112" s="68"/>
    </row>
    <row r="113" spans="1:21" ht="30">
      <c r="A113" s="68"/>
      <c r="B113" s="22" t="s">
        <v>142</v>
      </c>
      <c r="C113" s="155">
        <f>SUM(U104)</f>
        <v>47246.933000000005</v>
      </c>
      <c r="D113" s="156"/>
      <c r="E113" s="156"/>
      <c r="F113" s="157"/>
      <c r="G113" s="108"/>
      <c r="H113" s="108"/>
      <c r="I113" s="108"/>
      <c r="J113" s="109"/>
      <c r="K113" s="110"/>
      <c r="L113" s="109"/>
      <c r="M113" s="108"/>
      <c r="N113" s="68"/>
      <c r="O113" s="68"/>
      <c r="P113" s="68"/>
      <c r="Q113" s="68"/>
      <c r="R113" s="68"/>
      <c r="S113" s="68"/>
      <c r="T113" s="68"/>
      <c r="U113" s="68"/>
    </row>
    <row r="114" spans="1:21" ht="18">
      <c r="A114" s="68"/>
      <c r="B114" s="119" t="s">
        <v>143</v>
      </c>
      <c r="C114" s="155">
        <f>39794.76+41696.77+49317.61+47363.4+47125.2+46135.32+40670.3+42760.95+44649.79+41907.56+48502.82+43560.82</f>
        <v>533485.29999999993</v>
      </c>
      <c r="D114" s="156"/>
      <c r="E114" s="156"/>
      <c r="F114" s="157"/>
      <c r="G114" s="68"/>
      <c r="I114" s="112" t="s">
        <v>107</v>
      </c>
      <c r="J114" s="113"/>
      <c r="K114" s="114"/>
      <c r="L114" s="115"/>
      <c r="M114" s="112"/>
      <c r="N114" s="112"/>
      <c r="O114" s="68"/>
      <c r="P114" s="68"/>
      <c r="Q114" s="68"/>
      <c r="R114" s="68"/>
      <c r="S114" s="68"/>
      <c r="T114" s="68"/>
      <c r="U114" s="68"/>
    </row>
    <row r="115" spans="1:21" ht="78.75">
      <c r="A115" s="68"/>
      <c r="B115" s="23" t="s">
        <v>233</v>
      </c>
      <c r="C115" s="161">
        <v>89058.73</v>
      </c>
      <c r="D115" s="162"/>
      <c r="E115" s="162"/>
      <c r="F115" s="163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</row>
    <row r="116" spans="1:21" ht="45">
      <c r="A116" s="68"/>
      <c r="B116" s="116" t="s">
        <v>234</v>
      </c>
      <c r="C116" s="158">
        <f>SUM(U107-C111)+C110</f>
        <v>-132103.93762560014</v>
      </c>
      <c r="D116" s="159"/>
      <c r="E116" s="159"/>
      <c r="F116" s="160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</row>
    <row r="118" spans="1:21">
      <c r="J118" s="3"/>
      <c r="K118" s="4"/>
      <c r="L118" s="4"/>
      <c r="M118" s="2"/>
    </row>
    <row r="119" spans="1:21">
      <c r="G119" s="5"/>
      <c r="H119" s="5"/>
    </row>
    <row r="120" spans="1:21">
      <c r="G120" s="6"/>
    </row>
  </sheetData>
  <mergeCells count="11">
    <mergeCell ref="C116:F116"/>
    <mergeCell ref="C111:F111"/>
    <mergeCell ref="C112:F112"/>
    <mergeCell ref="C113:F113"/>
    <mergeCell ref="C114:F114"/>
    <mergeCell ref="C115:F115"/>
    <mergeCell ref="B3:L3"/>
    <mergeCell ref="B4:L4"/>
    <mergeCell ref="B5:L5"/>
    <mergeCell ref="B6:L6"/>
    <mergeCell ref="C110:F110"/>
  </mergeCells>
  <printOptions horizontalCentered="1"/>
  <pageMargins left="0" right="0" top="0" bottom="0" header="0.15748031496062992" footer="0.15748031496062992"/>
  <pageSetup paperSize="9" scale="5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Окт.,53</vt:lpstr>
      <vt:lpstr>'Окт.,53'!Область_печати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2017-03-20T08:21:12Z</cp:lastPrinted>
  <dcterms:created xsi:type="dcterms:W3CDTF">2014-02-05T12:20:20Z</dcterms:created>
  <dcterms:modified xsi:type="dcterms:W3CDTF">2017-04-19T11:38:53Z</dcterms:modified>
</cp:coreProperties>
</file>