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2"/>
  </bookViews>
  <sheets>
    <sheet name="01.17" sheetId="17" r:id="rId1"/>
    <sheet name="02.17" sheetId="28" r:id="rId2"/>
    <sheet name="03.17" sheetId="29" r:id="rId3"/>
    <sheet name="04.17" sheetId="30" r:id="rId4"/>
    <sheet name="05.17" sheetId="31" r:id="rId5"/>
    <sheet name="06.17" sheetId="32" r:id="rId6"/>
    <sheet name="07.17" sheetId="33" r:id="rId7"/>
    <sheet name="08.17" sheetId="34" r:id="rId8"/>
    <sheet name="09.17" sheetId="35" r:id="rId9"/>
    <sheet name="10.17" sheetId="36" r:id="rId10"/>
    <sheet name="10а.17" sheetId="27" r:id="rId11"/>
    <sheet name="11.17" sheetId="37" r:id="rId12"/>
    <sheet name="12.17" sheetId="38" r:id="rId13"/>
  </sheets>
  <definedNames>
    <definedName name="_xlnm._FilterDatabase" localSheetId="0" hidden="1">'01.17'!$I$12:$I$60</definedName>
    <definedName name="_xlnm._FilterDatabase" localSheetId="1" hidden="1">'02.17'!$I$12:$I$60</definedName>
    <definedName name="_xlnm._FilterDatabase" localSheetId="2" hidden="1">'03.17'!$I$12:$I$60</definedName>
    <definedName name="_xlnm._FilterDatabase" localSheetId="3" hidden="1">'04.17'!$I$12:$I$60</definedName>
    <definedName name="_xlnm._FilterDatabase" localSheetId="4" hidden="1">'05.17'!$I$12:$I$59</definedName>
    <definedName name="_xlnm._FilterDatabase" localSheetId="5" hidden="1">'06.17'!$I$12:$I$59</definedName>
    <definedName name="_xlnm._FilterDatabase" localSheetId="6" hidden="1">'07.17'!$I$12:$I$59</definedName>
    <definedName name="_xlnm._FilterDatabase" localSheetId="7" hidden="1">'08.17'!$I$12:$I$59</definedName>
    <definedName name="_xlnm._FilterDatabase" localSheetId="8" hidden="1">'09.17'!$I$12:$I$59</definedName>
    <definedName name="_xlnm._FilterDatabase" localSheetId="9" hidden="1">'10.17'!$I$12:$I$59</definedName>
    <definedName name="_xlnm._FilterDatabase" localSheetId="10" hidden="1">'10а.17'!$I$12:$I$62</definedName>
    <definedName name="_xlnm._FilterDatabase" localSheetId="11" hidden="1">'11.17'!$I$12:$I$59</definedName>
    <definedName name="_xlnm._FilterDatabase" localSheetId="12" hidden="1">'12.17'!$I$12:$I$59</definedName>
    <definedName name="_xlnm.Print_Area" localSheetId="0">'01.17'!$A$1:$I$119</definedName>
    <definedName name="_xlnm.Print_Area" localSheetId="1">'02.17'!$A$1:$I$116</definedName>
    <definedName name="_xlnm.Print_Area" localSheetId="2">'03.17'!$A$1:$I$120</definedName>
    <definedName name="_xlnm.Print_Area" localSheetId="3">'04.17'!$A$1:$I$109</definedName>
    <definedName name="_xlnm.Print_Area" localSheetId="4">'05.17'!$A$1:$I$112</definedName>
    <definedName name="_xlnm.Print_Area" localSheetId="5">'06.17'!$A$1:$I$113</definedName>
    <definedName name="_xlnm.Print_Area" localSheetId="6">'07.17'!$A$1:$I$121</definedName>
    <definedName name="_xlnm.Print_Area" localSheetId="7">'08.17'!$A$1:$I$109</definedName>
    <definedName name="_xlnm.Print_Area" localSheetId="8">'09.17'!$A$1:$I$119</definedName>
    <definedName name="_xlnm.Print_Area" localSheetId="9">'10.17'!$A$1:$I$113</definedName>
    <definedName name="_xlnm.Print_Area" localSheetId="10">'10а.17'!$A$1:$I$110</definedName>
    <definedName name="_xlnm.Print_Area" localSheetId="11">'11.17'!$A$1:$I$111</definedName>
    <definedName name="_xlnm.Print_Area" localSheetId="12">'12.17'!$A$1:$I$108</definedName>
  </definedNames>
  <calcPr calcId="125725"/>
</workbook>
</file>

<file path=xl/calcChain.xml><?xml version="1.0" encoding="utf-8"?>
<calcChain xmlns="http://schemas.openxmlformats.org/spreadsheetml/2006/main">
  <c r="I79" i="38"/>
  <c r="H43" i="30"/>
  <c r="F43"/>
  <c r="I43" s="1"/>
  <c r="I79" i="37"/>
  <c r="I90" s="1"/>
  <c r="I88"/>
  <c r="I80" i="29"/>
  <c r="I43"/>
  <c r="H43"/>
  <c r="F43"/>
  <c r="I80" i="28"/>
  <c r="I80" i="17"/>
  <c r="I87" i="37" l="1"/>
  <c r="F87"/>
  <c r="H87" s="1"/>
  <c r="H84" i="38"/>
  <c r="I83"/>
  <c r="H83"/>
  <c r="I81"/>
  <c r="I84"/>
  <c r="I82"/>
  <c r="H82"/>
  <c r="I85"/>
  <c r="F81"/>
  <c r="H81" s="1"/>
  <c r="F78"/>
  <c r="I78" s="1"/>
  <c r="F77"/>
  <c r="H77" s="1"/>
  <c r="I75"/>
  <c r="H75"/>
  <c r="H73"/>
  <c r="H71"/>
  <c r="F70"/>
  <c r="H70" s="1"/>
  <c r="I68"/>
  <c r="F68"/>
  <c r="H68" s="1"/>
  <c r="F67"/>
  <c r="I67" s="1"/>
  <c r="F66"/>
  <c r="H66" s="1"/>
  <c r="F65"/>
  <c r="I65" s="1"/>
  <c r="F64"/>
  <c r="H64" s="1"/>
  <c r="F63"/>
  <c r="I63" s="1"/>
  <c r="H62"/>
  <c r="I61"/>
  <c r="H61"/>
  <c r="F59"/>
  <c r="I59" s="1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6" i="37"/>
  <c r="I85"/>
  <c r="H86"/>
  <c r="F85"/>
  <c r="H85" s="1"/>
  <c r="I81"/>
  <c r="I61"/>
  <c r="I84"/>
  <c r="H84"/>
  <c r="I83"/>
  <c r="H83"/>
  <c r="I82"/>
  <c r="H82"/>
  <c r="F81"/>
  <c r="H81" s="1"/>
  <c r="F78"/>
  <c r="I78" s="1"/>
  <c r="F77"/>
  <c r="H77" s="1"/>
  <c r="I75"/>
  <c r="H75"/>
  <c r="H73"/>
  <c r="H71"/>
  <c r="F70"/>
  <c r="H70" s="1"/>
  <c r="I68"/>
  <c r="F68"/>
  <c r="H68" s="1"/>
  <c r="F67"/>
  <c r="I67" s="1"/>
  <c r="F66"/>
  <c r="H66" s="1"/>
  <c r="F65"/>
  <c r="I65" s="1"/>
  <c r="F64"/>
  <c r="H64" s="1"/>
  <c r="F63"/>
  <c r="I63" s="1"/>
  <c r="H62"/>
  <c r="H61"/>
  <c r="F59"/>
  <c r="I59" s="1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36"/>
  <c r="I88"/>
  <c r="I86"/>
  <c r="G89"/>
  <c r="H89" s="1"/>
  <c r="H88"/>
  <c r="F88"/>
  <c r="H87"/>
  <c r="H86"/>
  <c r="I85"/>
  <c r="I84"/>
  <c r="H85"/>
  <c r="F84"/>
  <c r="H84" s="1"/>
  <c r="I83"/>
  <c r="H83"/>
  <c r="I86" i="35"/>
  <c r="H86"/>
  <c r="I85"/>
  <c r="H85"/>
  <c r="I84"/>
  <c r="H84"/>
  <c r="I83"/>
  <c r="H83"/>
  <c r="I87"/>
  <c r="H87"/>
  <c r="I89"/>
  <c r="I90"/>
  <c r="H89"/>
  <c r="H90"/>
  <c r="I92"/>
  <c r="H92"/>
  <c r="I88" i="32"/>
  <c r="H88"/>
  <c r="I85" i="17"/>
  <c r="F85"/>
  <c r="H85" s="1"/>
  <c r="I82" i="36"/>
  <c r="I61"/>
  <c r="H59" i="38" l="1"/>
  <c r="H56"/>
  <c r="I18"/>
  <c r="H18"/>
  <c r="I16"/>
  <c r="H17"/>
  <c r="I19"/>
  <c r="H20"/>
  <c r="I21"/>
  <c r="H22"/>
  <c r="I23"/>
  <c r="H24"/>
  <c r="I25"/>
  <c r="H26"/>
  <c r="I29"/>
  <c r="H30"/>
  <c r="I31"/>
  <c r="H32"/>
  <c r="I33"/>
  <c r="H38"/>
  <c r="I40"/>
  <c r="H41"/>
  <c r="I42"/>
  <c r="H45"/>
  <c r="I46"/>
  <c r="H47"/>
  <c r="I48"/>
  <c r="H49"/>
  <c r="I50"/>
  <c r="H51"/>
  <c r="H63"/>
  <c r="I64"/>
  <c r="H65"/>
  <c r="I66"/>
  <c r="H67"/>
  <c r="I77"/>
  <c r="H78"/>
  <c r="H56" i="37"/>
  <c r="H74" s="1"/>
  <c r="H65"/>
  <c r="H17"/>
  <c r="H20"/>
  <c r="H24"/>
  <c r="H45"/>
  <c r="H59"/>
  <c r="H63"/>
  <c r="H67"/>
  <c r="H22"/>
  <c r="H26"/>
  <c r="H49"/>
  <c r="H78"/>
  <c r="H47"/>
  <c r="H51"/>
  <c r="H32"/>
  <c r="H30"/>
  <c r="H41"/>
  <c r="H38"/>
  <c r="I18"/>
  <c r="H18"/>
  <c r="I16"/>
  <c r="I19"/>
  <c r="I21"/>
  <c r="I23"/>
  <c r="I25"/>
  <c r="I29"/>
  <c r="I31"/>
  <c r="I33"/>
  <c r="I40"/>
  <c r="I42"/>
  <c r="I46"/>
  <c r="I48"/>
  <c r="I50"/>
  <c r="I64"/>
  <c r="I66"/>
  <c r="I77"/>
  <c r="H74" i="38" l="1"/>
  <c r="I87"/>
  <c r="I87" i="36" l="1"/>
  <c r="F82"/>
  <c r="H82" s="1"/>
  <c r="I81"/>
  <c r="H81"/>
  <c r="F78"/>
  <c r="I78" s="1"/>
  <c r="F77"/>
  <c r="I77" s="1"/>
  <c r="I75"/>
  <c r="H75"/>
  <c r="H73"/>
  <c r="H71"/>
  <c r="F70"/>
  <c r="H70" s="1"/>
  <c r="I68"/>
  <c r="F68"/>
  <c r="H68" s="1"/>
  <c r="F67"/>
  <c r="H67" s="1"/>
  <c r="F66"/>
  <c r="I66" s="1"/>
  <c r="F65"/>
  <c r="H65" s="1"/>
  <c r="F64"/>
  <c r="I64" s="1"/>
  <c r="F63"/>
  <c r="H63" s="1"/>
  <c r="H62"/>
  <c r="H61"/>
  <c r="F59"/>
  <c r="H59" s="1"/>
  <c r="H57"/>
  <c r="H56"/>
  <c r="F56"/>
  <c r="I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H38" s="1"/>
  <c r="I37"/>
  <c r="H37"/>
  <c r="H35"/>
  <c r="H34"/>
  <c r="F33"/>
  <c r="I33" s="1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5" i="35"/>
  <c r="I94"/>
  <c r="I93"/>
  <c r="H95"/>
  <c r="H94"/>
  <c r="H93"/>
  <c r="I91"/>
  <c r="H91"/>
  <c r="H88"/>
  <c r="I82"/>
  <c r="F82"/>
  <c r="H82" s="1"/>
  <c r="I81"/>
  <c r="I96" s="1"/>
  <c r="H81"/>
  <c r="I68"/>
  <c r="I61"/>
  <c r="I88"/>
  <c r="F78"/>
  <c r="I78" s="1"/>
  <c r="F77"/>
  <c r="H77" s="1"/>
  <c r="I75"/>
  <c r="H75"/>
  <c r="H73"/>
  <c r="H71"/>
  <c r="F70"/>
  <c r="H70" s="1"/>
  <c r="F68"/>
  <c r="H68" s="1"/>
  <c r="F67"/>
  <c r="H67" s="1"/>
  <c r="F66"/>
  <c r="I66" s="1"/>
  <c r="F65"/>
  <c r="H65" s="1"/>
  <c r="F64"/>
  <c r="I64" s="1"/>
  <c r="F63"/>
  <c r="H63" s="1"/>
  <c r="H62"/>
  <c r="H61"/>
  <c r="F59"/>
  <c r="I59" s="1"/>
  <c r="H57"/>
  <c r="H56"/>
  <c r="F56"/>
  <c r="I56" s="1"/>
  <c r="I53"/>
  <c r="F53"/>
  <c r="H53" s="1"/>
  <c r="I52"/>
  <c r="H52"/>
  <c r="F51"/>
  <c r="I51" s="1"/>
  <c r="F50"/>
  <c r="I50" s="1"/>
  <c r="F49"/>
  <c r="I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I38" s="1"/>
  <c r="I37"/>
  <c r="H37"/>
  <c r="H35"/>
  <c r="H34"/>
  <c r="F33"/>
  <c r="I33" s="1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5" i="34"/>
  <c r="F85"/>
  <c r="H85" s="1"/>
  <c r="I84"/>
  <c r="I83"/>
  <c r="H84"/>
  <c r="H83"/>
  <c r="I81"/>
  <c r="I82"/>
  <c r="H82"/>
  <c r="F81"/>
  <c r="H81" s="1"/>
  <c r="I86"/>
  <c r="F78"/>
  <c r="I78" s="1"/>
  <c r="F77"/>
  <c r="H77" s="1"/>
  <c r="I75"/>
  <c r="H75"/>
  <c r="H73"/>
  <c r="H71"/>
  <c r="F70"/>
  <c r="H70" s="1"/>
  <c r="F68"/>
  <c r="H68" s="1"/>
  <c r="F67"/>
  <c r="H67" s="1"/>
  <c r="F66"/>
  <c r="I66" s="1"/>
  <c r="F65"/>
  <c r="H65" s="1"/>
  <c r="F64"/>
  <c r="I64" s="1"/>
  <c r="F63"/>
  <c r="H63" s="1"/>
  <c r="H62"/>
  <c r="I61"/>
  <c r="H61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I45" s="1"/>
  <c r="I43"/>
  <c r="H43"/>
  <c r="F42"/>
  <c r="I42" s="1"/>
  <c r="F41"/>
  <c r="I41" s="1"/>
  <c r="F40"/>
  <c r="I40" s="1"/>
  <c r="I39"/>
  <c r="H39"/>
  <c r="F38"/>
  <c r="I38" s="1"/>
  <c r="I37"/>
  <c r="H37"/>
  <c r="H35"/>
  <c r="H34"/>
  <c r="F33"/>
  <c r="I33" s="1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41" l="1"/>
  <c r="H78" i="36"/>
  <c r="I90"/>
  <c r="H18"/>
  <c r="I18"/>
  <c r="I79" s="1"/>
  <c r="H16"/>
  <c r="I17"/>
  <c r="H19"/>
  <c r="I20"/>
  <c r="H21"/>
  <c r="I22"/>
  <c r="H23"/>
  <c r="I24"/>
  <c r="H25"/>
  <c r="I26"/>
  <c r="H29"/>
  <c r="I30"/>
  <c r="H31"/>
  <c r="I32"/>
  <c r="H33"/>
  <c r="I38"/>
  <c r="H40"/>
  <c r="I41"/>
  <c r="H42"/>
  <c r="I45"/>
  <c r="H46"/>
  <c r="I47"/>
  <c r="H48"/>
  <c r="I49"/>
  <c r="H50"/>
  <c r="I51"/>
  <c r="I59"/>
  <c r="I63"/>
  <c r="H64"/>
  <c r="H74" s="1"/>
  <c r="I65"/>
  <c r="H66"/>
  <c r="I67"/>
  <c r="H77"/>
  <c r="H59" i="35"/>
  <c r="H49"/>
  <c r="H38"/>
  <c r="H51"/>
  <c r="H18"/>
  <c r="I18"/>
  <c r="H16"/>
  <c r="I17"/>
  <c r="H19"/>
  <c r="I20"/>
  <c r="H21"/>
  <c r="I22"/>
  <c r="H23"/>
  <c r="I24"/>
  <c r="H25"/>
  <c r="I26"/>
  <c r="H29"/>
  <c r="I30"/>
  <c r="H31"/>
  <c r="I32"/>
  <c r="H33"/>
  <c r="H40"/>
  <c r="I41"/>
  <c r="H42"/>
  <c r="I45"/>
  <c r="H46"/>
  <c r="I47"/>
  <c r="H48"/>
  <c r="H50"/>
  <c r="I63"/>
  <c r="H64"/>
  <c r="I65"/>
  <c r="H66"/>
  <c r="I67"/>
  <c r="I77"/>
  <c r="H78"/>
  <c r="H38" i="34"/>
  <c r="H45"/>
  <c r="H18"/>
  <c r="I18"/>
  <c r="H16"/>
  <c r="I17"/>
  <c r="H19"/>
  <c r="I20"/>
  <c r="H21"/>
  <c r="I22"/>
  <c r="H23"/>
  <c r="I24"/>
  <c r="H25"/>
  <c r="I26"/>
  <c r="H29"/>
  <c r="I30"/>
  <c r="H31"/>
  <c r="I32"/>
  <c r="H33"/>
  <c r="H40"/>
  <c r="H42"/>
  <c r="H46"/>
  <c r="I47"/>
  <c r="H48"/>
  <c r="I49"/>
  <c r="H50"/>
  <c r="I51"/>
  <c r="I56"/>
  <c r="I59"/>
  <c r="I63"/>
  <c r="H64"/>
  <c r="I65"/>
  <c r="H66"/>
  <c r="I67"/>
  <c r="I77"/>
  <c r="H78"/>
  <c r="I79" i="35" l="1"/>
  <c r="I98" s="1"/>
  <c r="I92" i="36"/>
  <c r="H74" i="35"/>
  <c r="I79" i="34"/>
  <c r="I88" s="1"/>
  <c r="H74"/>
  <c r="I97" i="33" l="1"/>
  <c r="I95"/>
  <c r="I94"/>
  <c r="I93"/>
  <c r="I92"/>
  <c r="I91"/>
  <c r="I90"/>
  <c r="H97"/>
  <c r="F96"/>
  <c r="H96" s="1"/>
  <c r="H95"/>
  <c r="H94"/>
  <c r="H93"/>
  <c r="H92"/>
  <c r="H91"/>
  <c r="H90"/>
  <c r="I89"/>
  <c r="F89"/>
  <c r="H89" s="1"/>
  <c r="H88"/>
  <c r="H87"/>
  <c r="I86"/>
  <c r="I85"/>
  <c r="H86"/>
  <c r="H85"/>
  <c r="I84"/>
  <c r="I83"/>
  <c r="H84"/>
  <c r="H83"/>
  <c r="I82"/>
  <c r="H82"/>
  <c r="I81"/>
  <c r="I61"/>
  <c r="I87"/>
  <c r="H81"/>
  <c r="F78"/>
  <c r="H78" s="1"/>
  <c r="F77"/>
  <c r="I77" s="1"/>
  <c r="I75"/>
  <c r="H75"/>
  <c r="H73"/>
  <c r="H71"/>
  <c r="F70"/>
  <c r="H70" s="1"/>
  <c r="F68"/>
  <c r="H68" s="1"/>
  <c r="F67"/>
  <c r="I67" s="1"/>
  <c r="F66"/>
  <c r="H66" s="1"/>
  <c r="F65"/>
  <c r="I65" s="1"/>
  <c r="F64"/>
  <c r="H64" s="1"/>
  <c r="F63"/>
  <c r="I63" s="1"/>
  <c r="H62"/>
  <c r="H61"/>
  <c r="H59"/>
  <c r="F59"/>
  <c r="I59" s="1"/>
  <c r="H57"/>
  <c r="H56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32"/>
  <c r="G89"/>
  <c r="H89" s="1"/>
  <c r="I87"/>
  <c r="H87"/>
  <c r="I86"/>
  <c r="H86"/>
  <c r="H85"/>
  <c r="I84"/>
  <c r="H84"/>
  <c r="I82"/>
  <c r="H83"/>
  <c r="H82"/>
  <c r="I81"/>
  <c r="H81"/>
  <c r="I61"/>
  <c r="I85"/>
  <c r="I83"/>
  <c r="F78"/>
  <c r="H78" s="1"/>
  <c r="F77"/>
  <c r="I77" s="1"/>
  <c r="I75"/>
  <c r="H75"/>
  <c r="H73"/>
  <c r="H71"/>
  <c r="F70"/>
  <c r="H70" s="1"/>
  <c r="F68"/>
  <c r="H68" s="1"/>
  <c r="F67"/>
  <c r="I67" s="1"/>
  <c r="F66"/>
  <c r="I66" s="1"/>
  <c r="F65"/>
  <c r="I65" s="1"/>
  <c r="F64"/>
  <c r="H64" s="1"/>
  <c r="F63"/>
  <c r="I63" s="1"/>
  <c r="H62"/>
  <c r="H61"/>
  <c r="H59"/>
  <c r="F59"/>
  <c r="I59" s="1"/>
  <c r="H57"/>
  <c r="H56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4" i="31"/>
  <c r="I88"/>
  <c r="I85"/>
  <c r="I86"/>
  <c r="H88"/>
  <c r="F88"/>
  <c r="H87"/>
  <c r="F87"/>
  <c r="I87" s="1"/>
  <c r="H86"/>
  <c r="H85"/>
  <c r="H84"/>
  <c r="H83"/>
  <c r="I81"/>
  <c r="H82"/>
  <c r="F81"/>
  <c r="H81" s="1"/>
  <c r="I75"/>
  <c r="I64"/>
  <c r="I63"/>
  <c r="I48"/>
  <c r="F33"/>
  <c r="H33" s="1"/>
  <c r="F32"/>
  <c r="H32" s="1"/>
  <c r="F31"/>
  <c r="H31" s="1"/>
  <c r="F30"/>
  <c r="H30" s="1"/>
  <c r="F29"/>
  <c r="H29" s="1"/>
  <c r="H34"/>
  <c r="I32"/>
  <c r="I33"/>
  <c r="I83"/>
  <c r="I82"/>
  <c r="F78"/>
  <c r="H78" s="1"/>
  <c r="F77"/>
  <c r="I77" s="1"/>
  <c r="H75"/>
  <c r="H73"/>
  <c r="H71"/>
  <c r="F70"/>
  <c r="H70" s="1"/>
  <c r="F68"/>
  <c r="H68" s="1"/>
  <c r="F67"/>
  <c r="H67" s="1"/>
  <c r="F66"/>
  <c r="H66" s="1"/>
  <c r="F65"/>
  <c r="H65" s="1"/>
  <c r="F64"/>
  <c r="H64" s="1"/>
  <c r="F63"/>
  <c r="H63" s="1"/>
  <c r="H62"/>
  <c r="I61"/>
  <c r="H61"/>
  <c r="F59"/>
  <c r="I59" s="1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I39"/>
  <c r="H39"/>
  <c r="F38"/>
  <c r="I38" s="1"/>
  <c r="I37"/>
  <c r="H37"/>
  <c r="H35"/>
  <c r="F26"/>
  <c r="I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H16" s="1"/>
  <c r="I85" i="30"/>
  <c r="H85"/>
  <c r="H84"/>
  <c r="I83"/>
  <c r="I86" s="1"/>
  <c r="I82"/>
  <c r="H83"/>
  <c r="F82"/>
  <c r="H82" s="1"/>
  <c r="I84"/>
  <c r="F79"/>
  <c r="I79" s="1"/>
  <c r="F78"/>
  <c r="H78" s="1"/>
  <c r="H76"/>
  <c r="H74"/>
  <c r="H72"/>
  <c r="F71"/>
  <c r="H71" s="1"/>
  <c r="F69"/>
  <c r="H69" s="1"/>
  <c r="F68"/>
  <c r="H68" s="1"/>
  <c r="F67"/>
  <c r="H67" s="1"/>
  <c r="F66"/>
  <c r="H66" s="1"/>
  <c r="F65"/>
  <c r="H65" s="1"/>
  <c r="F64"/>
  <c r="H64" s="1"/>
  <c r="H63"/>
  <c r="I62"/>
  <c r="H62"/>
  <c r="F60"/>
  <c r="I60" s="1"/>
  <c r="H58"/>
  <c r="F57"/>
  <c r="I57" s="1"/>
  <c r="I54"/>
  <c r="F54"/>
  <c r="H54" s="1"/>
  <c r="I53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2"/>
  <c r="H42" s="1"/>
  <c r="F41"/>
  <c r="I41" s="1"/>
  <c r="I40"/>
  <c r="H40"/>
  <c r="F39"/>
  <c r="I39" s="1"/>
  <c r="I38"/>
  <c r="H38"/>
  <c r="H36"/>
  <c r="H35"/>
  <c r="F34"/>
  <c r="H34" s="1"/>
  <c r="F33"/>
  <c r="H33" s="1"/>
  <c r="H32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96" i="29"/>
  <c r="I95"/>
  <c r="I94"/>
  <c r="I93"/>
  <c r="I92"/>
  <c r="F96"/>
  <c r="H96" s="1"/>
  <c r="H95"/>
  <c r="H94"/>
  <c r="H93"/>
  <c r="H92"/>
  <c r="I91"/>
  <c r="H91"/>
  <c r="I90"/>
  <c r="H90"/>
  <c r="I89"/>
  <c r="I88"/>
  <c r="I87"/>
  <c r="H89"/>
  <c r="F88"/>
  <c r="H88" s="1"/>
  <c r="H87"/>
  <c r="I86"/>
  <c r="I85"/>
  <c r="H86"/>
  <c r="H85"/>
  <c r="H84"/>
  <c r="I82"/>
  <c r="H83"/>
  <c r="H82"/>
  <c r="I62"/>
  <c r="I53"/>
  <c r="I84"/>
  <c r="I83"/>
  <c r="H79"/>
  <c r="F79"/>
  <c r="I79" s="1"/>
  <c r="F78"/>
  <c r="I78" s="1"/>
  <c r="H76"/>
  <c r="H74"/>
  <c r="H72"/>
  <c r="F71"/>
  <c r="H71" s="1"/>
  <c r="F69"/>
  <c r="H69" s="1"/>
  <c r="F68"/>
  <c r="H68" s="1"/>
  <c r="F67"/>
  <c r="H67" s="1"/>
  <c r="F66"/>
  <c r="H66" s="1"/>
  <c r="F65"/>
  <c r="H65" s="1"/>
  <c r="F64"/>
  <c r="H64" s="1"/>
  <c r="H63"/>
  <c r="H62"/>
  <c r="F60"/>
  <c r="I60" s="1"/>
  <c r="H58"/>
  <c r="H57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2"/>
  <c r="H42" s="1"/>
  <c r="F41"/>
  <c r="I41" s="1"/>
  <c r="I40"/>
  <c r="H40"/>
  <c r="H39"/>
  <c r="F39"/>
  <c r="I39" s="1"/>
  <c r="I38"/>
  <c r="H38"/>
  <c r="H36"/>
  <c r="H35"/>
  <c r="F34"/>
  <c r="H34" s="1"/>
  <c r="F33"/>
  <c r="H33" s="1"/>
  <c r="H32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9" i="28"/>
  <c r="I87"/>
  <c r="I90"/>
  <c r="I88"/>
  <c r="H92"/>
  <c r="H91"/>
  <c r="H90"/>
  <c r="H89"/>
  <c r="H88"/>
  <c r="H87"/>
  <c r="I86"/>
  <c r="I85"/>
  <c r="I83"/>
  <c r="I84"/>
  <c r="I82"/>
  <c r="H86"/>
  <c r="F85"/>
  <c r="H85" s="1"/>
  <c r="H84"/>
  <c r="H83"/>
  <c r="H82"/>
  <c r="I92"/>
  <c r="I91"/>
  <c r="F79"/>
  <c r="H79" s="1"/>
  <c r="F78"/>
  <c r="I78" s="1"/>
  <c r="H76"/>
  <c r="H74"/>
  <c r="H72"/>
  <c r="F71"/>
  <c r="H71" s="1"/>
  <c r="F69"/>
  <c r="H69" s="1"/>
  <c r="F68"/>
  <c r="H68" s="1"/>
  <c r="F67"/>
  <c r="H67" s="1"/>
  <c r="F66"/>
  <c r="H66" s="1"/>
  <c r="F65"/>
  <c r="H65" s="1"/>
  <c r="F64"/>
  <c r="H64" s="1"/>
  <c r="H63"/>
  <c r="I62"/>
  <c r="H62"/>
  <c r="F60"/>
  <c r="I60" s="1"/>
  <c r="H58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I40"/>
  <c r="H40"/>
  <c r="F39"/>
  <c r="H39" s="1"/>
  <c r="I38"/>
  <c r="H38"/>
  <c r="H36"/>
  <c r="H35"/>
  <c r="F34"/>
  <c r="H34" s="1"/>
  <c r="F33"/>
  <c r="H33" s="1"/>
  <c r="H32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95" i="17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4"/>
  <c r="H84"/>
  <c r="I83"/>
  <c r="H83"/>
  <c r="I82"/>
  <c r="H82"/>
  <c r="F79"/>
  <c r="F78"/>
  <c r="H78" s="1"/>
  <c r="H76"/>
  <c r="H74"/>
  <c r="H72"/>
  <c r="F71"/>
  <c r="H71" s="1"/>
  <c r="F69"/>
  <c r="H69" s="1"/>
  <c r="F68"/>
  <c r="H68" s="1"/>
  <c r="F67"/>
  <c r="H67" s="1"/>
  <c r="F66"/>
  <c r="H66" s="1"/>
  <c r="F65"/>
  <c r="H65" s="1"/>
  <c r="F64"/>
  <c r="H64" s="1"/>
  <c r="H63"/>
  <c r="I62"/>
  <c r="H62"/>
  <c r="F60"/>
  <c r="H60" s="1"/>
  <c r="H58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I40"/>
  <c r="H40"/>
  <c r="F39"/>
  <c r="H39" s="1"/>
  <c r="I38"/>
  <c r="H38"/>
  <c r="H36"/>
  <c r="H35"/>
  <c r="F34"/>
  <c r="H34" s="1"/>
  <c r="F33"/>
  <c r="H33" s="1"/>
  <c r="H32"/>
  <c r="F31"/>
  <c r="H31" s="1"/>
  <c r="F30"/>
  <c r="H30" s="1"/>
  <c r="F27"/>
  <c r="H27" s="1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I89" i="31" l="1"/>
  <c r="I96" i="33"/>
  <c r="I31" i="31"/>
  <c r="I65"/>
  <c r="I93" i="28"/>
  <c r="H60" i="29"/>
  <c r="I47" i="31"/>
  <c r="I67"/>
  <c r="I45"/>
  <c r="I97" i="29"/>
  <c r="I46" i="31"/>
  <c r="I66"/>
  <c r="I96" i="17"/>
  <c r="H51" i="33"/>
  <c r="I18"/>
  <c r="H18"/>
  <c r="I16"/>
  <c r="H17"/>
  <c r="I19"/>
  <c r="H20"/>
  <c r="I21"/>
  <c r="H22"/>
  <c r="I23"/>
  <c r="H24"/>
  <c r="I25"/>
  <c r="H26"/>
  <c r="I29"/>
  <c r="H30"/>
  <c r="I31"/>
  <c r="H32"/>
  <c r="I33"/>
  <c r="H38"/>
  <c r="I40"/>
  <c r="H41"/>
  <c r="I42"/>
  <c r="H45"/>
  <c r="I46"/>
  <c r="H47"/>
  <c r="I48"/>
  <c r="H49"/>
  <c r="I50"/>
  <c r="H63"/>
  <c r="I64"/>
  <c r="H65"/>
  <c r="I66"/>
  <c r="H67"/>
  <c r="H77"/>
  <c r="I78"/>
  <c r="I88"/>
  <c r="I98" s="1"/>
  <c r="I90" i="32"/>
  <c r="H66"/>
  <c r="I18"/>
  <c r="H18"/>
  <c r="I16"/>
  <c r="H17"/>
  <c r="I19"/>
  <c r="H20"/>
  <c r="I21"/>
  <c r="H22"/>
  <c r="I23"/>
  <c r="H24"/>
  <c r="I25"/>
  <c r="H26"/>
  <c r="I29"/>
  <c r="H30"/>
  <c r="I31"/>
  <c r="H32"/>
  <c r="I33"/>
  <c r="H38"/>
  <c r="I40"/>
  <c r="H41"/>
  <c r="I42"/>
  <c r="H45"/>
  <c r="I46"/>
  <c r="H47"/>
  <c r="I48"/>
  <c r="H49"/>
  <c r="I50"/>
  <c r="H51"/>
  <c r="H63"/>
  <c r="I64"/>
  <c r="H65"/>
  <c r="H67"/>
  <c r="H77"/>
  <c r="I78"/>
  <c r="I29" i="31"/>
  <c r="I30"/>
  <c r="I22"/>
  <c r="I23"/>
  <c r="H56"/>
  <c r="I19"/>
  <c r="I24"/>
  <c r="H20"/>
  <c r="I18"/>
  <c r="H18"/>
  <c r="I16"/>
  <c r="H17"/>
  <c r="H21"/>
  <c r="I25"/>
  <c r="H26"/>
  <c r="H38"/>
  <c r="I40"/>
  <c r="H41"/>
  <c r="I42"/>
  <c r="H49"/>
  <c r="I50"/>
  <c r="H51"/>
  <c r="H59"/>
  <c r="H74" s="1"/>
  <c r="H77"/>
  <c r="I78"/>
  <c r="H60" i="30"/>
  <c r="I51"/>
  <c r="H39"/>
  <c r="H57"/>
  <c r="H75" s="1"/>
  <c r="I52"/>
  <c r="H18"/>
  <c r="I18"/>
  <c r="H16"/>
  <c r="I17"/>
  <c r="H20"/>
  <c r="I21"/>
  <c r="H26"/>
  <c r="I27"/>
  <c r="H41"/>
  <c r="I42"/>
  <c r="I50"/>
  <c r="I78"/>
  <c r="H79"/>
  <c r="H75" i="29"/>
  <c r="H18"/>
  <c r="I18"/>
  <c r="H16"/>
  <c r="I17"/>
  <c r="H20"/>
  <c r="I21"/>
  <c r="H26"/>
  <c r="I27"/>
  <c r="H41"/>
  <c r="I42"/>
  <c r="I50"/>
  <c r="H78"/>
  <c r="H20" i="28"/>
  <c r="H41"/>
  <c r="H16"/>
  <c r="H26"/>
  <c r="H43"/>
  <c r="H57"/>
  <c r="H60"/>
  <c r="I17"/>
  <c r="I18"/>
  <c r="I21"/>
  <c r="I27"/>
  <c r="I39"/>
  <c r="I42"/>
  <c r="I50"/>
  <c r="H78"/>
  <c r="I79"/>
  <c r="H79" i="17"/>
  <c r="I79"/>
  <c r="I78"/>
  <c r="I60"/>
  <c r="I57"/>
  <c r="I50"/>
  <c r="H42"/>
  <c r="I43"/>
  <c r="I41"/>
  <c r="I39"/>
  <c r="H21"/>
  <c r="H17"/>
  <c r="I27"/>
  <c r="I26"/>
  <c r="H18"/>
  <c r="I18"/>
  <c r="H16"/>
  <c r="H20"/>
  <c r="I79" i="33" l="1"/>
  <c r="I95" i="28"/>
  <c r="I80" i="30"/>
  <c r="I79" i="31"/>
  <c r="I79" i="32"/>
  <c r="H74" i="33"/>
  <c r="I100"/>
  <c r="H74" i="32"/>
  <c r="I92"/>
  <c r="I91" i="31"/>
  <c r="I88" i="30"/>
  <c r="I99" i="29"/>
  <c r="H75" i="28"/>
  <c r="G86" i="27"/>
  <c r="H86" s="1"/>
  <c r="I86" l="1"/>
  <c r="E83" l="1"/>
  <c r="F83" s="1"/>
  <c r="F82"/>
  <c r="I82" s="1"/>
  <c r="H80"/>
  <c r="H78"/>
  <c r="H76"/>
  <c r="F75"/>
  <c r="H75" s="1"/>
  <c r="F72"/>
  <c r="H72" s="1"/>
  <c r="F71"/>
  <c r="I71" s="1"/>
  <c r="F70"/>
  <c r="H70" s="1"/>
  <c r="F69"/>
  <c r="I69" s="1"/>
  <c r="F68"/>
  <c r="H68" s="1"/>
  <c r="F67"/>
  <c r="I67" s="1"/>
  <c r="H66"/>
  <c r="H65"/>
  <c r="I61"/>
  <c r="H61"/>
  <c r="F60"/>
  <c r="H60" s="1"/>
  <c r="F58"/>
  <c r="H58" s="1"/>
  <c r="I55"/>
  <c r="F55"/>
  <c r="H55" s="1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I32" s="1"/>
  <c r="F31"/>
  <c r="I31" s="1"/>
  <c r="F30"/>
  <c r="I30" s="1"/>
  <c r="F27"/>
  <c r="I27" s="1"/>
  <c r="F26"/>
  <c r="I26" s="1"/>
  <c r="F25"/>
  <c r="H25" s="1"/>
  <c r="H24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I87" l="1"/>
  <c r="I89" s="1"/>
  <c r="H17"/>
  <c r="H26"/>
  <c r="H32"/>
  <c r="H21"/>
  <c r="H30"/>
  <c r="I83"/>
  <c r="H83"/>
  <c r="H18"/>
  <c r="I18"/>
  <c r="H16"/>
  <c r="H20"/>
  <c r="H27"/>
  <c r="H31"/>
  <c r="H39"/>
  <c r="H41"/>
  <c r="I42"/>
  <c r="H43"/>
  <c r="I51"/>
  <c r="H52"/>
  <c r="I53"/>
  <c r="I58"/>
  <c r="H67"/>
  <c r="I68"/>
  <c r="H69"/>
  <c r="H79" s="1"/>
  <c r="I70"/>
  <c r="H71"/>
  <c r="I72"/>
  <c r="H82"/>
  <c r="I84" l="1"/>
  <c r="F25" i="17" l="1"/>
  <c r="H25" s="1"/>
  <c r="H75" l="1"/>
  <c r="I98" l="1"/>
</calcChain>
</file>

<file path=xl/sharedStrings.xml><?xml version="1.0" encoding="utf-8"?>
<sst xmlns="http://schemas.openxmlformats.org/spreadsheetml/2006/main" count="2850" uniqueCount="286">
  <si>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</si>
  <si>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</si>
  <si>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</si>
  <si>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</si>
  <si>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</si>
  <si>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</si>
  <si>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</si>
  <si>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</si>
  <si>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</si>
  <si>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</si>
  <si>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</si>
  <si>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</si>
  <si>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</si>
  <si>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</si>
  <si>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</si>
  <si>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</si>
  <si>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</si>
  <si>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</si>
  <si>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</si>
  <si>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</si>
  <si>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</si>
  <si>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</si>
  <si>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</si>
  <si>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</si>
  <si>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</si>
  <si>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</si>
  <si>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</si>
  <si>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</si>
  <si>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</si>
  <si>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</si>
  <si>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</si>
  <si>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</si>
  <si>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</si>
  <si>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</si>
  <si>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</si>
  <si>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</si>
  <si>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</si>
  <si>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</si>
  <si>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</si>
  <si>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</si>
  <si>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</si>
  <si>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</si>
  <si>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</si>
  <si>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</si>
  <si>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</si>
  <si>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</si>
  <si>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</si>
  <si>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</si>
  <si>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</si>
  <si>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</si>
  <si>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</si>
  <si>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</si>
  <si>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</si>
  <si>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</si>
  <si>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</si>
  <si>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</si>
  <si>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</si>
  <si>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</si>
  <si>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</si>
  <si>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</si>
  <si>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</si>
  <si>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</si>
  <si>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</si>
  <si>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</si>
  <si>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</si>
  <si>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</si>
  <si>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</si>
  <si>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</si>
  <si>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</si>
  <si>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</si>
  <si>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</si>
  <si>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</si>
  <si>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</si>
  <si>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</si>
  <si>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</si>
  <si>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</si>
  <si>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</si>
  <si>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</si>
  <si>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</si>
  <si>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</si>
  <si>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</si>
  <si>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</si>
  <si>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</si>
  <si>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</si>
  <si>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</si>
  <si>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</si>
  <si>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</si>
  <si>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</si>
  <si>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</si>
  <si>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</si>
  <si>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</si>
  <si>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сгонов у трубопроводов диаметром до 32 мм</t>
  </si>
  <si>
    <t>II. Уборка земельного участка</t>
  </si>
  <si>
    <t>ООО «Жилсервис»</t>
  </si>
  <si>
    <t>Влажное подметание лестничных клеток 1 этажа</t>
  </si>
  <si>
    <t>Работа автовышки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</si>
  <si>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</si>
  <si>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</si>
  <si>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</si>
  <si>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4 раза в месяц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</si>
  <si>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</si>
  <si>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</si>
  <si>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</si>
  <si>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</si>
  <si>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</si>
  <si>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</si>
  <si>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</si>
  <si>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</si>
  <si>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</si>
  <si>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</si>
  <si>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</si>
  <si>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маш/час</t>
  </si>
  <si>
    <t>Влажная протирка подоконников</t>
  </si>
  <si>
    <t>Влажная протирка отопительных приборов</t>
  </si>
  <si>
    <t>1 раз в 2 месяца</t>
  </si>
  <si>
    <t xml:space="preserve">Смена сгонов у трубопроводов диаметром до 20 мм </t>
  </si>
  <si>
    <t>1 сгон</t>
  </si>
  <si>
    <t>100м2</t>
  </si>
  <si>
    <t>156 раз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</si>
  <si>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</si>
  <si>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</si>
  <si>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</si>
  <si>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</si>
  <si>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</si>
  <si>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</si>
  <si>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</si>
  <si>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</si>
  <si>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</si>
  <si>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</si>
  <si>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 xml:space="preserve">Очистка урн от мусора </t>
  </si>
  <si>
    <t>Уборка контейнерной площадки (16 кв.м.)</t>
  </si>
  <si>
    <t>30 раз за сезон</t>
  </si>
  <si>
    <t>1м3</t>
  </si>
  <si>
    <t>155 раз за сезон</t>
  </si>
  <si>
    <t>35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</si>
  <si>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</si>
  <si>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</si>
  <si>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</si>
  <si>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</si>
  <si>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</si>
  <si>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</si>
  <si>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</si>
  <si>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</si>
  <si>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</si>
  <si>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</si>
  <si>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</si>
  <si>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</si>
  <si>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</si>
  <si>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</si>
  <si>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>Осмотр шиферной кровли</t>
  </si>
  <si>
    <t>Лестничная клетка</t>
  </si>
  <si>
    <t>Установка пружин на входных дверях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</si>
  <si>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</si>
  <si>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</si>
  <si>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</si>
  <si>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</si>
  <si>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</si>
  <si>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>ежедневно 365 раз</t>
  </si>
  <si>
    <t>Сдвигание снега в дни снегопада (тротуар, крыльца)</t>
  </si>
  <si>
    <t>Ремонт и регулировка доводчика (со стоимостью доводчика)</t>
  </si>
  <si>
    <t>1шт.</t>
  </si>
  <si>
    <t>Смена арматуры - вентилей и клапанов обратных муфтовых диаметром до 32 мм</t>
  </si>
  <si>
    <t>Внеплановый осмотр вводных электрических щитков</t>
  </si>
  <si>
    <t>100шт</t>
  </si>
  <si>
    <t>Внеплановый осмотр электросетей, армазуры и электрооборудования на лестничных клетках</t>
  </si>
  <si>
    <t>104 раза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</si>
  <si>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</si>
  <si>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</si>
  <si>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№10а</t>
  </si>
  <si>
    <t>Объем</t>
  </si>
  <si>
    <t>п.м.</t>
  </si>
  <si>
    <t>за период с 02.10.2017 г. по 06.10.2017 г.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</si>
  <si>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ул.Нефтяников пгт.Ярега
</t>
  </si>
  <si>
    <r>
      <t xml:space="preserve">    Собственники помещений в многоквартирном доме, расположенном по адресу: пгт.Ярега, ул.Нефтяников,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06.05.2013г.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</si>
  <si>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Исполнителем  предъявлены  к  приемке  следующие  оказанные  на  основании  Договора  на  содержание  и  ремонт  многоквартирного  дома  №</t>
    </r>
    <r>
      <rPr>
        <u/>
        <sz val="12"/>
        <rFont val="Times New Roman"/>
        <family val="1"/>
        <charset val="204"/>
      </rPr>
      <t xml:space="preserve">    4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</t>
    </r>
  </si>
  <si>
    <t>Герметизация межпанельных швов (кв.33, 36)</t>
  </si>
  <si>
    <t>2. Всего за период с 02.10.2017 по 06.10.2017 выполнено работ (оказано услуг) на общую сумму: 7526,18 руб.</t>
  </si>
  <si>
    <t>(семь тысяч пятьсот двадцать шесть рублей 18 копеек)</t>
  </si>
  <si>
    <t>за период с 01.01.2017 г. по 31.01.2017 г.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</si>
  <si>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06.05.2013г.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</si>
  <si>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Итого месячные затраты</t>
  </si>
  <si>
    <t>Уборка отмостки</t>
  </si>
  <si>
    <t>50 раз за сезон</t>
  </si>
  <si>
    <t>70 раз за сезон</t>
  </si>
  <si>
    <t>Осмотр рулонной  кровли</t>
  </si>
  <si>
    <t>5 раз за сезон</t>
  </si>
  <si>
    <t>Осмотр и очистка оголовков дымоходов и вентканалов от наледи и снега (по необходимости) зимой</t>
  </si>
  <si>
    <t>6 раз в год</t>
  </si>
  <si>
    <t>Смена вентилей ПП диаметром до 20 мм</t>
  </si>
  <si>
    <t>Смена тройника 25*20*25</t>
  </si>
  <si>
    <t>1м</t>
  </si>
  <si>
    <t>1шт</t>
  </si>
  <si>
    <t xml:space="preserve">Ревизия 110 </t>
  </si>
  <si>
    <t>Крестовина 110×110×50*90°</t>
  </si>
  <si>
    <t>Манжета 110</t>
  </si>
  <si>
    <t>Герметизация трубопроводов</t>
  </si>
  <si>
    <t>1 соединен.</t>
  </si>
  <si>
    <t>Прочистка засоров канализации</t>
  </si>
  <si>
    <t>Снятие показаний эл.счетчика коммунального назначения</t>
  </si>
  <si>
    <t>Смена полипропиленовых канализационных труб Ду-100 2м</t>
  </si>
  <si>
    <t>Патрубок компенсационный ПП Ду 100</t>
  </si>
  <si>
    <t>за период с 01.02.2017 г. по 28.02.2017 г.</t>
  </si>
  <si>
    <t xml:space="preserve">Переход чугун-пластик Ду 110 </t>
  </si>
  <si>
    <t>Муфта ремонтная 110</t>
  </si>
  <si>
    <t>Ремонт групповых щитков на лестничной клетке со сменой автоматов</t>
  </si>
  <si>
    <t xml:space="preserve">Смена светодиодных светильников </t>
  </si>
  <si>
    <t>Тройник 110×50/45°</t>
  </si>
  <si>
    <t>АКТ №2</t>
  </si>
  <si>
    <t>АКТ №3</t>
  </si>
  <si>
    <t>за период с 01.03.2017 г. по 31.03.2017 г.</t>
  </si>
  <si>
    <t xml:space="preserve">Смена трубопроводов на полипропиленовые трубы PN25 диаметром 25 мм </t>
  </si>
  <si>
    <t>Смена полипропиленовых канализационных труб Ду-100 1м</t>
  </si>
  <si>
    <t>Отвод 110*45°</t>
  </si>
  <si>
    <t>Смена внутренних трубопроводов из стальных труб диаметром до 20 мм</t>
  </si>
  <si>
    <t>10шт</t>
  </si>
  <si>
    <t>АКТ №4</t>
  </si>
  <si>
    <t>за период с 01.04.2017 г. по 30.04.2017 г.</t>
  </si>
  <si>
    <t>Устройство хомута диаметром до 50мм</t>
  </si>
  <si>
    <t>2. Всего за период с 01.04.2017 по 30.04.2017 выполнено работ (оказано услуг) на общую сумму: 93163,13 руб.</t>
  </si>
  <si>
    <t>(девяносто три тысячи сто шестьдесят три рубля 13 копеек)</t>
  </si>
  <si>
    <t>АКТ №5</t>
  </si>
  <si>
    <t>за период с 01.05.2017 г. по 31.05.2017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</si>
  <si>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</si>
  <si>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</si>
  <si>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Заделка отвестия над подвал.дверью фанерой</t>
  </si>
  <si>
    <t>Укрепление дверных коробок</t>
  </si>
  <si>
    <t>10 шт</t>
  </si>
  <si>
    <t>2. Всего за период с 01.05.2017 по 31.05.2017 выполнено работ (оказано услуг) на общую сумму: 194987,10 руб.</t>
  </si>
  <si>
    <t>(сто девяносто четыре тысячи девятьсот восемьдесят семь рублей 10 копеек)</t>
  </si>
  <si>
    <t>АКТ №6</t>
  </si>
  <si>
    <t>за период с 01.06.2017 г. по 30.06.2017 г.</t>
  </si>
  <si>
    <t>Смена трубопроводов на полипропиленовые трубы PN25 диаметром до 20 мм</t>
  </si>
  <si>
    <t>АКТ №7</t>
  </si>
  <si>
    <t>за период с 01.07.2017 г. по 31.07.2017 г.</t>
  </si>
  <si>
    <t>III. Содержание общего имущества МКД</t>
  </si>
  <si>
    <t>IV. Прочие услуги</t>
  </si>
  <si>
    <t>Отвод 110*90°</t>
  </si>
  <si>
    <t>Переход чугун-пластик Ду 50 с манжетой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</si>
  <si>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</si>
  <si>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Крестовина 110×45°</t>
  </si>
  <si>
    <t xml:space="preserve">Смена полипропиленовых канализационных труб 50×2000 мм </t>
  </si>
  <si>
    <t>Отвод 50×90°</t>
  </si>
  <si>
    <t>2. Всего за период с 01.03.2017 по 31.03.2017 выполнено работ (оказано услуг) на общую сумму: 98966,61 руб.</t>
  </si>
  <si>
    <t>(девяносто восемь тысяч девятьсот шестьдесят шесть рублей 61 копейка)</t>
  </si>
  <si>
    <t>2. Всего за период с 01.07.2017 по 31.07.2017 выполнено работ (оказано услуг) на общую сумму: 97471,01 руб.</t>
  </si>
  <si>
    <t>(девяносто семь тысяч четыреста семьдесят один рубль 01 копейка)</t>
  </si>
  <si>
    <t>АКТ №8</t>
  </si>
  <si>
    <t>за период с 01.08.2017 г. по 31.08.2017 г.</t>
  </si>
  <si>
    <t>Простая масляная окраска ранее окрашенных входных металлических дверей (I-VI под.)</t>
  </si>
  <si>
    <t>2. Всего за период с 01.08.2017 по 31.08.2017 выполнено работ (оказано услуг) на общую сумму: 99862,25 руб.</t>
  </si>
  <si>
    <t>(девяносто девять тысяч восемьсот шестьдесят два рубля 25 копеек)</t>
  </si>
  <si>
    <t>АКТ №9</t>
  </si>
  <si>
    <t>за период с 01.09.2017 г. по 30.09.2017 г.</t>
  </si>
  <si>
    <t>Смена внутренних трубопроводов из стальных труб диаметром до 32 мм</t>
  </si>
  <si>
    <t>АКТ №10</t>
  </si>
  <si>
    <t>за период с 01.10.2017 г. по 31.10.2017 г.</t>
  </si>
  <si>
    <t xml:space="preserve">ежедневно </t>
  </si>
  <si>
    <t>2. Всего за период с 01.06.2017 по 30.06.2017 выполнено работ (оказано услуг) на общую сумму: 95789,10 руб.</t>
  </si>
  <si>
    <t>(девяносто пять тысяч семьсот восемьдесят девять рублей 10 копеек)</t>
  </si>
  <si>
    <t>2. Всего за период с 01.09.2017 по 30.09.2017 выполнено работ (оказано услуг) на общую сумму: 82857,41 руб.</t>
  </si>
  <si>
    <t>(восемьдесят две тысячи восемьсот пятьдесят семь рублей 41 копейка)</t>
  </si>
  <si>
    <t>Смена трубопроводов на полипропиленовые трубы PN25 диаметром до 32 мм</t>
  </si>
  <si>
    <t>Установка заглушек диаметром трубопроводов до 100 мм</t>
  </si>
  <si>
    <t>заглушка</t>
  </si>
  <si>
    <t>Обшивка каркасных стен панелями стекломагниевыми 6 мм</t>
  </si>
  <si>
    <t>Герметизация межпанельных швов (кв.33,36)</t>
  </si>
  <si>
    <t>2. Всего за период с 01.10.2017 по 31.10.2017 выполнено работ (оказано услуг) на общую сумму: 131882,68 руб.</t>
  </si>
  <si>
    <t>(сто тридцать одна тысяча восемьсот восемьдесят два рубля 68 копеек)</t>
  </si>
  <si>
    <t>АКТ №11</t>
  </si>
  <si>
    <t>за период с 01.11.2017 г. по 30.11.2017 г.</t>
  </si>
  <si>
    <t>Осмотр элекгросетей, арматуры и электрооборудования на чердаках и подвалах</t>
  </si>
  <si>
    <t>Внеплановая проверка вентканалов</t>
  </si>
  <si>
    <t>АКТ №12</t>
  </si>
  <si>
    <t>за период с 01.12.2017 г. по 31.12.2017 г.</t>
  </si>
  <si>
    <t>Устройство герметизации горизонтальных и вертикальных стыков стеновых панелей</t>
  </si>
  <si>
    <t>100 м шва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</si>
  <si>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</t>
    </r>
  </si>
  <si>
    <t>2. Всего за период с 01.01.2017 по 31.01.2017 выполнено работ (оказано услуг) на общую сумму: 105348,10 руб.</t>
  </si>
  <si>
    <t>(сто пять тысяч триста сорок восемь рублей 10 копеек)</t>
  </si>
  <si>
    <t>2. Всего за период с 01.02.2017 по 28.02.2017 выполнено работ (оказано услуг) на общую сумму: 98070,45 руб.</t>
  </si>
  <si>
    <t>(девяносто восемь тысяч семьдесят рублей 45 копеек)</t>
  </si>
  <si>
    <t>15 раз за сезон</t>
  </si>
  <si>
    <t>2. Всего за период с 01.11.2017 по 30.11.2017 выполнено работ (оказано услуг) на общую сумму: 122745,47 руб.</t>
  </si>
  <si>
    <t>(сто двадцать две тысячи семьсот сорок пять рублей 47 копеек)</t>
  </si>
  <si>
    <t>2. Всего за период с 01.12.2017 по 31.12.2017 выполнено работ (оказано услуг) на общую сумму: 94448,03 руб.</t>
  </si>
  <si>
    <t>(девяносто четыре тысячи четыреста сорок восемь рублей 03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</si>
</sst>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155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178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54"/>
      <c r="C6" s="54"/>
      <c r="D6" s="54"/>
      <c r="E6" s="54"/>
      <c r="F6" s="54"/>
      <c r="G6" s="54"/>
      <c r="H6" s="54"/>
      <c r="I6" s="30">
        <v>42766</v>
      </c>
      <c r="J6" s="2"/>
      <c r="K6" s="2"/>
      <c r="L6" s="2"/>
      <c r="M6" s="2"/>
    </row>
    <row r="7" spans="1:13" ht="15.75" customHeight="1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4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3" t="s">
        <v>113</v>
      </c>
      <c r="C25" s="74" t="s">
        <v>56</v>
      </c>
      <c r="D25" s="73" t="s">
        <v>122</v>
      </c>
      <c r="E25" s="48">
        <v>17</v>
      </c>
      <c r="F25" s="75">
        <f>SUM(E25/100)</f>
        <v>0.17</v>
      </c>
      <c r="G25" s="75">
        <v>556.74</v>
      </c>
      <c r="H25" s="76">
        <f t="shared" ref="H25" si="1">SUM(F25*G25/1000)</f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73" t="s">
        <v>68</v>
      </c>
      <c r="C26" s="74" t="s">
        <v>34</v>
      </c>
      <c r="D26" s="73" t="s">
        <v>157</v>
      </c>
      <c r="E26" s="48">
        <v>0.1</v>
      </c>
      <c r="F26" s="75">
        <f>SUM(E26*365)</f>
        <v>36.5</v>
      </c>
      <c r="G26" s="75">
        <v>147.03</v>
      </c>
      <c r="H26" s="76">
        <f t="shared" ref="H26:H27" si="2">SUM(F26*G26/1000)</f>
        <v>5.3665950000000002</v>
      </c>
      <c r="I26" s="13">
        <f>F26/12*G26</f>
        <v>447.21625</v>
      </c>
      <c r="J26" s="23"/>
    </row>
    <row r="27" spans="1:13" ht="15.75" customHeight="1">
      <c r="A27" s="29">
        <v>7</v>
      </c>
      <c r="B27" s="81" t="s">
        <v>23</v>
      </c>
      <c r="C27" s="74" t="s">
        <v>24</v>
      </c>
      <c r="D27" s="81" t="s">
        <v>157</v>
      </c>
      <c r="E27" s="48">
        <v>4224.3999999999996</v>
      </c>
      <c r="F27" s="75">
        <f>SUM(E27*12)</f>
        <v>50692.799999999996</v>
      </c>
      <c r="G27" s="75">
        <v>4.59</v>
      </c>
      <c r="H27" s="76">
        <f t="shared" si="2"/>
        <v>232.67995199999996</v>
      </c>
      <c r="I27" s="13">
        <f>F27/12*G27</f>
        <v>19389.995999999999</v>
      </c>
      <c r="J27" s="23"/>
    </row>
    <row r="28" spans="1:13" ht="15.75" customHeight="1">
      <c r="A28" s="139" t="s">
        <v>92</v>
      </c>
      <c r="B28" s="139"/>
      <c r="C28" s="139"/>
      <c r="D28" s="139"/>
      <c r="E28" s="139"/>
      <c r="F28" s="139"/>
      <c r="G28" s="139"/>
      <c r="H28" s="139"/>
      <c r="I28" s="139"/>
      <c r="J28" s="22"/>
      <c r="K28" s="8"/>
      <c r="L28" s="8"/>
      <c r="M28" s="8"/>
    </row>
    <row r="29" spans="1:13" ht="15.75" hidden="1" customHeight="1">
      <c r="A29" s="29"/>
      <c r="B29" s="96" t="s">
        <v>28</v>
      </c>
      <c r="C29" s="74"/>
      <c r="D29" s="73"/>
      <c r="E29" s="48"/>
      <c r="F29" s="75"/>
      <c r="G29" s="75"/>
      <c r="H29" s="76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73" t="s">
        <v>125</v>
      </c>
      <c r="C30" s="74" t="s">
        <v>126</v>
      </c>
      <c r="D30" s="73" t="s">
        <v>127</v>
      </c>
      <c r="E30" s="75">
        <v>1414.6</v>
      </c>
      <c r="F30" s="75">
        <f>SUM(E30*52/1000)</f>
        <v>73.559200000000004</v>
      </c>
      <c r="G30" s="75">
        <v>155.88999999999999</v>
      </c>
      <c r="H30" s="76">
        <f t="shared" ref="H30:H36" si="3">SUM(F30*G30/1000)</f>
        <v>11.467143688</v>
      </c>
      <c r="I30" s="13">
        <v>0</v>
      </c>
      <c r="J30" s="22"/>
      <c r="K30" s="8"/>
      <c r="L30" s="8"/>
      <c r="M30" s="8"/>
    </row>
    <row r="31" spans="1:13" ht="31.5" hidden="1" customHeight="1">
      <c r="A31" s="29">
        <v>8</v>
      </c>
      <c r="B31" s="73" t="s">
        <v>166</v>
      </c>
      <c r="C31" s="74" t="s">
        <v>126</v>
      </c>
      <c r="D31" s="73" t="s">
        <v>128</v>
      </c>
      <c r="E31" s="75">
        <v>632.4</v>
      </c>
      <c r="F31" s="75">
        <f>SUM(E31*78/1000)</f>
        <v>49.327199999999998</v>
      </c>
      <c r="G31" s="75">
        <v>258.63</v>
      </c>
      <c r="H31" s="76">
        <f t="shared" si="3"/>
        <v>12.757493735999999</v>
      </c>
      <c r="I31" s="13">
        <v>0</v>
      </c>
      <c r="J31" s="22"/>
      <c r="K31" s="8"/>
      <c r="L31" s="8"/>
      <c r="M31" s="8"/>
    </row>
    <row r="32" spans="1:13" ht="15.75" hidden="1" customHeight="1">
      <c r="A32" s="29"/>
      <c r="B32" s="73" t="s">
        <v>181</v>
      </c>
      <c r="C32" s="74" t="s">
        <v>126</v>
      </c>
      <c r="D32" s="73" t="s">
        <v>99</v>
      </c>
      <c r="E32" s="48">
        <v>143.20000000000002</v>
      </c>
      <c r="F32" s="75">
        <v>0</v>
      </c>
      <c r="G32" s="75">
        <v>293.27999999999997</v>
      </c>
      <c r="H32" s="76">
        <f t="shared" si="3"/>
        <v>0</v>
      </c>
      <c r="I32" s="13"/>
      <c r="J32" s="22"/>
      <c r="K32" s="8"/>
      <c r="L32" s="8"/>
      <c r="M32" s="8"/>
    </row>
    <row r="33" spans="1:14" ht="15.75" hidden="1" customHeight="1">
      <c r="A33" s="29">
        <v>9</v>
      </c>
      <c r="B33" s="73" t="s">
        <v>27</v>
      </c>
      <c r="C33" s="74" t="s">
        <v>126</v>
      </c>
      <c r="D33" s="73" t="s">
        <v>57</v>
      </c>
      <c r="E33" s="75">
        <v>1414.6</v>
      </c>
      <c r="F33" s="75">
        <f>SUM(E33/1000)</f>
        <v>1.4145999999999999</v>
      </c>
      <c r="G33" s="75">
        <v>3020.33</v>
      </c>
      <c r="H33" s="76">
        <f t="shared" si="3"/>
        <v>4.2725588179999994</v>
      </c>
      <c r="I33" s="13">
        <v>0</v>
      </c>
      <c r="J33" s="22"/>
      <c r="K33" s="8"/>
      <c r="L33" s="8"/>
      <c r="M33" s="8"/>
    </row>
    <row r="34" spans="1:14" ht="15.75" hidden="1" customHeight="1">
      <c r="A34" s="29">
        <v>10</v>
      </c>
      <c r="B34" s="73" t="s">
        <v>129</v>
      </c>
      <c r="C34" s="74" t="s">
        <v>42</v>
      </c>
      <c r="D34" s="73" t="s">
        <v>67</v>
      </c>
      <c r="E34" s="75">
        <v>6</v>
      </c>
      <c r="F34" s="75">
        <f>SUM(E34*155/100)</f>
        <v>9.3000000000000007</v>
      </c>
      <c r="G34" s="75">
        <v>1302.02</v>
      </c>
      <c r="H34" s="76">
        <f t="shared" si="3"/>
        <v>12.108786</v>
      </c>
      <c r="I34" s="13">
        <v>0</v>
      </c>
      <c r="J34" s="22"/>
      <c r="K34" s="8"/>
    </row>
    <row r="35" spans="1:14" ht="15.75" hidden="1" customHeight="1">
      <c r="A35" s="29"/>
      <c r="B35" s="73" t="s">
        <v>69</v>
      </c>
      <c r="C35" s="74" t="s">
        <v>34</v>
      </c>
      <c r="D35" s="73" t="s">
        <v>71</v>
      </c>
      <c r="E35" s="48"/>
      <c r="F35" s="75">
        <v>4</v>
      </c>
      <c r="G35" s="75">
        <v>191.32</v>
      </c>
      <c r="H35" s="76">
        <f t="shared" si="3"/>
        <v>0.76527999999999996</v>
      </c>
      <c r="I35" s="13">
        <v>0</v>
      </c>
      <c r="J35" s="23"/>
    </row>
    <row r="36" spans="1:14" ht="15.75" hidden="1" customHeight="1">
      <c r="A36" s="29"/>
      <c r="B36" s="73" t="s">
        <v>70</v>
      </c>
      <c r="C36" s="74" t="s">
        <v>33</v>
      </c>
      <c r="D36" s="73" t="s">
        <v>71</v>
      </c>
      <c r="E36" s="48"/>
      <c r="F36" s="75">
        <v>3</v>
      </c>
      <c r="G36" s="75">
        <v>1136.33</v>
      </c>
      <c r="H36" s="76">
        <f t="shared" si="3"/>
        <v>3.4089899999999997</v>
      </c>
      <c r="I36" s="13">
        <v>0</v>
      </c>
      <c r="J36" s="23"/>
    </row>
    <row r="37" spans="1:14" ht="15.75" customHeight="1">
      <c r="A37" s="29"/>
      <c r="B37" s="96" t="s">
        <v>5</v>
      </c>
      <c r="C37" s="74"/>
      <c r="D37" s="73"/>
      <c r="E37" s="48"/>
      <c r="F37" s="75"/>
      <c r="G37" s="75"/>
      <c r="H37" s="76" t="s">
        <v>146</v>
      </c>
      <c r="I37" s="13"/>
      <c r="J37" s="23"/>
    </row>
    <row r="38" spans="1:14" ht="15.75" customHeight="1">
      <c r="A38" s="29">
        <v>8</v>
      </c>
      <c r="B38" s="73" t="s">
        <v>26</v>
      </c>
      <c r="C38" s="74" t="s">
        <v>33</v>
      </c>
      <c r="D38" s="73"/>
      <c r="E38" s="48"/>
      <c r="F38" s="75">
        <v>20</v>
      </c>
      <c r="G38" s="75">
        <v>1527.22</v>
      </c>
      <c r="H38" s="76">
        <f t="shared" ref="H38:H44" si="4">SUM(F38*G38/1000)</f>
        <v>30.544400000000003</v>
      </c>
      <c r="I38" s="13">
        <f>F38/6*G38</f>
        <v>5090.7333333333336</v>
      </c>
      <c r="J38" s="23"/>
    </row>
    <row r="39" spans="1:14" ht="15.75" customHeight="1">
      <c r="A39" s="29">
        <v>9</v>
      </c>
      <c r="B39" s="73" t="s">
        <v>72</v>
      </c>
      <c r="C39" s="74" t="s">
        <v>29</v>
      </c>
      <c r="D39" s="73" t="s">
        <v>182</v>
      </c>
      <c r="E39" s="75">
        <v>632.4</v>
      </c>
      <c r="F39" s="75">
        <f>SUM(E39*50/1000)</f>
        <v>31.62</v>
      </c>
      <c r="G39" s="75">
        <v>2102.71</v>
      </c>
      <c r="H39" s="76">
        <f t="shared" si="4"/>
        <v>66.487690200000003</v>
      </c>
      <c r="I39" s="13">
        <f>F39/6*G39</f>
        <v>11081.281700000001</v>
      </c>
      <c r="J39" s="23"/>
      <c r="L39" s="19"/>
      <c r="M39" s="20"/>
      <c r="N39" s="21"/>
    </row>
    <row r="40" spans="1:14" ht="15.75" hidden="1" customHeight="1">
      <c r="A40" s="29"/>
      <c r="B40" s="73" t="s">
        <v>104</v>
      </c>
      <c r="C40" s="74" t="s">
        <v>132</v>
      </c>
      <c r="D40" s="73" t="s">
        <v>71</v>
      </c>
      <c r="E40" s="48"/>
      <c r="F40" s="75">
        <v>30</v>
      </c>
      <c r="G40" s="75">
        <v>213.2</v>
      </c>
      <c r="H40" s="76">
        <f t="shared" si="4"/>
        <v>6.3959999999999999</v>
      </c>
      <c r="I40" s="13">
        <f>0</f>
        <v>0</v>
      </c>
      <c r="J40" s="23"/>
      <c r="L40" s="19"/>
      <c r="M40" s="20"/>
      <c r="N40" s="21"/>
    </row>
    <row r="41" spans="1:14" ht="15.75" customHeight="1">
      <c r="A41" s="29">
        <v>10</v>
      </c>
      <c r="B41" s="73" t="s">
        <v>73</v>
      </c>
      <c r="C41" s="74" t="s">
        <v>29</v>
      </c>
      <c r="D41" s="73" t="s">
        <v>133</v>
      </c>
      <c r="E41" s="75">
        <v>106</v>
      </c>
      <c r="F41" s="75">
        <f>SUM(E41*155/1000)</f>
        <v>16.43</v>
      </c>
      <c r="G41" s="75">
        <v>350.75</v>
      </c>
      <c r="H41" s="76">
        <f t="shared" si="4"/>
        <v>5.7628225000000004</v>
      </c>
      <c r="I41" s="13">
        <f>F41/6*G41</f>
        <v>960.47041666666667</v>
      </c>
      <c r="J41" s="23"/>
      <c r="L41" s="19"/>
      <c r="M41" s="20"/>
      <c r="N41" s="21"/>
    </row>
    <row r="42" spans="1:14" ht="47.25" customHeight="1">
      <c r="A42" s="29">
        <v>11</v>
      </c>
      <c r="B42" s="73" t="s">
        <v>89</v>
      </c>
      <c r="C42" s="74" t="s">
        <v>126</v>
      </c>
      <c r="D42" s="73" t="s">
        <v>183</v>
      </c>
      <c r="E42" s="75">
        <v>106</v>
      </c>
      <c r="F42" s="75">
        <f>SUM(E42*70/1000)</f>
        <v>7.42</v>
      </c>
      <c r="G42" s="75">
        <v>5803.28</v>
      </c>
      <c r="H42" s="76">
        <f t="shared" si="4"/>
        <v>43.060337599999997</v>
      </c>
      <c r="I42" s="13">
        <f>F42/6*G42</f>
        <v>7176.7229333333325</v>
      </c>
      <c r="J42" s="23"/>
      <c r="L42" s="19"/>
      <c r="M42" s="20"/>
      <c r="N42" s="21"/>
    </row>
    <row r="43" spans="1:14" ht="15.75" hidden="1" customHeight="1">
      <c r="A43" s="29">
        <v>12</v>
      </c>
      <c r="B43" s="73" t="s">
        <v>135</v>
      </c>
      <c r="C43" s="74" t="s">
        <v>126</v>
      </c>
      <c r="D43" s="73" t="s">
        <v>74</v>
      </c>
      <c r="E43" s="75">
        <v>106</v>
      </c>
      <c r="F43" s="75">
        <f>SUM(E43*45/1000)</f>
        <v>4.7699999999999996</v>
      </c>
      <c r="G43" s="75">
        <v>428.7</v>
      </c>
      <c r="H43" s="76">
        <f t="shared" si="4"/>
        <v>2.0448989999999996</v>
      </c>
      <c r="I43" s="13">
        <f>F43/6*G43</f>
        <v>340.81649999999996</v>
      </c>
      <c r="J43" s="23"/>
      <c r="L43" s="19"/>
      <c r="M43" s="20"/>
      <c r="N43" s="21"/>
    </row>
    <row r="44" spans="1:14" ht="15.75" customHeight="1">
      <c r="A44" s="29">
        <v>12</v>
      </c>
      <c r="B44" s="73" t="s">
        <v>75</v>
      </c>
      <c r="C44" s="74" t="s">
        <v>34</v>
      </c>
      <c r="D44" s="73"/>
      <c r="E44" s="48"/>
      <c r="F44" s="75">
        <v>0.9</v>
      </c>
      <c r="G44" s="75">
        <v>798</v>
      </c>
      <c r="H44" s="76">
        <f t="shared" si="4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40" t="s">
        <v>152</v>
      </c>
      <c r="B45" s="141"/>
      <c r="C45" s="141"/>
      <c r="D45" s="141"/>
      <c r="E45" s="141"/>
      <c r="F45" s="141"/>
      <c r="G45" s="141"/>
      <c r="H45" s="141"/>
      <c r="I45" s="142"/>
      <c r="J45" s="23"/>
      <c r="L45" s="19"/>
      <c r="M45" s="20"/>
      <c r="N45" s="21"/>
    </row>
    <row r="46" spans="1:14" ht="15.75" hidden="1" customHeight="1">
      <c r="A46" s="29"/>
      <c r="B46" s="73" t="s">
        <v>184</v>
      </c>
      <c r="C46" s="74" t="s">
        <v>126</v>
      </c>
      <c r="D46" s="73" t="s">
        <v>44</v>
      </c>
      <c r="E46" s="48">
        <v>1150.5999999999999</v>
      </c>
      <c r="F46" s="75">
        <f>SUM(E46*2/1000)</f>
        <v>2.3011999999999997</v>
      </c>
      <c r="G46" s="13">
        <v>849.49</v>
      </c>
      <c r="H46" s="76">
        <f t="shared" ref="H46:H54" si="5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73" t="s">
        <v>37</v>
      </c>
      <c r="C47" s="74" t="s">
        <v>126</v>
      </c>
      <c r="D47" s="73" t="s">
        <v>44</v>
      </c>
      <c r="E47" s="48">
        <v>108.96</v>
      </c>
      <c r="F47" s="75">
        <f>SUM(E47*2/1000)</f>
        <v>0.21791999999999997</v>
      </c>
      <c r="G47" s="13">
        <v>579.48</v>
      </c>
      <c r="H47" s="76">
        <f t="shared" si="5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73" t="s">
        <v>38</v>
      </c>
      <c r="C48" s="74" t="s">
        <v>126</v>
      </c>
      <c r="D48" s="73" t="s">
        <v>44</v>
      </c>
      <c r="E48" s="48">
        <v>4224.3999999999996</v>
      </c>
      <c r="F48" s="75">
        <f>SUM(E48*2/1000)</f>
        <v>8.4487999999999985</v>
      </c>
      <c r="G48" s="13">
        <v>579.48</v>
      </c>
      <c r="H48" s="76">
        <f t="shared" si="5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73" t="s">
        <v>39</v>
      </c>
      <c r="C49" s="74" t="s">
        <v>126</v>
      </c>
      <c r="D49" s="73" t="s">
        <v>44</v>
      </c>
      <c r="E49" s="48">
        <v>3059.7</v>
      </c>
      <c r="F49" s="75">
        <f>SUM(E49*2/1000)</f>
        <v>6.1193999999999997</v>
      </c>
      <c r="G49" s="13">
        <v>606.77</v>
      </c>
      <c r="H49" s="76">
        <f t="shared" si="5"/>
        <v>3.7130683379999998</v>
      </c>
      <c r="I49" s="13">
        <v>0</v>
      </c>
      <c r="J49" s="23"/>
      <c r="L49" s="19"/>
      <c r="M49" s="20"/>
      <c r="N49" s="21"/>
    </row>
    <row r="50" spans="1:22" ht="15.75" customHeight="1">
      <c r="A50" s="29">
        <v>13</v>
      </c>
      <c r="B50" s="73" t="s">
        <v>60</v>
      </c>
      <c r="C50" s="74" t="s">
        <v>126</v>
      </c>
      <c r="D50" s="73" t="s">
        <v>185</v>
      </c>
      <c r="E50" s="48">
        <v>1150.5999999999999</v>
      </c>
      <c r="F50" s="75">
        <f>SUM(E50*5/1000)</f>
        <v>5.7530000000000001</v>
      </c>
      <c r="G50" s="13">
        <v>1213.55</v>
      </c>
      <c r="H50" s="76">
        <f t="shared" si="5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73" t="s">
        <v>136</v>
      </c>
      <c r="C51" s="74" t="s">
        <v>126</v>
      </c>
      <c r="D51" s="73" t="s">
        <v>44</v>
      </c>
      <c r="E51" s="48">
        <v>1150.5999999999999</v>
      </c>
      <c r="F51" s="75">
        <f>SUM(E51*2/1000)</f>
        <v>2.3011999999999997</v>
      </c>
      <c r="G51" s="13">
        <v>1213.55</v>
      </c>
      <c r="H51" s="76">
        <f t="shared" si="5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73" t="s">
        <v>137</v>
      </c>
      <c r="C52" s="74" t="s">
        <v>40</v>
      </c>
      <c r="D52" s="73" t="s">
        <v>44</v>
      </c>
      <c r="E52" s="48">
        <v>30</v>
      </c>
      <c r="F52" s="75">
        <f>SUM(E52*2/100)</f>
        <v>0.6</v>
      </c>
      <c r="G52" s="13">
        <v>2730.49</v>
      </c>
      <c r="H52" s="76">
        <f t="shared" si="5"/>
        <v>1.6382939999999999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73" t="s">
        <v>41</v>
      </c>
      <c r="C53" s="74" t="s">
        <v>42</v>
      </c>
      <c r="D53" s="73" t="s">
        <v>44</v>
      </c>
      <c r="E53" s="48">
        <v>1</v>
      </c>
      <c r="F53" s="75">
        <v>0.02</v>
      </c>
      <c r="G53" s="13">
        <v>5652.13</v>
      </c>
      <c r="H53" s="76">
        <f t="shared" si="5"/>
        <v>0.11304260000000001</v>
      </c>
      <c r="I53" s="13">
        <v>0</v>
      </c>
      <c r="J53" s="23"/>
      <c r="L53" s="19"/>
      <c r="M53" s="20"/>
      <c r="N53" s="21"/>
    </row>
    <row r="54" spans="1:22" ht="15.75" customHeight="1">
      <c r="A54" s="29">
        <v>14</v>
      </c>
      <c r="B54" s="73" t="s">
        <v>43</v>
      </c>
      <c r="C54" s="74" t="s">
        <v>138</v>
      </c>
      <c r="D54" s="73" t="s">
        <v>76</v>
      </c>
      <c r="E54" s="48">
        <v>158</v>
      </c>
      <c r="F54" s="75">
        <f>SUM(E54)*3</f>
        <v>474</v>
      </c>
      <c r="G54" s="13">
        <v>65.67</v>
      </c>
      <c r="H54" s="76">
        <f t="shared" si="5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140" t="s">
        <v>153</v>
      </c>
      <c r="B55" s="141"/>
      <c r="C55" s="141"/>
      <c r="D55" s="141"/>
      <c r="E55" s="141"/>
      <c r="F55" s="141"/>
      <c r="G55" s="141"/>
      <c r="H55" s="141"/>
      <c r="I55" s="142"/>
      <c r="J55" s="23"/>
      <c r="L55" s="19"/>
      <c r="M55" s="20"/>
      <c r="N55" s="21"/>
    </row>
    <row r="56" spans="1:22" ht="15.75" customHeight="1">
      <c r="A56" s="29"/>
      <c r="B56" s="96" t="s">
        <v>45</v>
      </c>
      <c r="C56" s="74"/>
      <c r="D56" s="73"/>
      <c r="E56" s="48"/>
      <c r="F56" s="75"/>
      <c r="G56" s="75"/>
      <c r="H56" s="76"/>
      <c r="I56" s="13"/>
      <c r="J56" s="23"/>
      <c r="L56" s="19"/>
      <c r="M56" s="20"/>
      <c r="N56" s="21"/>
    </row>
    <row r="57" spans="1:22" ht="31.5" customHeight="1">
      <c r="A57" s="29">
        <v>15</v>
      </c>
      <c r="B57" s="73" t="s">
        <v>186</v>
      </c>
      <c r="C57" s="74" t="s">
        <v>117</v>
      </c>
      <c r="D57" s="73" t="s">
        <v>187</v>
      </c>
      <c r="E57" s="105">
        <v>6</v>
      </c>
      <c r="F57" s="13">
        <f>E57*8/100</f>
        <v>0.48</v>
      </c>
      <c r="G57" s="75">
        <v>1547.28</v>
      </c>
      <c r="H57" s="76">
        <f>SUM(F57*G57/1000)</f>
        <v>0.74269439999999998</v>
      </c>
      <c r="I57" s="13">
        <f>F57/6*G57</f>
        <v>123.7824</v>
      </c>
      <c r="J57" s="23"/>
      <c r="L57" s="19"/>
      <c r="M57" s="20"/>
      <c r="N57" s="21"/>
    </row>
    <row r="58" spans="1:22" ht="15.75" hidden="1" customHeight="1">
      <c r="A58" s="106"/>
      <c r="B58" s="73" t="s">
        <v>109</v>
      </c>
      <c r="C58" s="74" t="s">
        <v>110</v>
      </c>
      <c r="D58" s="73" t="s">
        <v>44</v>
      </c>
      <c r="E58" s="48">
        <v>6</v>
      </c>
      <c r="F58" s="75">
        <v>12</v>
      </c>
      <c r="G58" s="82">
        <v>180.78</v>
      </c>
      <c r="H58" s="76">
        <f t="shared" ref="H58" si="6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97" t="s">
        <v>46</v>
      </c>
      <c r="C59" s="83"/>
      <c r="D59" s="84"/>
      <c r="E59" s="85"/>
      <c r="F59" s="87"/>
      <c r="G59" s="13"/>
      <c r="H59" s="89"/>
      <c r="I59" s="13"/>
      <c r="J59" s="23"/>
      <c r="L59" s="19"/>
      <c r="M59" s="20"/>
      <c r="N59" s="21"/>
    </row>
    <row r="60" spans="1:22" ht="15.75" customHeight="1">
      <c r="A60" s="29">
        <v>16</v>
      </c>
      <c r="B60" s="84" t="s">
        <v>105</v>
      </c>
      <c r="C60" s="83" t="s">
        <v>25</v>
      </c>
      <c r="D60" s="84"/>
      <c r="E60" s="85">
        <v>232.6</v>
      </c>
      <c r="F60" s="86">
        <f>E60*12</f>
        <v>2791.2</v>
      </c>
      <c r="G60" s="107">
        <v>2.5960000000000001</v>
      </c>
      <c r="H60" s="87">
        <f>G60*F60</f>
        <v>7245.9551999999994</v>
      </c>
      <c r="I60" s="13">
        <f>F60/12*G60</f>
        <v>603.82960000000003</v>
      </c>
      <c r="J60" s="23"/>
      <c r="L60" s="19"/>
    </row>
    <row r="61" spans="1:22" ht="15.75" customHeight="1">
      <c r="A61" s="29"/>
      <c r="B61" s="97" t="s">
        <v>48</v>
      </c>
      <c r="C61" s="83"/>
      <c r="D61" s="84"/>
      <c r="E61" s="85"/>
      <c r="F61" s="86"/>
      <c r="G61" s="86"/>
      <c r="H61" s="87" t="s">
        <v>146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29">
        <v>17</v>
      </c>
      <c r="B62" s="14" t="s">
        <v>49</v>
      </c>
      <c r="C62" s="16" t="s">
        <v>138</v>
      </c>
      <c r="D62" s="14" t="s">
        <v>71</v>
      </c>
      <c r="E62" s="18">
        <v>15</v>
      </c>
      <c r="F62" s="75">
        <v>15</v>
      </c>
      <c r="G62" s="13">
        <v>209.41</v>
      </c>
      <c r="H62" s="90">
        <f t="shared" ref="H62:H69" si="7">SUM(F62*G62/1000)</f>
        <v>3.1411500000000001</v>
      </c>
      <c r="I62" s="13">
        <f>G62*3</f>
        <v>628.23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50</v>
      </c>
      <c r="C63" s="16" t="s">
        <v>138</v>
      </c>
      <c r="D63" s="14" t="s">
        <v>71</v>
      </c>
      <c r="E63" s="18">
        <v>5</v>
      </c>
      <c r="F63" s="75">
        <v>5</v>
      </c>
      <c r="G63" s="13">
        <v>71.790000000000006</v>
      </c>
      <c r="H63" s="90">
        <f t="shared" si="7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51</v>
      </c>
      <c r="C64" s="16" t="s">
        <v>140</v>
      </c>
      <c r="D64" s="14" t="s">
        <v>57</v>
      </c>
      <c r="E64" s="48">
        <v>18281</v>
      </c>
      <c r="F64" s="13">
        <f>SUM(E64/100)</f>
        <v>182.81</v>
      </c>
      <c r="G64" s="13">
        <v>199.77</v>
      </c>
      <c r="H64" s="90">
        <f t="shared" si="7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28"/>
      <c r="S64" s="128"/>
      <c r="T64" s="128"/>
      <c r="U64" s="128"/>
    </row>
    <row r="65" spans="1:9" ht="15.75" hidden="1" customHeight="1">
      <c r="A65" s="29"/>
      <c r="B65" s="14" t="s">
        <v>52</v>
      </c>
      <c r="C65" s="16" t="s">
        <v>141</v>
      </c>
      <c r="D65" s="14"/>
      <c r="E65" s="48">
        <v>18281</v>
      </c>
      <c r="F65" s="13">
        <f>SUM(E65/1000)</f>
        <v>18.280999999999999</v>
      </c>
      <c r="G65" s="13">
        <v>155.57</v>
      </c>
      <c r="H65" s="90">
        <f t="shared" si="7"/>
        <v>2.8439751699999998</v>
      </c>
      <c r="I65" s="13">
        <v>0</v>
      </c>
    </row>
    <row r="66" spans="1:9" ht="15.75" hidden="1" customHeight="1">
      <c r="A66" s="29"/>
      <c r="B66" s="14" t="s">
        <v>53</v>
      </c>
      <c r="C66" s="16" t="s">
        <v>82</v>
      </c>
      <c r="D66" s="14" t="s">
        <v>57</v>
      </c>
      <c r="E66" s="48">
        <v>2730</v>
      </c>
      <c r="F66" s="13">
        <f>SUM(E66/100)</f>
        <v>27.3</v>
      </c>
      <c r="G66" s="13">
        <v>1953.52</v>
      </c>
      <c r="H66" s="90">
        <f t="shared" si="7"/>
        <v>53.331095999999995</v>
      </c>
      <c r="I66" s="13">
        <v>0</v>
      </c>
    </row>
    <row r="67" spans="1:9" ht="15.75" hidden="1" customHeight="1">
      <c r="A67" s="29"/>
      <c r="B67" s="91" t="s">
        <v>142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40.270000000000003</v>
      </c>
      <c r="H67" s="90">
        <f t="shared" si="7"/>
        <v>0.66042800000000002</v>
      </c>
      <c r="I67" s="13">
        <v>0</v>
      </c>
    </row>
    <row r="68" spans="1:9" ht="15.75" hidden="1" customHeight="1">
      <c r="A68" s="29"/>
      <c r="B68" s="91" t="s">
        <v>143</v>
      </c>
      <c r="C68" s="16" t="s">
        <v>34</v>
      </c>
      <c r="D68" s="14"/>
      <c r="E68" s="48">
        <v>16.399999999999999</v>
      </c>
      <c r="F68" s="13">
        <f>SUM(E68)</f>
        <v>16.399999999999999</v>
      </c>
      <c r="G68" s="13">
        <v>37.71</v>
      </c>
      <c r="H68" s="90">
        <f t="shared" si="7"/>
        <v>0.61844399999999999</v>
      </c>
      <c r="I68" s="13">
        <v>0</v>
      </c>
    </row>
    <row r="69" spans="1:9" ht="15.75" hidden="1" customHeight="1">
      <c r="A69" s="29"/>
      <c r="B69" s="14" t="s">
        <v>61</v>
      </c>
      <c r="C69" s="16" t="s">
        <v>62</v>
      </c>
      <c r="D69" s="14" t="s">
        <v>57</v>
      </c>
      <c r="E69" s="18">
        <v>7</v>
      </c>
      <c r="F69" s="75">
        <f>SUM(E69)</f>
        <v>7</v>
      </c>
      <c r="G69" s="13">
        <v>46.97</v>
      </c>
      <c r="H69" s="90">
        <f t="shared" si="7"/>
        <v>0.32878999999999997</v>
      </c>
      <c r="I69" s="13">
        <v>0</v>
      </c>
    </row>
    <row r="70" spans="1:9" ht="15.75" hidden="1" customHeight="1">
      <c r="A70" s="29"/>
      <c r="B70" s="55" t="s">
        <v>78</v>
      </c>
      <c r="C70" s="16"/>
      <c r="D70" s="14"/>
      <c r="E70" s="18"/>
      <c r="F70" s="13"/>
      <c r="G70" s="13"/>
      <c r="H70" s="90" t="s">
        <v>146</v>
      </c>
      <c r="I70" s="13"/>
    </row>
    <row r="71" spans="1:9" ht="15.75" hidden="1" customHeight="1">
      <c r="A71" s="29"/>
      <c r="B71" s="14" t="s">
        <v>96</v>
      </c>
      <c r="C71" s="16" t="s">
        <v>31</v>
      </c>
      <c r="D71" s="14"/>
      <c r="E71" s="18">
        <v>1</v>
      </c>
      <c r="F71" s="75">
        <f>SUM(E71)</f>
        <v>1</v>
      </c>
      <c r="G71" s="13">
        <v>337.58</v>
      </c>
      <c r="H71" s="90">
        <f t="shared" ref="H71" si="8">SUM(F71*G71/1000)</f>
        <v>0.33757999999999999</v>
      </c>
      <c r="I71" s="13">
        <v>0</v>
      </c>
    </row>
    <row r="72" spans="1:9" ht="15.75" hidden="1" customHeight="1">
      <c r="A72" s="29"/>
      <c r="B72" s="14" t="s">
        <v>80</v>
      </c>
      <c r="C72" s="16" t="s">
        <v>31</v>
      </c>
      <c r="D72" s="14"/>
      <c r="E72" s="18">
        <v>2</v>
      </c>
      <c r="F72" s="13">
        <v>2</v>
      </c>
      <c r="G72" s="13">
        <v>803.19</v>
      </c>
      <c r="H72" s="90">
        <f>F72*G72/1000</f>
        <v>1.6063800000000001</v>
      </c>
      <c r="I72" s="13">
        <v>0</v>
      </c>
    </row>
    <row r="73" spans="1:9" ht="15.75" hidden="1" customHeight="1">
      <c r="A73" s="29"/>
      <c r="B73" s="92" t="s">
        <v>81</v>
      </c>
      <c r="C73" s="16"/>
      <c r="D73" s="14"/>
      <c r="E73" s="18"/>
      <c r="F73" s="13"/>
      <c r="G73" s="13" t="s">
        <v>146</v>
      </c>
      <c r="H73" s="90" t="s">
        <v>146</v>
      </c>
      <c r="I73" s="13"/>
    </row>
    <row r="74" spans="1:9" ht="15.75" hidden="1" customHeight="1">
      <c r="A74" s="29"/>
      <c r="B74" s="42" t="s">
        <v>147</v>
      </c>
      <c r="C74" s="16" t="s">
        <v>82</v>
      </c>
      <c r="D74" s="14"/>
      <c r="E74" s="18"/>
      <c r="F74" s="13">
        <v>1.35</v>
      </c>
      <c r="G74" s="13">
        <v>2494</v>
      </c>
      <c r="H74" s="90">
        <f t="shared" ref="H74" si="9">SUM(F74*G74/1000)</f>
        <v>3.3669000000000002</v>
      </c>
      <c r="I74" s="13">
        <v>0</v>
      </c>
    </row>
    <row r="75" spans="1:9" ht="15.75" hidden="1" customHeight="1">
      <c r="A75" s="29"/>
      <c r="B75" s="78" t="s">
        <v>144</v>
      </c>
      <c r="C75" s="92"/>
      <c r="D75" s="31"/>
      <c r="E75" s="32"/>
      <c r="F75" s="79"/>
      <c r="G75" s="79"/>
      <c r="H75" s="93">
        <f>SUM(H57:H74)</f>
        <v>7351.9809012699989</v>
      </c>
      <c r="I75" s="79"/>
    </row>
    <row r="76" spans="1:9" ht="15.75" hidden="1" customHeight="1">
      <c r="A76" s="29"/>
      <c r="B76" s="73" t="s">
        <v>145</v>
      </c>
      <c r="C76" s="16"/>
      <c r="D76" s="14"/>
      <c r="E76" s="67"/>
      <c r="F76" s="13">
        <v>1</v>
      </c>
      <c r="G76" s="13">
        <v>17359.8</v>
      </c>
      <c r="H76" s="90">
        <f>G76*F76/1000</f>
        <v>17.3598</v>
      </c>
      <c r="I76" s="13">
        <v>0</v>
      </c>
    </row>
    <row r="77" spans="1:9" ht="15.75" customHeight="1">
      <c r="A77" s="129" t="s">
        <v>154</v>
      </c>
      <c r="B77" s="130"/>
      <c r="C77" s="130"/>
      <c r="D77" s="130"/>
      <c r="E77" s="130"/>
      <c r="F77" s="130"/>
      <c r="G77" s="130"/>
      <c r="H77" s="130"/>
      <c r="I77" s="131"/>
    </row>
    <row r="78" spans="1:9" ht="15.75" customHeight="1">
      <c r="A78" s="29">
        <v>18</v>
      </c>
      <c r="B78" s="73" t="s">
        <v>148</v>
      </c>
      <c r="C78" s="16" t="s">
        <v>58</v>
      </c>
      <c r="D78" s="94" t="s">
        <v>59</v>
      </c>
      <c r="E78" s="13">
        <v>4224.3999999999996</v>
      </c>
      <c r="F78" s="13">
        <f>SUM(E78*12)</f>
        <v>50692.799999999996</v>
      </c>
      <c r="G78" s="13">
        <v>2.1</v>
      </c>
      <c r="H78" s="90">
        <f>SUM(F78*G78/1000)</f>
        <v>106.45487999999999</v>
      </c>
      <c r="I78" s="13">
        <f>F78/12*G78</f>
        <v>8871.24</v>
      </c>
    </row>
    <row r="79" spans="1:9" ht="31.5" customHeight="1">
      <c r="A79" s="29">
        <v>19</v>
      </c>
      <c r="B79" s="14" t="s">
        <v>83</v>
      </c>
      <c r="C79" s="16"/>
      <c r="D79" s="94" t="s">
        <v>59</v>
      </c>
      <c r="E79" s="48">
        <v>4224.3999999999996</v>
      </c>
      <c r="F79" s="13">
        <f>E79*12</f>
        <v>50692.799999999996</v>
      </c>
      <c r="G79" s="13">
        <v>1.63</v>
      </c>
      <c r="H79" s="90">
        <f>F79*G79/1000</f>
        <v>82.629263999999978</v>
      </c>
      <c r="I79" s="13">
        <f>F79/12*G79</f>
        <v>6885.771999999999</v>
      </c>
    </row>
    <row r="80" spans="1:9" ht="15.75" customHeight="1">
      <c r="A80" s="43"/>
      <c r="B80" s="34" t="s">
        <v>86</v>
      </c>
      <c r="C80" s="35"/>
      <c r="D80" s="15"/>
      <c r="E80" s="15"/>
      <c r="F80" s="15"/>
      <c r="G80" s="18"/>
      <c r="H80" s="18"/>
      <c r="I80" s="32">
        <f>SUM(I16+I17+I18+I20+I21+I26+I27+I38+I39+I41+I42+I44+I50+I54+I57+I60+I62+I78+I79)</f>
        <v>89130.270971333317</v>
      </c>
    </row>
    <row r="81" spans="1:9" ht="15.75" customHeight="1">
      <c r="A81" s="147" t="s">
        <v>64</v>
      </c>
      <c r="B81" s="148"/>
      <c r="C81" s="148"/>
      <c r="D81" s="148"/>
      <c r="E81" s="148"/>
      <c r="F81" s="148"/>
      <c r="G81" s="148"/>
      <c r="H81" s="148"/>
      <c r="I81" s="149"/>
    </row>
    <row r="82" spans="1:9" ht="15.75" customHeight="1">
      <c r="A82" s="29">
        <v>20</v>
      </c>
      <c r="B82" s="46" t="s">
        <v>97</v>
      </c>
      <c r="C82" s="49" t="s">
        <v>101</v>
      </c>
      <c r="D82" s="42"/>
      <c r="E82" s="13"/>
      <c r="F82" s="13">
        <v>11</v>
      </c>
      <c r="G82" s="13">
        <v>589.84</v>
      </c>
      <c r="H82" s="90">
        <f t="shared" ref="H82:H86" si="10">G82*F82/1000</f>
        <v>6.4882400000000011</v>
      </c>
      <c r="I82" s="13">
        <f>G82*4</f>
        <v>2359.36</v>
      </c>
    </row>
    <row r="83" spans="1:9" ht="15.75" customHeight="1">
      <c r="A83" s="29">
        <v>21</v>
      </c>
      <c r="B83" s="46" t="s">
        <v>188</v>
      </c>
      <c r="C83" s="49" t="s">
        <v>101</v>
      </c>
      <c r="D83" s="42"/>
      <c r="E83" s="13"/>
      <c r="F83" s="13">
        <v>5</v>
      </c>
      <c r="G83" s="13">
        <v>721.28</v>
      </c>
      <c r="H83" s="90">
        <f t="shared" si="10"/>
        <v>3.6063999999999998</v>
      </c>
      <c r="I83" s="13">
        <f>G83*4</f>
        <v>2885.12</v>
      </c>
    </row>
    <row r="84" spans="1:9" ht="15.75" customHeight="1">
      <c r="A84" s="29">
        <v>22</v>
      </c>
      <c r="B84" s="46" t="s">
        <v>189</v>
      </c>
      <c r="C84" s="49" t="s">
        <v>101</v>
      </c>
      <c r="D84" s="42"/>
      <c r="E84" s="13"/>
      <c r="F84" s="13">
        <v>1</v>
      </c>
      <c r="G84" s="13">
        <v>187.02</v>
      </c>
      <c r="H84" s="90">
        <f t="shared" si="10"/>
        <v>0.18702000000000002</v>
      </c>
      <c r="I84" s="13">
        <f>G84</f>
        <v>187.02</v>
      </c>
    </row>
    <row r="85" spans="1:9" ht="15.75" customHeight="1">
      <c r="A85" s="29">
        <v>23</v>
      </c>
      <c r="B85" s="57" t="s">
        <v>197</v>
      </c>
      <c r="C85" s="58" t="s">
        <v>100</v>
      </c>
      <c r="D85" s="42"/>
      <c r="E85" s="13"/>
      <c r="F85" s="13">
        <f>(3*8+5+10+10+10+10+20+20+5+10+20+3+15+10+10+15+20+10+10+5+10+15+10+15+15+15+10+10+20+10)/3</f>
        <v>124</v>
      </c>
      <c r="G85" s="13">
        <v>1120.8900000000001</v>
      </c>
      <c r="H85" s="90">
        <f>G85*F85/1000</f>
        <v>138.99036000000001</v>
      </c>
      <c r="I85" s="13">
        <f>G85*((3+3+3)/3)</f>
        <v>3362.67</v>
      </c>
    </row>
    <row r="86" spans="1:9" ht="15.75" customHeight="1">
      <c r="A86" s="29">
        <v>24</v>
      </c>
      <c r="B86" s="46" t="s">
        <v>199</v>
      </c>
      <c r="C86" s="49" t="s">
        <v>191</v>
      </c>
      <c r="D86" s="42"/>
      <c r="E86" s="13"/>
      <c r="F86" s="13">
        <v>4</v>
      </c>
      <c r="G86" s="13">
        <v>1046.06</v>
      </c>
      <c r="H86" s="90">
        <f t="shared" si="10"/>
        <v>4.18424</v>
      </c>
      <c r="I86" s="13">
        <f>G86*2</f>
        <v>2092.12</v>
      </c>
    </row>
    <row r="87" spans="1:9" ht="15.75" customHeight="1">
      <c r="A87" s="29">
        <v>25</v>
      </c>
      <c r="B87" s="46" t="s">
        <v>200</v>
      </c>
      <c r="C87" s="49" t="s">
        <v>138</v>
      </c>
      <c r="D87" s="42"/>
      <c r="E87" s="13"/>
      <c r="F87" s="13">
        <v>5</v>
      </c>
      <c r="G87" s="13">
        <v>108</v>
      </c>
      <c r="H87" s="90">
        <f>G87*F87/1000</f>
        <v>0.54</v>
      </c>
      <c r="I87" s="13">
        <f>G87</f>
        <v>108</v>
      </c>
    </row>
    <row r="88" spans="1:9" ht="15.75" customHeight="1">
      <c r="A88" s="29">
        <v>26</v>
      </c>
      <c r="B88" s="57" t="s">
        <v>192</v>
      </c>
      <c r="C88" s="49" t="s">
        <v>138</v>
      </c>
      <c r="D88" s="42"/>
      <c r="E88" s="13"/>
      <c r="F88" s="13">
        <v>3</v>
      </c>
      <c r="G88" s="13">
        <v>118</v>
      </c>
      <c r="H88" s="90">
        <f>G88*F88/1000</f>
        <v>0.35399999999999998</v>
      </c>
      <c r="I88" s="13">
        <f>G88</f>
        <v>118</v>
      </c>
    </row>
    <row r="89" spans="1:9" ht="15.75" customHeight="1">
      <c r="A89" s="29">
        <v>27</v>
      </c>
      <c r="B89" s="57" t="s">
        <v>193</v>
      </c>
      <c r="C89" s="49" t="s">
        <v>138</v>
      </c>
      <c r="D89" s="42"/>
      <c r="E89" s="13"/>
      <c r="F89" s="13">
        <v>1</v>
      </c>
      <c r="G89" s="13">
        <v>175</v>
      </c>
      <c r="H89" s="90">
        <f>G89*F89/1000</f>
        <v>0.17499999999999999</v>
      </c>
      <c r="I89" s="13">
        <f>G89</f>
        <v>175</v>
      </c>
    </row>
    <row r="90" spans="1:9" ht="15.75" customHeight="1">
      <c r="A90" s="29">
        <v>28</v>
      </c>
      <c r="B90" s="46" t="s">
        <v>194</v>
      </c>
      <c r="C90" s="49" t="s">
        <v>138</v>
      </c>
      <c r="D90" s="42"/>
      <c r="E90" s="13"/>
      <c r="F90" s="13">
        <v>2</v>
      </c>
      <c r="G90" s="13">
        <v>27.36</v>
      </c>
      <c r="H90" s="90">
        <f t="shared" ref="H90:H95" si="11">G90*F90/1000</f>
        <v>5.4719999999999998E-2</v>
      </c>
      <c r="I90" s="13">
        <f>G90*2</f>
        <v>54.72</v>
      </c>
    </row>
    <row r="91" spans="1:9" ht="15.75" customHeight="1">
      <c r="A91" s="29">
        <v>29</v>
      </c>
      <c r="B91" s="46" t="s">
        <v>195</v>
      </c>
      <c r="C91" s="49" t="s">
        <v>196</v>
      </c>
      <c r="D91" s="42"/>
      <c r="E91" s="13"/>
      <c r="F91" s="13">
        <v>2.5</v>
      </c>
      <c r="G91" s="13">
        <v>293.17</v>
      </c>
      <c r="H91" s="90">
        <f t="shared" si="11"/>
        <v>0.73292500000000005</v>
      </c>
      <c r="I91" s="13">
        <f>G91</f>
        <v>293.17</v>
      </c>
    </row>
    <row r="92" spans="1:9" ht="15.75" customHeight="1">
      <c r="A92" s="29">
        <v>30</v>
      </c>
      <c r="B92" s="46" t="s">
        <v>198</v>
      </c>
      <c r="C92" s="49" t="s">
        <v>138</v>
      </c>
      <c r="D92" s="42"/>
      <c r="E92" s="13"/>
      <c r="F92" s="13">
        <v>640</v>
      </c>
      <c r="G92" s="13">
        <v>53.42</v>
      </c>
      <c r="H92" s="90">
        <f t="shared" si="11"/>
        <v>34.188800000000001</v>
      </c>
      <c r="I92" s="13">
        <f>G92*80</f>
        <v>4273.6000000000004</v>
      </c>
    </row>
    <row r="93" spans="1:9" ht="15.75" customHeight="1">
      <c r="A93" s="29">
        <v>31</v>
      </c>
      <c r="B93" s="46" t="s">
        <v>88</v>
      </c>
      <c r="C93" s="49" t="s">
        <v>138</v>
      </c>
      <c r="D93" s="42"/>
      <c r="E93" s="13"/>
      <c r="F93" s="13">
        <v>6</v>
      </c>
      <c r="G93" s="13">
        <v>189.88</v>
      </c>
      <c r="H93" s="90">
        <f t="shared" si="11"/>
        <v>1.1392800000000001</v>
      </c>
      <c r="I93" s="13">
        <f>G93</f>
        <v>189.88</v>
      </c>
    </row>
    <row r="94" spans="1:9" ht="31.5" customHeight="1">
      <c r="A94" s="29">
        <v>32</v>
      </c>
      <c r="B94" s="46" t="s">
        <v>85</v>
      </c>
      <c r="C94" s="16" t="s">
        <v>31</v>
      </c>
      <c r="D94" s="42"/>
      <c r="E94" s="13"/>
      <c r="F94" s="13">
        <v>2</v>
      </c>
      <c r="G94" s="13">
        <v>83.36</v>
      </c>
      <c r="H94" s="13">
        <f t="shared" si="11"/>
        <v>0.16672000000000001</v>
      </c>
      <c r="I94" s="13">
        <f>G94</f>
        <v>83.36</v>
      </c>
    </row>
    <row r="95" spans="1:9" ht="31.5" customHeight="1">
      <c r="A95" s="29">
        <v>33</v>
      </c>
      <c r="B95" s="46" t="s">
        <v>164</v>
      </c>
      <c r="C95" s="49" t="s">
        <v>40</v>
      </c>
      <c r="D95" s="42"/>
      <c r="E95" s="13"/>
      <c r="F95" s="13">
        <v>0.05</v>
      </c>
      <c r="G95" s="13">
        <v>3581.13</v>
      </c>
      <c r="H95" s="90">
        <f t="shared" si="11"/>
        <v>0.17905650000000004</v>
      </c>
      <c r="I95" s="13">
        <f>G95*0.01</f>
        <v>35.811300000000003</v>
      </c>
    </row>
    <row r="96" spans="1:9" ht="15.75" customHeight="1">
      <c r="A96" s="29"/>
      <c r="B96" s="40" t="s">
        <v>54</v>
      </c>
      <c r="C96" s="36"/>
      <c r="D96" s="44"/>
      <c r="E96" s="36">
        <v>1</v>
      </c>
      <c r="F96" s="36"/>
      <c r="G96" s="36"/>
      <c r="H96" s="36"/>
      <c r="I96" s="32">
        <f>SUM(I82:I95)</f>
        <v>16217.8313</v>
      </c>
    </row>
    <row r="97" spans="1:9" ht="15.75" customHeight="1">
      <c r="A97" s="29"/>
      <c r="B97" s="42" t="s">
        <v>84</v>
      </c>
      <c r="C97" s="15"/>
      <c r="D97" s="15"/>
      <c r="E97" s="37"/>
      <c r="F97" s="37"/>
      <c r="G97" s="38"/>
      <c r="H97" s="38"/>
      <c r="I97" s="17">
        <v>0</v>
      </c>
    </row>
    <row r="98" spans="1:9" ht="15.75" customHeight="1">
      <c r="A98" s="45"/>
      <c r="B98" s="41" t="s">
        <v>180</v>
      </c>
      <c r="C98" s="33"/>
      <c r="D98" s="33"/>
      <c r="E98" s="33"/>
      <c r="F98" s="33"/>
      <c r="G98" s="33"/>
      <c r="H98" s="33"/>
      <c r="I98" s="39">
        <f>I80+I96</f>
        <v>105348.10227133332</v>
      </c>
    </row>
    <row r="99" spans="1:9" ht="15.75" customHeight="1">
      <c r="A99" s="143" t="s">
        <v>277</v>
      </c>
      <c r="B99" s="143"/>
      <c r="C99" s="143"/>
      <c r="D99" s="143"/>
      <c r="E99" s="143"/>
      <c r="F99" s="143"/>
      <c r="G99" s="143"/>
      <c r="H99" s="143"/>
      <c r="I99" s="143"/>
    </row>
    <row r="100" spans="1:9" ht="15.75" customHeight="1">
      <c r="A100" s="56"/>
      <c r="B100" s="144" t="s">
        <v>278</v>
      </c>
      <c r="C100" s="144"/>
      <c r="D100" s="144"/>
      <c r="E100" s="144"/>
      <c r="F100" s="144"/>
      <c r="G100" s="144"/>
      <c r="H100" s="71"/>
      <c r="I100" s="3"/>
    </row>
    <row r="101" spans="1:9" ht="15.75" customHeight="1">
      <c r="A101" s="50"/>
      <c r="B101" s="145" t="s">
        <v>6</v>
      </c>
      <c r="C101" s="145"/>
      <c r="D101" s="145"/>
      <c r="E101" s="145"/>
      <c r="F101" s="145"/>
      <c r="G101" s="145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46" t="s">
        <v>7</v>
      </c>
      <c r="B103" s="146"/>
      <c r="C103" s="146"/>
      <c r="D103" s="146"/>
      <c r="E103" s="146"/>
      <c r="F103" s="146"/>
      <c r="G103" s="146"/>
      <c r="H103" s="146"/>
      <c r="I103" s="146"/>
    </row>
    <row r="104" spans="1:9" ht="15.75" customHeight="1">
      <c r="A104" s="146" t="s">
        <v>8</v>
      </c>
      <c r="B104" s="146"/>
      <c r="C104" s="146"/>
      <c r="D104" s="146"/>
      <c r="E104" s="146"/>
      <c r="F104" s="146"/>
      <c r="G104" s="146"/>
      <c r="H104" s="146"/>
      <c r="I104" s="146"/>
    </row>
    <row r="105" spans="1:9" ht="15.75" customHeight="1">
      <c r="A105" s="138" t="s">
        <v>65</v>
      </c>
      <c r="B105" s="138"/>
      <c r="C105" s="138"/>
      <c r="D105" s="138"/>
      <c r="E105" s="138"/>
      <c r="F105" s="138"/>
      <c r="G105" s="138"/>
      <c r="H105" s="138"/>
      <c r="I105" s="138"/>
    </row>
    <row r="106" spans="1:9" ht="15.75" customHeight="1">
      <c r="A106" s="11"/>
    </row>
    <row r="107" spans="1:9" ht="15.75" customHeight="1">
      <c r="A107" s="151" t="s">
        <v>9</v>
      </c>
      <c r="B107" s="151"/>
      <c r="C107" s="151"/>
      <c r="D107" s="151"/>
      <c r="E107" s="151"/>
      <c r="F107" s="151"/>
      <c r="G107" s="151"/>
      <c r="H107" s="151"/>
      <c r="I107" s="151"/>
    </row>
    <row r="108" spans="1:9" ht="15.75" customHeight="1">
      <c r="A108" s="4"/>
    </row>
    <row r="109" spans="1:9" ht="15.75" customHeight="1">
      <c r="B109" s="53" t="s">
        <v>10</v>
      </c>
      <c r="C109" s="152" t="s">
        <v>98</v>
      </c>
      <c r="D109" s="152"/>
      <c r="E109" s="152"/>
      <c r="F109" s="69"/>
      <c r="I109" s="52"/>
    </row>
    <row r="110" spans="1:9" ht="15.75" customHeight="1">
      <c r="A110" s="50"/>
      <c r="C110" s="145" t="s">
        <v>11</v>
      </c>
      <c r="D110" s="145"/>
      <c r="E110" s="145"/>
      <c r="F110" s="24"/>
      <c r="I110" s="51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53" t="s">
        <v>13</v>
      </c>
      <c r="C112" s="153"/>
      <c r="D112" s="153"/>
      <c r="E112" s="153"/>
      <c r="F112" s="70"/>
      <c r="I112" s="52"/>
    </row>
    <row r="113" spans="1:9" ht="15.75" customHeight="1">
      <c r="A113" s="50"/>
      <c r="C113" s="128" t="s">
        <v>11</v>
      </c>
      <c r="D113" s="128"/>
      <c r="E113" s="128"/>
      <c r="F113" s="50"/>
      <c r="I113" s="51" t="s">
        <v>12</v>
      </c>
    </row>
    <row r="114" spans="1:9" ht="15.75" customHeight="1">
      <c r="A114" s="4" t="s">
        <v>14</v>
      </c>
    </row>
    <row r="115" spans="1:9" ht="15.75" customHeight="1">
      <c r="A115" s="154" t="s">
        <v>15</v>
      </c>
      <c r="B115" s="154"/>
      <c r="C115" s="154"/>
      <c r="D115" s="154"/>
      <c r="E115" s="154"/>
      <c r="F115" s="154"/>
      <c r="G115" s="154"/>
      <c r="H115" s="154"/>
      <c r="I115" s="154"/>
    </row>
    <row r="116" spans="1:9" ht="45" customHeight="1">
      <c r="A116" s="150" t="s">
        <v>16</v>
      </c>
      <c r="B116" s="150"/>
      <c r="C116" s="150"/>
      <c r="D116" s="150"/>
      <c r="E116" s="150"/>
      <c r="F116" s="150"/>
      <c r="G116" s="150"/>
      <c r="H116" s="150"/>
      <c r="I116" s="150"/>
    </row>
    <row r="117" spans="1:9" ht="30" customHeight="1">
      <c r="A117" s="150" t="s">
        <v>17</v>
      </c>
      <c r="B117" s="150"/>
      <c r="C117" s="150"/>
      <c r="D117" s="150"/>
      <c r="E117" s="150"/>
      <c r="F117" s="150"/>
      <c r="G117" s="150"/>
      <c r="H117" s="150"/>
      <c r="I117" s="150"/>
    </row>
    <row r="118" spans="1:9" ht="30" customHeight="1">
      <c r="A118" s="150" t="s">
        <v>21</v>
      </c>
      <c r="B118" s="150"/>
      <c r="C118" s="150"/>
      <c r="D118" s="150"/>
      <c r="E118" s="150"/>
      <c r="F118" s="150"/>
      <c r="G118" s="150"/>
      <c r="H118" s="150"/>
      <c r="I118" s="150"/>
    </row>
    <row r="119" spans="1:9" ht="15" customHeight="1">
      <c r="A119" s="150" t="s">
        <v>20</v>
      </c>
      <c r="B119" s="150"/>
      <c r="C119" s="150"/>
      <c r="D119" s="150"/>
      <c r="E119" s="150"/>
      <c r="F119" s="150"/>
      <c r="G119" s="150"/>
      <c r="H119" s="150"/>
      <c r="I119" s="150"/>
    </row>
  </sheetData>
  <autoFilter ref="I12:I60"/>
  <mergeCells count="29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8:I28"/>
    <mergeCell ref="A45:I45"/>
    <mergeCell ref="A55:I55"/>
    <mergeCell ref="A99:I99"/>
    <mergeCell ref="B100:G100"/>
    <mergeCell ref="B101:G101"/>
    <mergeCell ref="A103:I103"/>
    <mergeCell ref="A104:I104"/>
    <mergeCell ref="A81:I81"/>
    <mergeCell ref="R64:U64"/>
    <mergeCell ref="A77:I77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254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255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43039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73" t="s">
        <v>68</v>
      </c>
      <c r="C25" s="74" t="s">
        <v>34</v>
      </c>
      <c r="D25" s="73" t="s">
        <v>256</v>
      </c>
      <c r="E25" s="48">
        <v>0.1</v>
      </c>
      <c r="F25" s="75">
        <f>SUM(E25*365)</f>
        <v>36.5</v>
      </c>
      <c r="G25" s="75">
        <v>147.03</v>
      </c>
      <c r="H25" s="76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81" t="s">
        <v>23</v>
      </c>
      <c r="C26" s="74" t="s">
        <v>24</v>
      </c>
      <c r="D26" s="73" t="s">
        <v>256</v>
      </c>
      <c r="E26" s="48">
        <v>4224.3999999999996</v>
      </c>
      <c r="F26" s="75">
        <f>SUM(E26*12)</f>
        <v>50692.799999999996</v>
      </c>
      <c r="G26" s="75">
        <v>4.59</v>
      </c>
      <c r="H26" s="76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39" t="s">
        <v>92</v>
      </c>
      <c r="B27" s="139"/>
      <c r="C27" s="139"/>
      <c r="D27" s="139"/>
      <c r="E27" s="139"/>
      <c r="F27" s="139"/>
      <c r="G27" s="139"/>
      <c r="H27" s="139"/>
      <c r="I27" s="139"/>
      <c r="J27" s="22"/>
      <c r="K27" s="8"/>
      <c r="L27" s="8"/>
      <c r="M27" s="8"/>
    </row>
    <row r="28" spans="1:13" ht="15.75" customHeight="1">
      <c r="A28" s="29"/>
      <c r="B28" s="96" t="s">
        <v>28</v>
      </c>
      <c r="C28" s="74"/>
      <c r="D28" s="73"/>
      <c r="E28" s="48"/>
      <c r="F28" s="75"/>
      <c r="G28" s="75"/>
      <c r="H28" s="76"/>
      <c r="I28" s="13"/>
      <c r="J28" s="22"/>
      <c r="K28" s="8"/>
      <c r="L28" s="8"/>
      <c r="M28" s="8"/>
    </row>
    <row r="29" spans="1:13" ht="15.75" customHeight="1">
      <c r="A29" s="29">
        <v>8</v>
      </c>
      <c r="B29" s="73" t="s">
        <v>125</v>
      </c>
      <c r="C29" s="74" t="s">
        <v>126</v>
      </c>
      <c r="D29" s="73" t="s">
        <v>127</v>
      </c>
      <c r="E29" s="75">
        <v>1414.6</v>
      </c>
      <c r="F29" s="75">
        <f>SUM(E29*52/1000)</f>
        <v>73.559200000000004</v>
      </c>
      <c r="G29" s="75">
        <v>155.88999999999999</v>
      </c>
      <c r="H29" s="76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73" t="s">
        <v>166</v>
      </c>
      <c r="C30" s="74" t="s">
        <v>126</v>
      </c>
      <c r="D30" s="73" t="s">
        <v>128</v>
      </c>
      <c r="E30" s="75">
        <v>632.4</v>
      </c>
      <c r="F30" s="75">
        <f>SUM(E30*78/1000)</f>
        <v>49.327199999999998</v>
      </c>
      <c r="G30" s="75">
        <v>258.63</v>
      </c>
      <c r="H30" s="76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73" t="s">
        <v>27</v>
      </c>
      <c r="C31" s="74" t="s">
        <v>126</v>
      </c>
      <c r="D31" s="73" t="s">
        <v>57</v>
      </c>
      <c r="E31" s="75">
        <v>1414.6</v>
      </c>
      <c r="F31" s="75">
        <f>SUM(E31/1000)</f>
        <v>1.4145999999999999</v>
      </c>
      <c r="G31" s="75">
        <v>3020.33</v>
      </c>
      <c r="H31" s="76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73" t="s">
        <v>129</v>
      </c>
      <c r="C32" s="74" t="s">
        <v>42</v>
      </c>
      <c r="D32" s="73" t="s">
        <v>67</v>
      </c>
      <c r="E32" s="75">
        <v>6</v>
      </c>
      <c r="F32" s="75">
        <f>SUM(E32*155/100)</f>
        <v>9.3000000000000007</v>
      </c>
      <c r="G32" s="75">
        <v>1302.02</v>
      </c>
      <c r="H32" s="76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73" t="s">
        <v>130</v>
      </c>
      <c r="C33" s="74" t="s">
        <v>31</v>
      </c>
      <c r="D33" s="73" t="s">
        <v>67</v>
      </c>
      <c r="E33" s="80">
        <v>0.33333333333333331</v>
      </c>
      <c r="F33" s="75">
        <f>155/3</f>
        <v>51.666666666666664</v>
      </c>
      <c r="G33" s="75">
        <v>56.69</v>
      </c>
      <c r="H33" s="76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73" t="s">
        <v>69</v>
      </c>
      <c r="C34" s="74" t="s">
        <v>34</v>
      </c>
      <c r="D34" s="73" t="s">
        <v>71</v>
      </c>
      <c r="E34" s="48"/>
      <c r="F34" s="75">
        <v>4</v>
      </c>
      <c r="G34" s="75">
        <v>191.32</v>
      </c>
      <c r="H34" s="76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73" t="s">
        <v>70</v>
      </c>
      <c r="C35" s="74" t="s">
        <v>33</v>
      </c>
      <c r="D35" s="73" t="s">
        <v>71</v>
      </c>
      <c r="E35" s="48"/>
      <c r="F35" s="75">
        <v>3</v>
      </c>
      <c r="G35" s="75">
        <v>1136.33</v>
      </c>
      <c r="H35" s="76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96" t="s">
        <v>5</v>
      </c>
      <c r="C36" s="74"/>
      <c r="D36" s="73"/>
      <c r="E36" s="48"/>
      <c r="F36" s="75"/>
      <c r="G36" s="75"/>
      <c r="H36" s="76" t="s">
        <v>146</v>
      </c>
      <c r="I36" s="13"/>
      <c r="J36" s="23"/>
    </row>
    <row r="37" spans="1:14" ht="15.75" hidden="1" customHeight="1">
      <c r="A37" s="29">
        <v>8</v>
      </c>
      <c r="B37" s="73" t="s">
        <v>26</v>
      </c>
      <c r="C37" s="74" t="s">
        <v>33</v>
      </c>
      <c r="D37" s="73"/>
      <c r="E37" s="48"/>
      <c r="F37" s="75">
        <v>20</v>
      </c>
      <c r="G37" s="75">
        <v>1527.22</v>
      </c>
      <c r="H37" s="76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73" t="s">
        <v>72</v>
      </c>
      <c r="C38" s="74" t="s">
        <v>29</v>
      </c>
      <c r="D38" s="73" t="s">
        <v>182</v>
      </c>
      <c r="E38" s="75">
        <v>632.4</v>
      </c>
      <c r="F38" s="75">
        <f>SUM(E38*50/1000)</f>
        <v>31.62</v>
      </c>
      <c r="G38" s="75">
        <v>2102.71</v>
      </c>
      <c r="H38" s="76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73" t="s">
        <v>104</v>
      </c>
      <c r="C39" s="74" t="s">
        <v>132</v>
      </c>
      <c r="D39" s="73" t="s">
        <v>71</v>
      </c>
      <c r="E39" s="48"/>
      <c r="F39" s="75">
        <v>30</v>
      </c>
      <c r="G39" s="75">
        <v>213.2</v>
      </c>
      <c r="H39" s="76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73" t="s">
        <v>73</v>
      </c>
      <c r="C40" s="74" t="s">
        <v>29</v>
      </c>
      <c r="D40" s="73" t="s">
        <v>133</v>
      </c>
      <c r="E40" s="75">
        <v>106</v>
      </c>
      <c r="F40" s="75">
        <f>SUM(E40*155/1000)</f>
        <v>16.43</v>
      </c>
      <c r="G40" s="75">
        <v>350.75</v>
      </c>
      <c r="H40" s="76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73" t="s">
        <v>89</v>
      </c>
      <c r="C41" s="74" t="s">
        <v>126</v>
      </c>
      <c r="D41" s="73" t="s">
        <v>183</v>
      </c>
      <c r="E41" s="75">
        <v>106</v>
      </c>
      <c r="F41" s="75">
        <f>SUM(E41*70/1000)</f>
        <v>7.42</v>
      </c>
      <c r="G41" s="75">
        <v>5803.28</v>
      </c>
      <c r="H41" s="76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73" t="s">
        <v>135</v>
      </c>
      <c r="C42" s="74" t="s">
        <v>126</v>
      </c>
      <c r="D42" s="73" t="s">
        <v>74</v>
      </c>
      <c r="E42" s="75">
        <v>106</v>
      </c>
      <c r="F42" s="75">
        <f>SUM(E42*45/1000)</f>
        <v>4.7699999999999996</v>
      </c>
      <c r="G42" s="75">
        <v>428.7</v>
      </c>
      <c r="H42" s="76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73" t="s">
        <v>75</v>
      </c>
      <c r="C43" s="74" t="s">
        <v>34</v>
      </c>
      <c r="D43" s="73"/>
      <c r="E43" s="48"/>
      <c r="F43" s="75">
        <v>0.9</v>
      </c>
      <c r="G43" s="75">
        <v>798</v>
      </c>
      <c r="H43" s="76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0" t="s">
        <v>152</v>
      </c>
      <c r="B44" s="141"/>
      <c r="C44" s="141"/>
      <c r="D44" s="141"/>
      <c r="E44" s="141"/>
      <c r="F44" s="141"/>
      <c r="G44" s="141"/>
      <c r="H44" s="141"/>
      <c r="I44" s="142"/>
      <c r="J44" s="23"/>
      <c r="L44" s="19"/>
      <c r="M44" s="20"/>
      <c r="N44" s="21"/>
    </row>
    <row r="45" spans="1:14" ht="15.75" hidden="1" customHeight="1">
      <c r="A45" s="29">
        <v>12</v>
      </c>
      <c r="B45" s="73" t="s">
        <v>184</v>
      </c>
      <c r="C45" s="74" t="s">
        <v>126</v>
      </c>
      <c r="D45" s="73" t="s">
        <v>44</v>
      </c>
      <c r="E45" s="48">
        <v>1150.5999999999999</v>
      </c>
      <c r="F45" s="75">
        <f>SUM(E45*2/1000)</f>
        <v>2.3011999999999997</v>
      </c>
      <c r="G45" s="13">
        <v>849.49</v>
      </c>
      <c r="H45" s="76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73" t="s">
        <v>37</v>
      </c>
      <c r="C46" s="74" t="s">
        <v>126</v>
      </c>
      <c r="D46" s="73" t="s">
        <v>44</v>
      </c>
      <c r="E46" s="48">
        <v>108.96</v>
      </c>
      <c r="F46" s="75">
        <f>SUM(E46*2/1000)</f>
        <v>0.21791999999999997</v>
      </c>
      <c r="G46" s="13">
        <v>579.48</v>
      </c>
      <c r="H46" s="76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73" t="s">
        <v>38</v>
      </c>
      <c r="C47" s="74" t="s">
        <v>126</v>
      </c>
      <c r="D47" s="73" t="s">
        <v>44</v>
      </c>
      <c r="E47" s="48">
        <v>4224.3999999999996</v>
      </c>
      <c r="F47" s="75">
        <f>SUM(E47*2/1000)</f>
        <v>8.4487999999999985</v>
      </c>
      <c r="G47" s="13">
        <v>579.48</v>
      </c>
      <c r="H47" s="76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73" t="s">
        <v>39</v>
      </c>
      <c r="C48" s="74" t="s">
        <v>126</v>
      </c>
      <c r="D48" s="73" t="s">
        <v>44</v>
      </c>
      <c r="E48" s="48">
        <v>3059.7</v>
      </c>
      <c r="F48" s="75">
        <f>SUM(E48*2/1000)</f>
        <v>6.1193999999999997</v>
      </c>
      <c r="G48" s="13">
        <v>606.77</v>
      </c>
      <c r="H48" s="76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16</v>
      </c>
      <c r="B49" s="73" t="s">
        <v>60</v>
      </c>
      <c r="C49" s="74" t="s">
        <v>126</v>
      </c>
      <c r="D49" s="73" t="s">
        <v>167</v>
      </c>
      <c r="E49" s="48">
        <v>1150.5999999999999</v>
      </c>
      <c r="F49" s="75">
        <f>SUM(E49*5/1000)</f>
        <v>5.7530000000000001</v>
      </c>
      <c r="G49" s="13">
        <v>1213.55</v>
      </c>
      <c r="H49" s="76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customHeight="1">
      <c r="A50" s="29">
        <v>12</v>
      </c>
      <c r="B50" s="73" t="s">
        <v>136</v>
      </c>
      <c r="C50" s="74" t="s">
        <v>126</v>
      </c>
      <c r="D50" s="73" t="s">
        <v>44</v>
      </c>
      <c r="E50" s="48">
        <v>1150.5999999999999</v>
      </c>
      <c r="F50" s="75">
        <f>SUM(E50*2/1000)</f>
        <v>2.3011999999999997</v>
      </c>
      <c r="G50" s="13">
        <v>1213.55</v>
      </c>
      <c r="H50" s="76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customHeight="1">
      <c r="A51" s="29">
        <v>13</v>
      </c>
      <c r="B51" s="73" t="s">
        <v>137</v>
      </c>
      <c r="C51" s="74" t="s">
        <v>40</v>
      </c>
      <c r="D51" s="73" t="s">
        <v>44</v>
      </c>
      <c r="E51" s="48">
        <v>30</v>
      </c>
      <c r="F51" s="75">
        <f>SUM(E51*2/100)</f>
        <v>0.6</v>
      </c>
      <c r="G51" s="13">
        <v>2730.49</v>
      </c>
      <c r="H51" s="76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customHeight="1">
      <c r="A52" s="29">
        <v>14</v>
      </c>
      <c r="B52" s="73" t="s">
        <v>41</v>
      </c>
      <c r="C52" s="74" t="s">
        <v>42</v>
      </c>
      <c r="D52" s="73" t="s">
        <v>44</v>
      </c>
      <c r="E52" s="48">
        <v>1</v>
      </c>
      <c r="F52" s="75">
        <v>0.02</v>
      </c>
      <c r="G52" s="13">
        <v>5652.13</v>
      </c>
      <c r="H52" s="76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customHeight="1">
      <c r="A53" s="29">
        <v>15</v>
      </c>
      <c r="B53" s="73" t="s">
        <v>43</v>
      </c>
      <c r="C53" s="74" t="s">
        <v>138</v>
      </c>
      <c r="D53" s="73" t="s">
        <v>76</v>
      </c>
      <c r="E53" s="48">
        <v>158</v>
      </c>
      <c r="F53" s="75">
        <f>SUM(E53)*3</f>
        <v>474</v>
      </c>
      <c r="G53" s="13">
        <v>65.67</v>
      </c>
      <c r="H53" s="76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0" t="s">
        <v>153</v>
      </c>
      <c r="B54" s="141"/>
      <c r="C54" s="141"/>
      <c r="D54" s="141"/>
      <c r="E54" s="141"/>
      <c r="F54" s="141"/>
      <c r="G54" s="141"/>
      <c r="H54" s="141"/>
      <c r="I54" s="142"/>
      <c r="J54" s="23"/>
      <c r="L54" s="19"/>
      <c r="M54" s="20"/>
      <c r="N54" s="21"/>
    </row>
    <row r="55" spans="1:22" ht="15.75" hidden="1" customHeight="1">
      <c r="A55" s="29"/>
      <c r="B55" s="96" t="s">
        <v>45</v>
      </c>
      <c r="C55" s="74"/>
      <c r="D55" s="73"/>
      <c r="E55" s="48"/>
      <c r="F55" s="75"/>
      <c r="G55" s="75"/>
      <c r="H55" s="76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73" t="s">
        <v>186</v>
      </c>
      <c r="C56" s="74" t="s">
        <v>117</v>
      </c>
      <c r="D56" s="73" t="s">
        <v>187</v>
      </c>
      <c r="E56" s="105">
        <v>6</v>
      </c>
      <c r="F56" s="13">
        <f>E56*8/100</f>
        <v>0.48</v>
      </c>
      <c r="G56" s="75">
        <v>1547.28</v>
      </c>
      <c r="H56" s="76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106"/>
      <c r="B57" s="73" t="s">
        <v>109</v>
      </c>
      <c r="C57" s="74" t="s">
        <v>110</v>
      </c>
      <c r="D57" s="73" t="s">
        <v>44</v>
      </c>
      <c r="E57" s="48">
        <v>6</v>
      </c>
      <c r="F57" s="75">
        <v>12</v>
      </c>
      <c r="G57" s="82">
        <v>180.78</v>
      </c>
      <c r="H57" s="76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97" t="s">
        <v>46</v>
      </c>
      <c r="C58" s="83"/>
      <c r="D58" s="84"/>
      <c r="E58" s="85"/>
      <c r="F58" s="87"/>
      <c r="G58" s="13"/>
      <c r="H58" s="89"/>
      <c r="I58" s="13"/>
      <c r="J58" s="23"/>
      <c r="L58" s="19"/>
      <c r="M58" s="20"/>
      <c r="N58" s="21"/>
    </row>
    <row r="59" spans="1:22" ht="15.75" customHeight="1">
      <c r="A59" s="29">
        <v>16</v>
      </c>
      <c r="B59" s="84" t="s">
        <v>105</v>
      </c>
      <c r="C59" s="83" t="s">
        <v>25</v>
      </c>
      <c r="D59" s="84"/>
      <c r="E59" s="85">
        <v>232.6</v>
      </c>
      <c r="F59" s="86">
        <f>E59*12</f>
        <v>2791.2</v>
      </c>
      <c r="G59" s="107">
        <v>2.5960000000000001</v>
      </c>
      <c r="H59" s="87">
        <f>G59*F59</f>
        <v>7245.9551999999994</v>
      </c>
      <c r="I59" s="13">
        <f>F59/12*G59</f>
        <v>603.82960000000003</v>
      </c>
      <c r="J59" s="23"/>
      <c r="L59" s="19"/>
    </row>
    <row r="60" spans="1:22" ht="15.75" customHeight="1">
      <c r="A60" s="29"/>
      <c r="B60" s="97" t="s">
        <v>48</v>
      </c>
      <c r="C60" s="83"/>
      <c r="D60" s="84"/>
      <c r="E60" s="85"/>
      <c r="F60" s="86"/>
      <c r="G60" s="86"/>
      <c r="H60" s="87" t="s">
        <v>146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17</v>
      </c>
      <c r="B61" s="14" t="s">
        <v>49</v>
      </c>
      <c r="C61" s="16" t="s">
        <v>138</v>
      </c>
      <c r="D61" s="14" t="s">
        <v>71</v>
      </c>
      <c r="E61" s="18">
        <v>15</v>
      </c>
      <c r="F61" s="75">
        <v>15</v>
      </c>
      <c r="G61" s="13">
        <v>209.41</v>
      </c>
      <c r="H61" s="90">
        <f t="shared" ref="H61:H68" si="8">SUM(F61*G61/1000)</f>
        <v>3.1411500000000001</v>
      </c>
      <c r="I61" s="13">
        <f>G61*6</f>
        <v>1256.46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50</v>
      </c>
      <c r="C62" s="16" t="s">
        <v>138</v>
      </c>
      <c r="D62" s="14" t="s">
        <v>71</v>
      </c>
      <c r="E62" s="18">
        <v>5</v>
      </c>
      <c r="F62" s="75">
        <v>5</v>
      </c>
      <c r="G62" s="13">
        <v>71.790000000000006</v>
      </c>
      <c r="H62" s="90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51</v>
      </c>
      <c r="C63" s="16" t="s">
        <v>140</v>
      </c>
      <c r="D63" s="14" t="s">
        <v>57</v>
      </c>
      <c r="E63" s="48">
        <v>18281</v>
      </c>
      <c r="F63" s="13">
        <f>SUM(E63/100)</f>
        <v>182.81</v>
      </c>
      <c r="G63" s="13">
        <v>199.77</v>
      </c>
      <c r="H63" s="90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>
        <v>25</v>
      </c>
      <c r="B64" s="14" t="s">
        <v>52</v>
      </c>
      <c r="C64" s="16" t="s">
        <v>141</v>
      </c>
      <c r="D64" s="14"/>
      <c r="E64" s="48">
        <v>18281</v>
      </c>
      <c r="F64" s="13">
        <f>SUM(E64/1000)</f>
        <v>18.280999999999999</v>
      </c>
      <c r="G64" s="13">
        <v>155.57</v>
      </c>
      <c r="H64" s="90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53</v>
      </c>
      <c r="C65" s="16" t="s">
        <v>82</v>
      </c>
      <c r="D65" s="14" t="s">
        <v>57</v>
      </c>
      <c r="E65" s="48">
        <v>2730</v>
      </c>
      <c r="F65" s="13">
        <f>SUM(E65/100)</f>
        <v>27.3</v>
      </c>
      <c r="G65" s="13">
        <v>1953.52</v>
      </c>
      <c r="H65" s="90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91" t="s">
        <v>142</v>
      </c>
      <c r="C66" s="16" t="s">
        <v>34</v>
      </c>
      <c r="D66" s="14"/>
      <c r="E66" s="48">
        <v>16.399999999999999</v>
      </c>
      <c r="F66" s="13">
        <f>SUM(E66)</f>
        <v>16.399999999999999</v>
      </c>
      <c r="G66" s="13">
        <v>40.270000000000003</v>
      </c>
      <c r="H66" s="90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91" t="s">
        <v>143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37.71</v>
      </c>
      <c r="H67" s="90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>
        <v>19</v>
      </c>
      <c r="B68" s="14" t="s">
        <v>61</v>
      </c>
      <c r="C68" s="16" t="s">
        <v>62</v>
      </c>
      <c r="D68" s="14" t="s">
        <v>57</v>
      </c>
      <c r="E68" s="18">
        <v>7</v>
      </c>
      <c r="F68" s="75">
        <f>SUM(E68)</f>
        <v>7</v>
      </c>
      <c r="G68" s="13">
        <v>46.97</v>
      </c>
      <c r="H68" s="90">
        <f t="shared" si="8"/>
        <v>0.32878999999999997</v>
      </c>
      <c r="I68" s="13">
        <f>G68*7</f>
        <v>328.78999999999996</v>
      </c>
    </row>
    <row r="69" spans="1:9" ht="15.75" hidden="1" customHeight="1">
      <c r="A69" s="29"/>
      <c r="B69" s="104" t="s">
        <v>78</v>
      </c>
      <c r="C69" s="16"/>
      <c r="D69" s="14"/>
      <c r="E69" s="18"/>
      <c r="F69" s="13"/>
      <c r="G69" s="13"/>
      <c r="H69" s="90" t="s">
        <v>146</v>
      </c>
      <c r="I69" s="13"/>
    </row>
    <row r="70" spans="1:9" ht="15.75" hidden="1" customHeight="1">
      <c r="A70" s="29"/>
      <c r="B70" s="14" t="s">
        <v>96</v>
      </c>
      <c r="C70" s="16" t="s">
        <v>31</v>
      </c>
      <c r="D70" s="14"/>
      <c r="E70" s="18">
        <v>1</v>
      </c>
      <c r="F70" s="75">
        <f>SUM(E70)</f>
        <v>1</v>
      </c>
      <c r="G70" s="13">
        <v>337.58</v>
      </c>
      <c r="H70" s="90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80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90">
        <f>F71*G71/1000</f>
        <v>1.6063800000000001</v>
      </c>
      <c r="I71" s="13">
        <v>0</v>
      </c>
    </row>
    <row r="72" spans="1:9" ht="15.75" hidden="1" customHeight="1">
      <c r="A72" s="29"/>
      <c r="B72" s="92" t="s">
        <v>81</v>
      </c>
      <c r="C72" s="16"/>
      <c r="D72" s="14"/>
      <c r="E72" s="18"/>
      <c r="F72" s="13"/>
      <c r="G72" s="13" t="s">
        <v>146</v>
      </c>
      <c r="H72" s="90" t="s">
        <v>146</v>
      </c>
      <c r="I72" s="13"/>
    </row>
    <row r="73" spans="1:9" ht="15.75" hidden="1" customHeight="1">
      <c r="A73" s="29"/>
      <c r="B73" s="42" t="s">
        <v>147</v>
      </c>
      <c r="C73" s="16" t="s">
        <v>82</v>
      </c>
      <c r="D73" s="14"/>
      <c r="E73" s="18"/>
      <c r="F73" s="13">
        <v>1.35</v>
      </c>
      <c r="G73" s="13">
        <v>2494</v>
      </c>
      <c r="H73" s="90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78" t="s">
        <v>144</v>
      </c>
      <c r="C74" s="92"/>
      <c r="D74" s="31"/>
      <c r="E74" s="32"/>
      <c r="F74" s="79"/>
      <c r="G74" s="79"/>
      <c r="H74" s="93">
        <f>SUM(H56:H73)</f>
        <v>7351.9809012699989</v>
      </c>
      <c r="I74" s="79"/>
    </row>
    <row r="75" spans="1:9" ht="15.75" hidden="1" customHeight="1">
      <c r="A75" s="29">
        <v>29</v>
      </c>
      <c r="B75" s="73" t="s">
        <v>145</v>
      </c>
      <c r="C75" s="16"/>
      <c r="D75" s="14"/>
      <c r="E75" s="67"/>
      <c r="F75" s="13">
        <v>1</v>
      </c>
      <c r="G75" s="13">
        <v>17359.8</v>
      </c>
      <c r="H75" s="90">
        <f>G75*F75/1000</f>
        <v>17.3598</v>
      </c>
      <c r="I75" s="13">
        <f>G75</f>
        <v>17359.8</v>
      </c>
    </row>
    <row r="76" spans="1:9" ht="15.75" customHeight="1">
      <c r="A76" s="129" t="s">
        <v>154</v>
      </c>
      <c r="B76" s="130"/>
      <c r="C76" s="130"/>
      <c r="D76" s="130"/>
      <c r="E76" s="130"/>
      <c r="F76" s="130"/>
      <c r="G76" s="130"/>
      <c r="H76" s="130"/>
      <c r="I76" s="131"/>
    </row>
    <row r="77" spans="1:9" ht="15.75" customHeight="1">
      <c r="A77" s="29">
        <v>18</v>
      </c>
      <c r="B77" s="73" t="s">
        <v>148</v>
      </c>
      <c r="C77" s="16" t="s">
        <v>58</v>
      </c>
      <c r="D77" s="94" t="s">
        <v>59</v>
      </c>
      <c r="E77" s="13">
        <v>4224.3999999999996</v>
      </c>
      <c r="F77" s="13">
        <f>SUM(E77*12)</f>
        <v>50692.799999999996</v>
      </c>
      <c r="G77" s="13">
        <v>2.1</v>
      </c>
      <c r="H77" s="90">
        <f>SUM(F77*G77/1000)</f>
        <v>106.45487999999999</v>
      </c>
      <c r="I77" s="13">
        <f>F77/12*G77</f>
        <v>8871.24</v>
      </c>
    </row>
    <row r="78" spans="1:9" ht="31.5" customHeight="1">
      <c r="A78" s="29">
        <v>19</v>
      </c>
      <c r="B78" s="14" t="s">
        <v>83</v>
      </c>
      <c r="C78" s="16"/>
      <c r="D78" s="94" t="s">
        <v>59</v>
      </c>
      <c r="E78" s="48">
        <v>4224.3999999999996</v>
      </c>
      <c r="F78" s="13">
        <f>E78*12</f>
        <v>50692.799999999996</v>
      </c>
      <c r="G78" s="13">
        <v>1.63</v>
      </c>
      <c r="H78" s="90">
        <f>F78*G78/1000</f>
        <v>82.629263999999978</v>
      </c>
      <c r="I78" s="13">
        <f>F78/12*G78</f>
        <v>6885.771999999999</v>
      </c>
    </row>
    <row r="79" spans="1:9" ht="15.75" customHeight="1">
      <c r="A79" s="102"/>
      <c r="B79" s="34" t="s">
        <v>86</v>
      </c>
      <c r="C79" s="35"/>
      <c r="D79" s="15"/>
      <c r="E79" s="15"/>
      <c r="F79" s="15"/>
      <c r="G79" s="18"/>
      <c r="H79" s="18"/>
      <c r="I79" s="32">
        <f>SUM(I16+I17+I18+I20+I21+I25+I26+I29+I30+I32+I33+I50+I51+I52+I53+I59+I61+I77+I78)</f>
        <v>72625.212947555556</v>
      </c>
    </row>
    <row r="80" spans="1:9" ht="15.75" customHeight="1">
      <c r="A80" s="147" t="s">
        <v>64</v>
      </c>
      <c r="B80" s="148"/>
      <c r="C80" s="148"/>
      <c r="D80" s="148"/>
      <c r="E80" s="148"/>
      <c r="F80" s="148"/>
      <c r="G80" s="148"/>
      <c r="H80" s="148"/>
      <c r="I80" s="149"/>
    </row>
    <row r="81" spans="1:9" ht="31.5" customHeight="1">
      <c r="A81" s="29">
        <v>20</v>
      </c>
      <c r="B81" s="46" t="s">
        <v>97</v>
      </c>
      <c r="C81" s="49" t="s">
        <v>101</v>
      </c>
      <c r="D81" s="42"/>
      <c r="E81" s="13"/>
      <c r="F81" s="13">
        <v>11</v>
      </c>
      <c r="G81" s="13">
        <v>589.84</v>
      </c>
      <c r="H81" s="90">
        <f t="shared" ref="H81:H83" si="12">G81*F81/1000</f>
        <v>6.4882400000000011</v>
      </c>
      <c r="I81" s="13">
        <f>G81*2</f>
        <v>1179.68</v>
      </c>
    </row>
    <row r="82" spans="1:9" ht="15.75" customHeight="1">
      <c r="A82" s="29">
        <v>21</v>
      </c>
      <c r="B82" s="57" t="s">
        <v>197</v>
      </c>
      <c r="C82" s="58" t="s">
        <v>100</v>
      </c>
      <c r="D82" s="117"/>
      <c r="E82" s="118"/>
      <c r="F82" s="118">
        <f>(3*7+5+10+10+10+10+20+20+5+10+20+3)/3</f>
        <v>48</v>
      </c>
      <c r="G82" s="118">
        <v>1120.8900000000001</v>
      </c>
      <c r="H82" s="119">
        <f t="shared" si="12"/>
        <v>53.802720000000001</v>
      </c>
      <c r="I82" s="13">
        <f>G82*((15+10+10+15+20+10+10+5+10)/3)</f>
        <v>39231.15</v>
      </c>
    </row>
    <row r="83" spans="1:9" ht="15.75" customHeight="1">
      <c r="A83" s="29">
        <v>22</v>
      </c>
      <c r="B83" s="46" t="s">
        <v>198</v>
      </c>
      <c r="C83" s="49" t="s">
        <v>138</v>
      </c>
      <c r="D83" s="42"/>
      <c r="E83" s="13"/>
      <c r="F83" s="13">
        <v>960</v>
      </c>
      <c r="G83" s="13">
        <v>53.42</v>
      </c>
      <c r="H83" s="90">
        <f t="shared" si="12"/>
        <v>51.283200000000008</v>
      </c>
      <c r="I83" s="13">
        <f>G83*80</f>
        <v>4273.6000000000004</v>
      </c>
    </row>
    <row r="84" spans="1:9" ht="15.75" customHeight="1">
      <c r="A84" s="29">
        <v>23</v>
      </c>
      <c r="B84" s="46" t="s">
        <v>79</v>
      </c>
      <c r="C84" s="49" t="s">
        <v>214</v>
      </c>
      <c r="D84" s="117"/>
      <c r="E84" s="118"/>
      <c r="F84" s="118">
        <f>9/10</f>
        <v>0.9</v>
      </c>
      <c r="G84" s="118">
        <v>657.87</v>
      </c>
      <c r="H84" s="119">
        <f>G84*F84/1000</f>
        <v>0.59208299999999991</v>
      </c>
      <c r="I84" s="13">
        <f>G84*0.1</f>
        <v>65.787000000000006</v>
      </c>
    </row>
    <row r="85" spans="1:9" ht="15.75" customHeight="1">
      <c r="A85" s="29">
        <v>24</v>
      </c>
      <c r="B85" s="46" t="s">
        <v>217</v>
      </c>
      <c r="C85" s="49" t="s">
        <v>90</v>
      </c>
      <c r="D85" s="117"/>
      <c r="E85" s="118"/>
      <c r="F85" s="118">
        <v>6</v>
      </c>
      <c r="G85" s="118">
        <v>195.85</v>
      </c>
      <c r="H85" s="119">
        <f>G85*F85/1000</f>
        <v>1.1750999999999998</v>
      </c>
      <c r="I85" s="13">
        <f>G85</f>
        <v>195.85</v>
      </c>
    </row>
    <row r="86" spans="1:9" ht="31.5" customHeight="1">
      <c r="A86" s="29">
        <v>25</v>
      </c>
      <c r="B86" s="46" t="s">
        <v>261</v>
      </c>
      <c r="C86" s="49" t="s">
        <v>190</v>
      </c>
      <c r="D86" s="117"/>
      <c r="E86" s="118"/>
      <c r="F86" s="118">
        <v>4</v>
      </c>
      <c r="G86" s="118">
        <v>1365</v>
      </c>
      <c r="H86" s="118">
        <f t="shared" ref="H86" si="13">G86*F86/1000</f>
        <v>5.46</v>
      </c>
      <c r="I86" s="13">
        <f>G86*4</f>
        <v>5460</v>
      </c>
    </row>
    <row r="87" spans="1:9" ht="15.75" customHeight="1">
      <c r="A87" s="29">
        <v>26</v>
      </c>
      <c r="B87" s="46" t="s">
        <v>262</v>
      </c>
      <c r="C87" s="49" t="s">
        <v>263</v>
      </c>
      <c r="D87" s="120"/>
      <c r="E87" s="17"/>
      <c r="F87" s="118">
        <v>2</v>
      </c>
      <c r="G87" s="118">
        <v>663.38</v>
      </c>
      <c r="H87" s="119">
        <f>G87*F87/1000</f>
        <v>1.3267599999999999</v>
      </c>
      <c r="I87" s="13">
        <f>G87</f>
        <v>663.38</v>
      </c>
    </row>
    <row r="88" spans="1:9" ht="31.5" customHeight="1">
      <c r="A88" s="29">
        <v>27</v>
      </c>
      <c r="B88" s="115" t="s">
        <v>264</v>
      </c>
      <c r="C88" s="116" t="s">
        <v>56</v>
      </c>
      <c r="D88" s="42"/>
      <c r="E88" s="13"/>
      <c r="F88" s="13">
        <f>4/100</f>
        <v>0.04</v>
      </c>
      <c r="G88" s="13">
        <v>16545.96</v>
      </c>
      <c r="H88" s="90">
        <f t="shared" ref="H88:H89" si="14">G88*F88/1000</f>
        <v>0.66183839999999994</v>
      </c>
      <c r="I88" s="13">
        <f>G88*0.04</f>
        <v>661.83839999999998</v>
      </c>
    </row>
    <row r="89" spans="1:9" ht="15.75" customHeight="1">
      <c r="A89" s="29">
        <v>28</v>
      </c>
      <c r="B89" s="46" t="s">
        <v>265</v>
      </c>
      <c r="C89" s="49" t="s">
        <v>170</v>
      </c>
      <c r="D89" s="47"/>
      <c r="E89" s="18"/>
      <c r="F89" s="13">
        <v>22</v>
      </c>
      <c r="G89" s="13">
        <f>103656/303</f>
        <v>342.0990099009901</v>
      </c>
      <c r="H89" s="90">
        <f t="shared" si="14"/>
        <v>7.5261782178217818</v>
      </c>
      <c r="I89" s="13">
        <f>G89*22</f>
        <v>7526.1782178217818</v>
      </c>
    </row>
    <row r="90" spans="1:9" ht="15.75" customHeight="1">
      <c r="A90" s="29"/>
      <c r="B90" s="40" t="s">
        <v>54</v>
      </c>
      <c r="C90" s="36"/>
      <c r="D90" s="44"/>
      <c r="E90" s="36">
        <v>1</v>
      </c>
      <c r="F90" s="36"/>
      <c r="G90" s="36"/>
      <c r="H90" s="36"/>
      <c r="I90" s="32">
        <f>SUM(I81:I89)</f>
        <v>59257.463617821777</v>
      </c>
    </row>
    <row r="91" spans="1:9" ht="15.75" customHeight="1">
      <c r="A91" s="29"/>
      <c r="B91" s="42" t="s">
        <v>84</v>
      </c>
      <c r="C91" s="15"/>
      <c r="D91" s="15"/>
      <c r="E91" s="37"/>
      <c r="F91" s="37"/>
      <c r="G91" s="38"/>
      <c r="H91" s="38"/>
      <c r="I91" s="17">
        <v>0</v>
      </c>
    </row>
    <row r="92" spans="1:9" ht="15.75" customHeight="1">
      <c r="A92" s="45"/>
      <c r="B92" s="41" t="s">
        <v>180</v>
      </c>
      <c r="C92" s="33"/>
      <c r="D92" s="33"/>
      <c r="E92" s="33"/>
      <c r="F92" s="33"/>
      <c r="G92" s="33"/>
      <c r="H92" s="33"/>
      <c r="I92" s="39">
        <f>I79+I90</f>
        <v>131882.67656537733</v>
      </c>
    </row>
    <row r="93" spans="1:9" ht="15.75" customHeight="1">
      <c r="A93" s="143" t="s">
        <v>266</v>
      </c>
      <c r="B93" s="143"/>
      <c r="C93" s="143"/>
      <c r="D93" s="143"/>
      <c r="E93" s="143"/>
      <c r="F93" s="143"/>
      <c r="G93" s="143"/>
      <c r="H93" s="143"/>
      <c r="I93" s="143"/>
    </row>
    <row r="94" spans="1:9" ht="15.75" customHeight="1">
      <c r="A94" s="56"/>
      <c r="B94" s="144" t="s">
        <v>267</v>
      </c>
      <c r="C94" s="144"/>
      <c r="D94" s="144"/>
      <c r="E94" s="144"/>
      <c r="F94" s="144"/>
      <c r="G94" s="144"/>
      <c r="H94" s="71"/>
      <c r="I94" s="3"/>
    </row>
    <row r="95" spans="1:9" ht="15.75" customHeight="1">
      <c r="A95" s="100"/>
      <c r="B95" s="145" t="s">
        <v>6</v>
      </c>
      <c r="C95" s="145"/>
      <c r="D95" s="145"/>
      <c r="E95" s="145"/>
      <c r="F95" s="145"/>
      <c r="G95" s="145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46" t="s">
        <v>7</v>
      </c>
      <c r="B97" s="146"/>
      <c r="C97" s="146"/>
      <c r="D97" s="146"/>
      <c r="E97" s="146"/>
      <c r="F97" s="146"/>
      <c r="G97" s="146"/>
      <c r="H97" s="146"/>
      <c r="I97" s="146"/>
    </row>
    <row r="98" spans="1:9" ht="15.75" customHeight="1">
      <c r="A98" s="146" t="s">
        <v>8</v>
      </c>
      <c r="B98" s="146"/>
      <c r="C98" s="146"/>
      <c r="D98" s="146"/>
      <c r="E98" s="146"/>
      <c r="F98" s="146"/>
      <c r="G98" s="146"/>
      <c r="H98" s="146"/>
      <c r="I98" s="146"/>
    </row>
    <row r="99" spans="1:9" ht="15.75" customHeight="1">
      <c r="A99" s="138" t="s">
        <v>65</v>
      </c>
      <c r="B99" s="138"/>
      <c r="C99" s="138"/>
      <c r="D99" s="138"/>
      <c r="E99" s="138"/>
      <c r="F99" s="138"/>
      <c r="G99" s="138"/>
      <c r="H99" s="138"/>
      <c r="I99" s="138"/>
    </row>
    <row r="100" spans="1:9" ht="15.75" customHeight="1">
      <c r="A100" s="11"/>
    </row>
    <row r="101" spans="1:9" ht="15.75" customHeight="1">
      <c r="A101" s="151" t="s">
        <v>9</v>
      </c>
      <c r="B101" s="151"/>
      <c r="C101" s="151"/>
      <c r="D101" s="151"/>
      <c r="E101" s="151"/>
      <c r="F101" s="151"/>
      <c r="G101" s="151"/>
      <c r="H101" s="151"/>
      <c r="I101" s="151"/>
    </row>
    <row r="102" spans="1:9" ht="15.75" customHeight="1">
      <c r="A102" s="4"/>
    </row>
    <row r="103" spans="1:9" ht="15.75" customHeight="1">
      <c r="B103" s="101" t="s">
        <v>10</v>
      </c>
      <c r="C103" s="152" t="s">
        <v>98</v>
      </c>
      <c r="D103" s="152"/>
      <c r="E103" s="152"/>
      <c r="F103" s="69"/>
      <c r="I103" s="99"/>
    </row>
    <row r="104" spans="1:9" ht="15.75" customHeight="1">
      <c r="A104" s="100"/>
      <c r="C104" s="145" t="s">
        <v>11</v>
      </c>
      <c r="D104" s="145"/>
      <c r="E104" s="145"/>
      <c r="F104" s="24"/>
      <c r="I104" s="98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101" t="s">
        <v>13</v>
      </c>
      <c r="C106" s="153"/>
      <c r="D106" s="153"/>
      <c r="E106" s="153"/>
      <c r="F106" s="70"/>
      <c r="I106" s="99"/>
    </row>
    <row r="107" spans="1:9" ht="15.75" customHeight="1">
      <c r="A107" s="100"/>
      <c r="C107" s="128" t="s">
        <v>11</v>
      </c>
      <c r="D107" s="128"/>
      <c r="E107" s="128"/>
      <c r="F107" s="100"/>
      <c r="I107" s="98" t="s">
        <v>12</v>
      </c>
    </row>
    <row r="108" spans="1:9" ht="15.75" customHeight="1">
      <c r="A108" s="4" t="s">
        <v>14</v>
      </c>
    </row>
    <row r="109" spans="1:9" ht="15.75" customHeight="1">
      <c r="A109" s="154" t="s">
        <v>15</v>
      </c>
      <c r="B109" s="154"/>
      <c r="C109" s="154"/>
      <c r="D109" s="154"/>
      <c r="E109" s="154"/>
      <c r="F109" s="154"/>
      <c r="G109" s="154"/>
      <c r="H109" s="154"/>
      <c r="I109" s="154"/>
    </row>
    <row r="110" spans="1:9" ht="45" customHeight="1">
      <c r="A110" s="150" t="s">
        <v>16</v>
      </c>
      <c r="B110" s="150"/>
      <c r="C110" s="150"/>
      <c r="D110" s="150"/>
      <c r="E110" s="150"/>
      <c r="F110" s="150"/>
      <c r="G110" s="150"/>
      <c r="H110" s="150"/>
      <c r="I110" s="150"/>
    </row>
    <row r="111" spans="1:9" ht="30" customHeight="1">
      <c r="A111" s="150" t="s">
        <v>17</v>
      </c>
      <c r="B111" s="150"/>
      <c r="C111" s="150"/>
      <c r="D111" s="150"/>
      <c r="E111" s="150"/>
      <c r="F111" s="150"/>
      <c r="G111" s="150"/>
      <c r="H111" s="150"/>
      <c r="I111" s="150"/>
    </row>
    <row r="112" spans="1:9" ht="30" customHeight="1">
      <c r="A112" s="150" t="s">
        <v>21</v>
      </c>
      <c r="B112" s="150"/>
      <c r="C112" s="150"/>
      <c r="D112" s="150"/>
      <c r="E112" s="150"/>
      <c r="F112" s="150"/>
      <c r="G112" s="150"/>
      <c r="H112" s="150"/>
      <c r="I112" s="150"/>
    </row>
    <row r="113" spans="1:9" ht="15" customHeight="1">
      <c r="A113" s="150" t="s">
        <v>20</v>
      </c>
      <c r="B113" s="150"/>
      <c r="C113" s="150"/>
      <c r="D113" s="150"/>
      <c r="E113" s="150"/>
      <c r="F113" s="150"/>
      <c r="G113" s="150"/>
      <c r="H113" s="150"/>
      <c r="I113" s="150"/>
    </row>
  </sheetData>
  <autoFilter ref="I12:I59"/>
  <mergeCells count="29">
    <mergeCell ref="A109:I109"/>
    <mergeCell ref="A110:I110"/>
    <mergeCell ref="A111:I111"/>
    <mergeCell ref="A112:I112"/>
    <mergeCell ref="A113:I113"/>
    <mergeCell ref="R63:U63"/>
    <mergeCell ref="C107:E107"/>
    <mergeCell ref="A80:I80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168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171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0">
        <v>43014</v>
      </c>
      <c r="J6" s="2"/>
      <c r="K6" s="2"/>
      <c r="L6" s="2"/>
      <c r="M6" s="2"/>
    </row>
    <row r="7" spans="1:13" ht="15.75" customHeight="1">
      <c r="B7" s="64"/>
      <c r="C7" s="64"/>
      <c r="D7" s="6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173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174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169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hidden="1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hidden="1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hidden="1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127.9</v>
      </c>
      <c r="F16" s="75">
        <f>SUM(E16*156/100)</f>
        <v>199.524</v>
      </c>
      <c r="G16" s="75">
        <v>187.48</v>
      </c>
      <c r="H16" s="76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hidden="1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511.6</v>
      </c>
      <c r="F17" s="75">
        <f>SUM(E17*104/100)</f>
        <v>532.06399999999996</v>
      </c>
      <c r="G17" s="75">
        <v>185.48</v>
      </c>
      <c r="H17" s="76">
        <f t="shared" si="0"/>
        <v>98.687230719999988</v>
      </c>
      <c r="I17" s="13">
        <f>F17/12*G17</f>
        <v>8223.9358933333315</v>
      </c>
      <c r="J17" s="22"/>
      <c r="K17" s="8"/>
      <c r="L17" s="8"/>
      <c r="M17" s="8"/>
    </row>
    <row r="18" spans="1:13" ht="15.75" hidden="1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639.5</v>
      </c>
      <c r="F18" s="75">
        <f>SUM(E18*24/100)</f>
        <v>153.47999999999999</v>
      </c>
      <c r="G18" s="75">
        <v>539.30999999999995</v>
      </c>
      <c r="H18" s="76">
        <f t="shared" si="0"/>
        <v>82.773298799999992</v>
      </c>
      <c r="I18" s="13">
        <f>F18/12*G18</f>
        <v>6897.7748999999985</v>
      </c>
      <c r="J18" s="22"/>
      <c r="K18" s="8"/>
      <c r="L18" s="8"/>
      <c r="M18" s="8"/>
    </row>
    <row r="19" spans="1:13" ht="15.75" hidden="1" customHeight="1">
      <c r="A19" s="29"/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181.91</v>
      </c>
      <c r="H19" s="76">
        <f t="shared" si="0"/>
        <v>0.6985344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58.4</v>
      </c>
      <c r="F20" s="75">
        <f>SUM(E20*12/100)</f>
        <v>7.0079999999999991</v>
      </c>
      <c r="G20" s="75">
        <v>232.92</v>
      </c>
      <c r="H20" s="76">
        <f t="shared" si="0"/>
        <v>1.6323033599999996</v>
      </c>
      <c r="I20" s="13">
        <f>F20/12*G20</f>
        <v>136.02527999999998</v>
      </c>
      <c r="J20" s="22"/>
      <c r="K20" s="8"/>
      <c r="L20" s="8"/>
      <c r="M20" s="8"/>
    </row>
    <row r="21" spans="1:13" ht="15.75" hidden="1" customHeight="1">
      <c r="A21" s="29">
        <v>5</v>
      </c>
      <c r="B21" s="73" t="s">
        <v>108</v>
      </c>
      <c r="C21" s="74" t="s">
        <v>117</v>
      </c>
      <c r="D21" s="73" t="s">
        <v>114</v>
      </c>
      <c r="E21" s="48">
        <v>9.08</v>
      </c>
      <c r="F21" s="75">
        <f>SUM(E21*6/100)</f>
        <v>0.54480000000000006</v>
      </c>
      <c r="G21" s="75">
        <v>231.03</v>
      </c>
      <c r="H21" s="76">
        <f t="shared" si="0"/>
        <v>0.12586514400000001</v>
      </c>
      <c r="I21" s="13">
        <f>F21/6*G21</f>
        <v>20.977524000000003</v>
      </c>
      <c r="J21" s="22"/>
      <c r="K21" s="8"/>
      <c r="L21" s="8"/>
      <c r="M21" s="8"/>
    </row>
    <row r="22" spans="1:13" ht="15.75" hidden="1" customHeight="1">
      <c r="A22" s="29"/>
      <c r="B22" s="73" t="s">
        <v>123</v>
      </c>
      <c r="C22" s="74" t="s">
        <v>56</v>
      </c>
      <c r="D22" s="73" t="s">
        <v>122</v>
      </c>
      <c r="E22" s="48">
        <v>714</v>
      </c>
      <c r="F22" s="75">
        <f>SUM(E22/100)</f>
        <v>7.14</v>
      </c>
      <c r="G22" s="75">
        <v>287.83999999999997</v>
      </c>
      <c r="H22" s="76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3" t="s">
        <v>124</v>
      </c>
      <c r="C23" s="74" t="s">
        <v>56</v>
      </c>
      <c r="D23" s="73" t="s">
        <v>122</v>
      </c>
      <c r="E23" s="68">
        <v>96.6</v>
      </c>
      <c r="F23" s="75">
        <f>SUM(E23/100)</f>
        <v>0.96599999999999997</v>
      </c>
      <c r="G23" s="75">
        <v>47.34</v>
      </c>
      <c r="H23" s="76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3" t="s">
        <v>112</v>
      </c>
      <c r="C24" s="74" t="s">
        <v>56</v>
      </c>
      <c r="D24" s="73" t="s">
        <v>122</v>
      </c>
      <c r="E24" s="18">
        <v>40</v>
      </c>
      <c r="F24" s="77">
        <v>4.8</v>
      </c>
      <c r="G24" s="75">
        <v>416.62</v>
      </c>
      <c r="H24" s="76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3" t="s">
        <v>113</v>
      </c>
      <c r="C25" s="74" t="s">
        <v>56</v>
      </c>
      <c r="D25" s="73" t="s">
        <v>122</v>
      </c>
      <c r="E25" s="48">
        <v>17</v>
      </c>
      <c r="F25" s="75">
        <f>SUM(E25/100)</f>
        <v>0.17</v>
      </c>
      <c r="G25" s="75">
        <v>556.74</v>
      </c>
      <c r="H25" s="76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5</v>
      </c>
      <c r="B26" s="73" t="s">
        <v>68</v>
      </c>
      <c r="C26" s="74" t="s">
        <v>34</v>
      </c>
      <c r="D26" s="73" t="s">
        <v>157</v>
      </c>
      <c r="E26" s="48">
        <v>0.1</v>
      </c>
      <c r="F26" s="75">
        <f>SUM(E26*365)</f>
        <v>36.5</v>
      </c>
      <c r="G26" s="75">
        <v>157.18</v>
      </c>
      <c r="H26" s="76">
        <f>SUM(F26*G26/1000)</f>
        <v>5.737070000000001</v>
      </c>
      <c r="I26" s="13">
        <f>F26/12*G26</f>
        <v>478.08916666666664</v>
      </c>
      <c r="J26" s="23"/>
    </row>
    <row r="27" spans="1:13" ht="15.75" hidden="1" customHeight="1">
      <c r="A27" s="29">
        <v>6</v>
      </c>
      <c r="B27" s="81" t="s">
        <v>23</v>
      </c>
      <c r="C27" s="74" t="s">
        <v>24</v>
      </c>
      <c r="D27" s="81" t="s">
        <v>157</v>
      </c>
      <c r="E27" s="48">
        <v>4591.2</v>
      </c>
      <c r="F27" s="75">
        <f>SUM(E27*12)</f>
        <v>55094.399999999994</v>
      </c>
      <c r="G27" s="75">
        <v>5.85</v>
      </c>
      <c r="H27" s="76">
        <f>SUM(F27*G27/1000)</f>
        <v>322.30223999999993</v>
      </c>
      <c r="I27" s="13">
        <f>F27/12*G27</f>
        <v>26858.519999999997</v>
      </c>
      <c r="J27" s="23"/>
    </row>
    <row r="28" spans="1:13" ht="15.75" hidden="1" customHeight="1">
      <c r="A28" s="139" t="s">
        <v>92</v>
      </c>
      <c r="B28" s="139"/>
      <c r="C28" s="139"/>
      <c r="D28" s="139"/>
      <c r="E28" s="139"/>
      <c r="F28" s="139"/>
      <c r="G28" s="139"/>
      <c r="H28" s="139"/>
      <c r="I28" s="139"/>
      <c r="J28" s="22"/>
      <c r="K28" s="8"/>
      <c r="L28" s="8"/>
      <c r="M28" s="8"/>
    </row>
    <row r="29" spans="1:13" ht="15.75" hidden="1" customHeight="1">
      <c r="A29" s="29"/>
      <c r="B29" s="96" t="s">
        <v>28</v>
      </c>
      <c r="C29" s="74"/>
      <c r="D29" s="73"/>
      <c r="E29" s="48"/>
      <c r="F29" s="75"/>
      <c r="G29" s="75"/>
      <c r="H29" s="76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73" t="s">
        <v>125</v>
      </c>
      <c r="C30" s="74" t="s">
        <v>126</v>
      </c>
      <c r="D30" s="73" t="s">
        <v>127</v>
      </c>
      <c r="E30" s="75">
        <v>844.95</v>
      </c>
      <c r="F30" s="75">
        <f>SUM(E30*52/1000)</f>
        <v>43.937400000000004</v>
      </c>
      <c r="G30" s="75">
        <v>166.65</v>
      </c>
      <c r="H30" s="76">
        <f>SUM(F30*G30/1000)</f>
        <v>7.3221677100000004</v>
      </c>
      <c r="I30" s="13">
        <f>F30/6*G30</f>
        <v>1220.3612850000002</v>
      </c>
      <c r="J30" s="22"/>
      <c r="K30" s="8"/>
      <c r="L30" s="8"/>
      <c r="M30" s="8"/>
    </row>
    <row r="31" spans="1:13" ht="31.5" hidden="1" customHeight="1">
      <c r="A31" s="29">
        <v>8</v>
      </c>
      <c r="B31" s="73" t="s">
        <v>166</v>
      </c>
      <c r="C31" s="74" t="s">
        <v>126</v>
      </c>
      <c r="D31" s="73" t="s">
        <v>128</v>
      </c>
      <c r="E31" s="75">
        <v>260.13</v>
      </c>
      <c r="F31" s="75">
        <f>SUM(E31*78/1000)</f>
        <v>20.290140000000001</v>
      </c>
      <c r="G31" s="75">
        <v>276.48</v>
      </c>
      <c r="H31" s="76">
        <f t="shared" ref="H31:H36" si="1">SUM(F31*G31/1000)</f>
        <v>5.6098179072000001</v>
      </c>
      <c r="I31" s="13">
        <f t="shared" ref="I31:I34" si="2">F31/6*G31</f>
        <v>934.96965120000016</v>
      </c>
      <c r="J31" s="22"/>
      <c r="K31" s="8"/>
      <c r="L31" s="8"/>
      <c r="M31" s="8"/>
    </row>
    <row r="32" spans="1:13" ht="15.75" hidden="1" customHeight="1">
      <c r="A32" s="29"/>
      <c r="B32" s="73" t="s">
        <v>27</v>
      </c>
      <c r="C32" s="74" t="s">
        <v>126</v>
      </c>
      <c r="D32" s="73" t="s">
        <v>57</v>
      </c>
      <c r="E32" s="75">
        <v>844.95</v>
      </c>
      <c r="F32" s="75">
        <f>SUM(E32/1000)</f>
        <v>0.84495000000000009</v>
      </c>
      <c r="G32" s="75">
        <v>3228.73</v>
      </c>
      <c r="H32" s="76">
        <f t="shared" si="1"/>
        <v>2.7281154135000003</v>
      </c>
      <c r="I32" s="13">
        <f>F32*G32</f>
        <v>2728.1154135000002</v>
      </c>
      <c r="J32" s="22"/>
      <c r="K32" s="8"/>
      <c r="L32" s="8"/>
      <c r="M32" s="8"/>
    </row>
    <row r="33" spans="1:14" ht="15.75" hidden="1" customHeight="1">
      <c r="A33" s="29">
        <v>9</v>
      </c>
      <c r="B33" s="73" t="s">
        <v>156</v>
      </c>
      <c r="C33" s="74" t="s">
        <v>42</v>
      </c>
      <c r="D33" s="73" t="s">
        <v>67</v>
      </c>
      <c r="E33" s="75">
        <v>8</v>
      </c>
      <c r="F33" s="75">
        <v>12.4</v>
      </c>
      <c r="G33" s="75">
        <v>1391.86</v>
      </c>
      <c r="H33" s="76">
        <v>17.259</v>
      </c>
      <c r="I33" s="13">
        <f t="shared" si="2"/>
        <v>2876.5106666666666</v>
      </c>
      <c r="J33" s="22"/>
      <c r="K33" s="8"/>
      <c r="L33" s="8"/>
      <c r="M33" s="8"/>
    </row>
    <row r="34" spans="1:14" ht="15.75" hidden="1" customHeight="1">
      <c r="A34" s="29">
        <v>10</v>
      </c>
      <c r="B34" s="73" t="s">
        <v>130</v>
      </c>
      <c r="C34" s="74" t="s">
        <v>31</v>
      </c>
      <c r="D34" s="73" t="s">
        <v>67</v>
      </c>
      <c r="E34" s="80">
        <v>0.33333333333333331</v>
      </c>
      <c r="F34" s="75">
        <f>155/3</f>
        <v>51.666666666666664</v>
      </c>
      <c r="G34" s="75">
        <v>60.6</v>
      </c>
      <c r="H34" s="76">
        <f>SUM(G34*155/3/1000)</f>
        <v>3.1309999999999998</v>
      </c>
      <c r="I34" s="13">
        <f t="shared" si="2"/>
        <v>521.83333333333337</v>
      </c>
      <c r="J34" s="22"/>
      <c r="K34" s="8"/>
    </row>
    <row r="35" spans="1:14" ht="15.75" hidden="1" customHeight="1">
      <c r="A35" s="29"/>
      <c r="B35" s="73" t="s">
        <v>69</v>
      </c>
      <c r="C35" s="74" t="s">
        <v>34</v>
      </c>
      <c r="D35" s="73" t="s">
        <v>71</v>
      </c>
      <c r="E35" s="48"/>
      <c r="F35" s="75">
        <v>3</v>
      </c>
      <c r="G35" s="75">
        <v>204.32</v>
      </c>
      <c r="H35" s="76">
        <f t="shared" si="1"/>
        <v>0.61296000000000006</v>
      </c>
      <c r="I35" s="13">
        <v>0</v>
      </c>
      <c r="J35" s="23"/>
    </row>
    <row r="36" spans="1:14" ht="15.75" hidden="1" customHeight="1">
      <c r="A36" s="29"/>
      <c r="B36" s="73" t="s">
        <v>70</v>
      </c>
      <c r="C36" s="74" t="s">
        <v>33</v>
      </c>
      <c r="D36" s="73" t="s">
        <v>71</v>
      </c>
      <c r="E36" s="48"/>
      <c r="F36" s="75">
        <v>2</v>
      </c>
      <c r="G36" s="75">
        <v>1214.73</v>
      </c>
      <c r="H36" s="76">
        <f t="shared" si="1"/>
        <v>2.4294600000000002</v>
      </c>
      <c r="I36" s="13">
        <v>0</v>
      </c>
      <c r="J36" s="23"/>
    </row>
    <row r="37" spans="1:14" ht="15.75" hidden="1" customHeight="1">
      <c r="A37" s="29"/>
      <c r="B37" s="96" t="s">
        <v>5</v>
      </c>
      <c r="C37" s="74"/>
      <c r="D37" s="73"/>
      <c r="E37" s="48"/>
      <c r="F37" s="75"/>
      <c r="G37" s="75"/>
      <c r="H37" s="76" t="s">
        <v>146</v>
      </c>
      <c r="I37" s="13"/>
      <c r="J37" s="23"/>
    </row>
    <row r="38" spans="1:14" ht="15.75" hidden="1" customHeight="1">
      <c r="A38" s="29">
        <v>8</v>
      </c>
      <c r="B38" s="73" t="s">
        <v>26</v>
      </c>
      <c r="C38" s="74" t="s">
        <v>33</v>
      </c>
      <c r="D38" s="73"/>
      <c r="E38" s="48"/>
      <c r="F38" s="75">
        <v>10</v>
      </c>
      <c r="G38" s="75">
        <v>1632.6</v>
      </c>
      <c r="H38" s="76">
        <f t="shared" ref="H38:H44" si="3">SUM(F38*G38/1000)</f>
        <v>16.326000000000001</v>
      </c>
      <c r="I38" s="13">
        <f>F38/6*G38</f>
        <v>2721</v>
      </c>
      <c r="J38" s="23"/>
    </row>
    <row r="39" spans="1:14" ht="15.75" hidden="1" customHeight="1">
      <c r="A39" s="29">
        <v>9</v>
      </c>
      <c r="B39" s="73" t="s">
        <v>158</v>
      </c>
      <c r="C39" s="74" t="s">
        <v>29</v>
      </c>
      <c r="D39" s="73" t="s">
        <v>131</v>
      </c>
      <c r="E39" s="75">
        <v>254.8</v>
      </c>
      <c r="F39" s="75">
        <f>SUM(E39*30/1000)</f>
        <v>7.6440000000000001</v>
      </c>
      <c r="G39" s="75">
        <v>2247.8000000000002</v>
      </c>
      <c r="H39" s="76">
        <f t="shared" si="3"/>
        <v>17.182183200000004</v>
      </c>
      <c r="I39" s="13">
        <f>F39/6*G39</f>
        <v>2863.6972000000001</v>
      </c>
      <c r="J39" s="23"/>
      <c r="L39" s="19"/>
      <c r="M39" s="20"/>
      <c r="N39" s="21"/>
    </row>
    <row r="40" spans="1:14" ht="15.75" hidden="1" customHeight="1">
      <c r="A40" s="29"/>
      <c r="B40" s="73" t="s">
        <v>104</v>
      </c>
      <c r="C40" s="74" t="s">
        <v>132</v>
      </c>
      <c r="D40" s="73" t="s">
        <v>71</v>
      </c>
      <c r="E40" s="48"/>
      <c r="F40" s="75">
        <v>40</v>
      </c>
      <c r="G40" s="75">
        <v>213.2</v>
      </c>
      <c r="H40" s="76">
        <f t="shared" si="3"/>
        <v>8.5280000000000005</v>
      </c>
      <c r="I40" s="13">
        <v>0</v>
      </c>
      <c r="J40" s="23"/>
      <c r="L40" s="19"/>
      <c r="M40" s="20"/>
      <c r="N40" s="21"/>
    </row>
    <row r="41" spans="1:14" ht="15.75" hidden="1" customHeight="1">
      <c r="A41" s="29">
        <v>10</v>
      </c>
      <c r="B41" s="73" t="s">
        <v>73</v>
      </c>
      <c r="C41" s="74" t="s">
        <v>29</v>
      </c>
      <c r="D41" s="73" t="s">
        <v>133</v>
      </c>
      <c r="E41" s="75">
        <v>260.13</v>
      </c>
      <c r="F41" s="75">
        <f>SUM(E41*155/1000)</f>
        <v>40.320149999999998</v>
      </c>
      <c r="G41" s="75">
        <v>374.95</v>
      </c>
      <c r="H41" s="76">
        <f t="shared" si="3"/>
        <v>15.118040242499999</v>
      </c>
      <c r="I41" s="13">
        <f>F41/6*G41</f>
        <v>2519.6733737499999</v>
      </c>
      <c r="J41" s="23"/>
      <c r="L41" s="19"/>
      <c r="M41" s="20"/>
      <c r="N41" s="21"/>
    </row>
    <row r="42" spans="1:14" ht="47.25" hidden="1" customHeight="1">
      <c r="A42" s="29">
        <v>11</v>
      </c>
      <c r="B42" s="73" t="s">
        <v>89</v>
      </c>
      <c r="C42" s="74" t="s">
        <v>126</v>
      </c>
      <c r="D42" s="73" t="s">
        <v>134</v>
      </c>
      <c r="E42" s="75">
        <v>132.72999999999999</v>
      </c>
      <c r="F42" s="75">
        <f>SUM(E42*35/1000)</f>
        <v>4.6455499999999992</v>
      </c>
      <c r="G42" s="75">
        <v>6203.7</v>
      </c>
      <c r="H42" s="76">
        <f t="shared" si="3"/>
        <v>28.819598534999994</v>
      </c>
      <c r="I42" s="13">
        <f>F42/6*G42</f>
        <v>4803.266422499999</v>
      </c>
      <c r="J42" s="23"/>
      <c r="L42" s="19"/>
      <c r="M42" s="20"/>
      <c r="N42" s="21"/>
    </row>
    <row r="43" spans="1:14" ht="15.75" hidden="1" customHeight="1">
      <c r="A43" s="29">
        <v>12</v>
      </c>
      <c r="B43" s="73" t="s">
        <v>135</v>
      </c>
      <c r="C43" s="74" t="s">
        <v>126</v>
      </c>
      <c r="D43" s="73" t="s">
        <v>74</v>
      </c>
      <c r="E43" s="75">
        <v>254.8</v>
      </c>
      <c r="F43" s="75">
        <f>SUM(E43*45/1000)</f>
        <v>11.465999999999999</v>
      </c>
      <c r="G43" s="75">
        <v>458.28</v>
      </c>
      <c r="H43" s="76">
        <f t="shared" si="3"/>
        <v>5.2546384799999997</v>
      </c>
      <c r="I43" s="13">
        <f>F43/6*G43</f>
        <v>875.77307999999982</v>
      </c>
      <c r="J43" s="23"/>
      <c r="L43" s="19"/>
      <c r="M43" s="20"/>
      <c r="N43" s="21"/>
    </row>
    <row r="44" spans="1:14" ht="15.75" hidden="1" customHeight="1">
      <c r="A44" s="29">
        <v>13</v>
      </c>
      <c r="B44" s="73" t="s">
        <v>75</v>
      </c>
      <c r="C44" s="74" t="s">
        <v>34</v>
      </c>
      <c r="D44" s="73"/>
      <c r="E44" s="48"/>
      <c r="F44" s="75">
        <v>0.9</v>
      </c>
      <c r="G44" s="75">
        <v>853.06</v>
      </c>
      <c r="H44" s="76">
        <f t="shared" si="3"/>
        <v>0.76775400000000005</v>
      </c>
      <c r="I44" s="13">
        <f>F44/6*G44</f>
        <v>127.95899999999999</v>
      </c>
      <c r="J44" s="23"/>
      <c r="L44" s="19"/>
      <c r="M44" s="20"/>
      <c r="N44" s="21"/>
    </row>
    <row r="45" spans="1:14" ht="15.75" hidden="1" customHeight="1">
      <c r="A45" s="140" t="s">
        <v>152</v>
      </c>
      <c r="B45" s="141"/>
      <c r="C45" s="141"/>
      <c r="D45" s="141"/>
      <c r="E45" s="141"/>
      <c r="F45" s="141"/>
      <c r="G45" s="141"/>
      <c r="H45" s="141"/>
      <c r="I45" s="142"/>
      <c r="J45" s="23"/>
      <c r="L45" s="19"/>
      <c r="M45" s="20"/>
      <c r="N45" s="21"/>
    </row>
    <row r="46" spans="1:14" ht="15.75" hidden="1" customHeight="1">
      <c r="A46" s="29"/>
      <c r="B46" s="73" t="s">
        <v>149</v>
      </c>
      <c r="C46" s="74" t="s">
        <v>126</v>
      </c>
      <c r="D46" s="73" t="s">
        <v>44</v>
      </c>
      <c r="E46" s="48">
        <v>1795.9</v>
      </c>
      <c r="F46" s="75">
        <f>SUM(E46*2/1000)</f>
        <v>3.5918000000000001</v>
      </c>
      <c r="G46" s="13">
        <v>865.61</v>
      </c>
      <c r="H46" s="76">
        <f t="shared" ref="H46:H55" si="4">SUM(F46*G46/1000)</f>
        <v>3.1090979980000002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73" t="s">
        <v>37</v>
      </c>
      <c r="C47" s="74" t="s">
        <v>126</v>
      </c>
      <c r="D47" s="73" t="s">
        <v>44</v>
      </c>
      <c r="E47" s="48">
        <v>104</v>
      </c>
      <c r="F47" s="75">
        <f>SUM(E47*2/1000)</f>
        <v>0.20799999999999999</v>
      </c>
      <c r="G47" s="13">
        <v>619.46</v>
      </c>
      <c r="H47" s="76">
        <f t="shared" si="4"/>
        <v>0.12884767999999999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73" t="s">
        <v>38</v>
      </c>
      <c r="C48" s="74" t="s">
        <v>126</v>
      </c>
      <c r="D48" s="73" t="s">
        <v>44</v>
      </c>
      <c r="E48" s="48">
        <v>1996.87</v>
      </c>
      <c r="F48" s="75">
        <f>SUM(E48*2/1000)</f>
        <v>3.9937399999999998</v>
      </c>
      <c r="G48" s="13">
        <v>619.46</v>
      </c>
      <c r="H48" s="76">
        <f t="shared" si="4"/>
        <v>2.4739621804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73" t="s">
        <v>39</v>
      </c>
      <c r="C49" s="74" t="s">
        <v>126</v>
      </c>
      <c r="D49" s="73" t="s">
        <v>44</v>
      </c>
      <c r="E49" s="48">
        <v>2630.35</v>
      </c>
      <c r="F49" s="75">
        <f>SUM(E49*2/1000)</f>
        <v>5.2606999999999999</v>
      </c>
      <c r="G49" s="13">
        <v>648.64</v>
      </c>
      <c r="H49" s="76">
        <f t="shared" si="4"/>
        <v>3.4123004479999999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73" t="s">
        <v>35</v>
      </c>
      <c r="C50" s="74" t="s">
        <v>36</v>
      </c>
      <c r="D50" s="73" t="s">
        <v>44</v>
      </c>
      <c r="E50" s="48">
        <v>131.47</v>
      </c>
      <c r="F50" s="75">
        <f>SUM(E50*2/100)</f>
        <v>2.6294</v>
      </c>
      <c r="G50" s="13">
        <v>77.84</v>
      </c>
      <c r="H50" s="76">
        <f t="shared" si="4"/>
        <v>0.20467249599999998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14</v>
      </c>
      <c r="B51" s="73" t="s">
        <v>60</v>
      </c>
      <c r="C51" s="74" t="s">
        <v>126</v>
      </c>
      <c r="D51" s="73" t="s">
        <v>167</v>
      </c>
      <c r="E51" s="48">
        <v>2872.4</v>
      </c>
      <c r="F51" s="75">
        <f>SUM(E51*5/1000)</f>
        <v>14.362</v>
      </c>
      <c r="G51" s="13">
        <v>1297.28</v>
      </c>
      <c r="H51" s="76">
        <f t="shared" si="4"/>
        <v>18.631535359999997</v>
      </c>
      <c r="I51" s="13">
        <f>F51/5*G51</f>
        <v>3726.3070719999996</v>
      </c>
      <c r="J51" s="23"/>
      <c r="L51" s="19"/>
      <c r="M51" s="20"/>
      <c r="N51" s="21"/>
    </row>
    <row r="52" spans="1:22" ht="31.5" hidden="1" customHeight="1">
      <c r="A52" s="29">
        <v>11</v>
      </c>
      <c r="B52" s="73" t="s">
        <v>136</v>
      </c>
      <c r="C52" s="74" t="s">
        <v>126</v>
      </c>
      <c r="D52" s="73" t="s">
        <v>44</v>
      </c>
      <c r="E52" s="48">
        <v>2872.4</v>
      </c>
      <c r="F52" s="75">
        <f>SUM(E52*2/1000)</f>
        <v>5.7448000000000006</v>
      </c>
      <c r="G52" s="13">
        <v>1297.28</v>
      </c>
      <c r="H52" s="76">
        <f t="shared" si="4"/>
        <v>7.4526141440000009</v>
      </c>
      <c r="I52" s="13">
        <f>F52/2*G52</f>
        <v>3726.3070720000005</v>
      </c>
      <c r="J52" s="23"/>
      <c r="L52" s="19"/>
      <c r="M52" s="20"/>
      <c r="N52" s="21"/>
    </row>
    <row r="53" spans="1:22" ht="31.5" hidden="1" customHeight="1">
      <c r="A53" s="29">
        <v>12</v>
      </c>
      <c r="B53" s="73" t="s">
        <v>137</v>
      </c>
      <c r="C53" s="74" t="s">
        <v>40</v>
      </c>
      <c r="D53" s="73" t="s">
        <v>44</v>
      </c>
      <c r="E53" s="48">
        <v>40</v>
      </c>
      <c r="F53" s="75">
        <f>SUM(E53*2/100)</f>
        <v>0.8</v>
      </c>
      <c r="G53" s="13">
        <v>2918.89</v>
      </c>
      <c r="H53" s="76">
        <f t="shared" si="4"/>
        <v>2.3351120000000001</v>
      </c>
      <c r="I53" s="13">
        <f t="shared" ref="I53:I54" si="5">F53/2*G53</f>
        <v>1167.556</v>
      </c>
      <c r="J53" s="23"/>
      <c r="L53" s="19"/>
      <c r="M53" s="20"/>
      <c r="N53" s="21"/>
    </row>
    <row r="54" spans="1:22" ht="15.75" hidden="1" customHeight="1">
      <c r="A54" s="29">
        <v>13</v>
      </c>
      <c r="B54" s="73" t="s">
        <v>41</v>
      </c>
      <c r="C54" s="74" t="s">
        <v>42</v>
      </c>
      <c r="D54" s="73" t="s">
        <v>44</v>
      </c>
      <c r="E54" s="48">
        <v>1</v>
      </c>
      <c r="F54" s="75">
        <v>0.02</v>
      </c>
      <c r="G54" s="13">
        <v>6042.12</v>
      </c>
      <c r="H54" s="76">
        <f t="shared" si="4"/>
        <v>0.1208424</v>
      </c>
      <c r="I54" s="13">
        <f t="shared" si="5"/>
        <v>60.421199999999999</v>
      </c>
      <c r="J54" s="23"/>
      <c r="L54" s="19"/>
      <c r="M54" s="20"/>
      <c r="N54" s="21"/>
    </row>
    <row r="55" spans="1:22" ht="15.75" hidden="1" customHeight="1">
      <c r="A55" s="29">
        <v>15</v>
      </c>
      <c r="B55" s="73" t="s">
        <v>43</v>
      </c>
      <c r="C55" s="74" t="s">
        <v>31</v>
      </c>
      <c r="D55" s="73" t="s">
        <v>76</v>
      </c>
      <c r="E55" s="48">
        <v>160</v>
      </c>
      <c r="F55" s="75">
        <f>SUM(E55)*3</f>
        <v>480</v>
      </c>
      <c r="G55" s="13">
        <v>70.209999999999994</v>
      </c>
      <c r="H55" s="76">
        <f t="shared" si="4"/>
        <v>33.700799999999994</v>
      </c>
      <c r="I55" s="13">
        <f>E55*G55</f>
        <v>11233.599999999999</v>
      </c>
      <c r="J55" s="23"/>
      <c r="L55" s="19"/>
      <c r="M55" s="20"/>
      <c r="N55" s="21"/>
    </row>
    <row r="56" spans="1:22" ht="15.75" hidden="1" customHeight="1">
      <c r="A56" s="140" t="s">
        <v>153</v>
      </c>
      <c r="B56" s="141"/>
      <c r="C56" s="141"/>
      <c r="D56" s="141"/>
      <c r="E56" s="141"/>
      <c r="F56" s="141"/>
      <c r="G56" s="141"/>
      <c r="H56" s="141"/>
      <c r="I56" s="142"/>
      <c r="J56" s="23"/>
      <c r="L56" s="19"/>
      <c r="M56" s="20"/>
      <c r="N56" s="21"/>
    </row>
    <row r="57" spans="1:22" ht="15.75" hidden="1" customHeight="1">
      <c r="A57" s="29"/>
      <c r="B57" s="96" t="s">
        <v>45</v>
      </c>
      <c r="C57" s="74"/>
      <c r="D57" s="73"/>
      <c r="E57" s="48"/>
      <c r="F57" s="75"/>
      <c r="G57" s="75"/>
      <c r="H57" s="76"/>
      <c r="I57" s="13"/>
      <c r="J57" s="23"/>
      <c r="L57" s="19"/>
      <c r="M57" s="20"/>
      <c r="N57" s="21"/>
    </row>
    <row r="58" spans="1:22" ht="31.5" hidden="1" customHeight="1">
      <c r="A58" s="29">
        <v>16</v>
      </c>
      <c r="B58" s="73" t="s">
        <v>139</v>
      </c>
      <c r="C58" s="74" t="s">
        <v>117</v>
      </c>
      <c r="D58" s="73" t="s">
        <v>77</v>
      </c>
      <c r="E58" s="48">
        <v>239.59</v>
      </c>
      <c r="F58" s="75">
        <f>E58*6/100</f>
        <v>14.375399999999999</v>
      </c>
      <c r="G58" s="82">
        <v>1654.04</v>
      </c>
      <c r="H58" s="76">
        <f>F58*G58/1000</f>
        <v>23.777486615999997</v>
      </c>
      <c r="I58" s="13">
        <f>F58/6*G58</f>
        <v>3962.9144359999996</v>
      </c>
      <c r="J58" s="23"/>
      <c r="L58" s="19"/>
      <c r="M58" s="20"/>
      <c r="N58" s="21"/>
    </row>
    <row r="59" spans="1:22" ht="15.75" hidden="1" customHeight="1">
      <c r="A59" s="29"/>
      <c r="B59" s="97" t="s">
        <v>46</v>
      </c>
      <c r="C59" s="83"/>
      <c r="D59" s="84"/>
      <c r="E59" s="85"/>
      <c r="F59" s="87"/>
      <c r="G59" s="13"/>
      <c r="H59" s="89"/>
      <c r="I59" s="13"/>
      <c r="J59" s="23"/>
      <c r="L59" s="19"/>
      <c r="M59" s="20"/>
      <c r="N59" s="21"/>
    </row>
    <row r="60" spans="1:22" ht="15.75" hidden="1" customHeight="1">
      <c r="A60" s="29"/>
      <c r="B60" s="84" t="s">
        <v>47</v>
      </c>
      <c r="C60" s="83" t="s">
        <v>56</v>
      </c>
      <c r="D60" s="84" t="s">
        <v>57</v>
      </c>
      <c r="E60" s="85">
        <v>2686</v>
      </c>
      <c r="F60" s="87">
        <f>E60/100</f>
        <v>26.86</v>
      </c>
      <c r="G60" s="13">
        <v>848.37</v>
      </c>
      <c r="H60" s="89">
        <f>G60*F60/1000</f>
        <v>22.787218199999998</v>
      </c>
      <c r="I60" s="13">
        <v>0</v>
      </c>
      <c r="J60" s="23"/>
      <c r="L60" s="19"/>
    </row>
    <row r="61" spans="1:22" ht="15.75" hidden="1" customHeight="1">
      <c r="A61" s="29">
        <v>14</v>
      </c>
      <c r="B61" s="84" t="s">
        <v>105</v>
      </c>
      <c r="C61" s="83" t="s">
        <v>25</v>
      </c>
      <c r="D61" s="84" t="s">
        <v>30</v>
      </c>
      <c r="E61" s="85">
        <v>343</v>
      </c>
      <c r="F61" s="87">
        <v>4116</v>
      </c>
      <c r="G61" s="13">
        <v>2.6</v>
      </c>
      <c r="H61" s="89">
        <f>F61*G61</f>
        <v>10701.6</v>
      </c>
      <c r="I61" s="13">
        <f>F61/12*G61</f>
        <v>891.80000000000007</v>
      </c>
    </row>
    <row r="62" spans="1:22" ht="15.75" hidden="1" customHeight="1">
      <c r="A62" s="29"/>
      <c r="B62" s="97" t="s">
        <v>150</v>
      </c>
      <c r="C62" s="83"/>
      <c r="D62" s="84"/>
      <c r="E62" s="85"/>
      <c r="F62" s="87"/>
      <c r="G62" s="13"/>
      <c r="H62" s="89"/>
      <c r="I62" s="13"/>
    </row>
    <row r="63" spans="1:22" ht="15.75" hidden="1" customHeight="1">
      <c r="A63" s="29"/>
      <c r="B63" s="84" t="s">
        <v>151</v>
      </c>
      <c r="C63" s="83" t="s">
        <v>31</v>
      </c>
      <c r="D63" s="84" t="s">
        <v>71</v>
      </c>
      <c r="E63" s="85">
        <v>3</v>
      </c>
      <c r="F63" s="86">
        <v>3</v>
      </c>
      <c r="G63" s="88">
        <v>254.16</v>
      </c>
      <c r="H63" s="87">
        <v>0.76200000000000001</v>
      </c>
      <c r="I63" s="13">
        <v>0</v>
      </c>
    </row>
    <row r="64" spans="1:22" ht="15.75" hidden="1" customHeight="1">
      <c r="A64" s="29"/>
      <c r="B64" s="97" t="s">
        <v>48</v>
      </c>
      <c r="C64" s="83"/>
      <c r="D64" s="84"/>
      <c r="E64" s="85"/>
      <c r="F64" s="86"/>
      <c r="G64" s="86"/>
      <c r="H64" s="87" t="s">
        <v>146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29"/>
      <c r="B65" s="14" t="s">
        <v>49</v>
      </c>
      <c r="C65" s="16" t="s">
        <v>138</v>
      </c>
      <c r="D65" s="84" t="s">
        <v>71</v>
      </c>
      <c r="E65" s="18">
        <v>15</v>
      </c>
      <c r="F65" s="75">
        <v>15</v>
      </c>
      <c r="G65" s="13">
        <v>237.74</v>
      </c>
      <c r="H65" s="90">
        <f t="shared" ref="H65:H78" si="6">SUM(F65*G65/1000)</f>
        <v>3.5661000000000005</v>
      </c>
      <c r="I65" s="13">
        <v>0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29"/>
      <c r="B66" s="14" t="s">
        <v>50</v>
      </c>
      <c r="C66" s="16" t="s">
        <v>138</v>
      </c>
      <c r="D66" s="84" t="s">
        <v>71</v>
      </c>
      <c r="E66" s="18">
        <v>5</v>
      </c>
      <c r="F66" s="75">
        <v>5</v>
      </c>
      <c r="G66" s="13">
        <v>81.510000000000005</v>
      </c>
      <c r="H66" s="90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51</v>
      </c>
      <c r="C67" s="16" t="s">
        <v>140</v>
      </c>
      <c r="D67" s="14" t="s">
        <v>57</v>
      </c>
      <c r="E67" s="48">
        <v>24123</v>
      </c>
      <c r="F67" s="13">
        <f>SUM(E67/100)</f>
        <v>241.23</v>
      </c>
      <c r="G67" s="13">
        <v>226.79</v>
      </c>
      <c r="H67" s="90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8"/>
      <c r="S67" s="128"/>
      <c r="T67" s="128"/>
      <c r="U67" s="128"/>
    </row>
    <row r="68" spans="1:21" ht="15.75" hidden="1" customHeight="1">
      <c r="A68" s="29"/>
      <c r="B68" s="14" t="s">
        <v>52</v>
      </c>
      <c r="C68" s="16" t="s">
        <v>141</v>
      </c>
      <c r="D68" s="14"/>
      <c r="E68" s="48">
        <v>24123</v>
      </c>
      <c r="F68" s="13">
        <f>SUM(E68/1000)</f>
        <v>24.123000000000001</v>
      </c>
      <c r="G68" s="13">
        <v>176.61</v>
      </c>
      <c r="H68" s="90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29"/>
      <c r="B69" s="14" t="s">
        <v>53</v>
      </c>
      <c r="C69" s="16" t="s">
        <v>82</v>
      </c>
      <c r="D69" s="14" t="s">
        <v>57</v>
      </c>
      <c r="E69" s="48">
        <v>2730</v>
      </c>
      <c r="F69" s="13">
        <f>SUM(E69/100)</f>
        <v>27.3</v>
      </c>
      <c r="G69" s="13">
        <v>2217.7800000000002</v>
      </c>
      <c r="H69" s="90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29"/>
      <c r="B70" s="91" t="s">
        <v>142</v>
      </c>
      <c r="C70" s="16" t="s">
        <v>34</v>
      </c>
      <c r="D70" s="14"/>
      <c r="E70" s="48">
        <v>23</v>
      </c>
      <c r="F70" s="13">
        <f>SUM(E70)</f>
        <v>23</v>
      </c>
      <c r="G70" s="13">
        <v>42.67</v>
      </c>
      <c r="H70" s="90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29"/>
      <c r="B71" s="91" t="s">
        <v>143</v>
      </c>
      <c r="C71" s="16" t="s">
        <v>34</v>
      </c>
      <c r="D71" s="14"/>
      <c r="E71" s="48">
        <v>23</v>
      </c>
      <c r="F71" s="13">
        <f>SUM(E71)</f>
        <v>23</v>
      </c>
      <c r="G71" s="13">
        <v>39.81</v>
      </c>
      <c r="H71" s="90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29"/>
      <c r="B72" s="14" t="s">
        <v>61</v>
      </c>
      <c r="C72" s="16" t="s">
        <v>62</v>
      </c>
      <c r="D72" s="14" t="s">
        <v>57</v>
      </c>
      <c r="E72" s="18">
        <v>10</v>
      </c>
      <c r="F72" s="75">
        <f>SUM(E72)</f>
        <v>10</v>
      </c>
      <c r="G72" s="13">
        <v>53.32</v>
      </c>
      <c r="H72" s="90">
        <f t="shared" si="6"/>
        <v>0.53320000000000001</v>
      </c>
      <c r="I72" s="13">
        <f t="shared" si="7"/>
        <v>533.20000000000005</v>
      </c>
    </row>
    <row r="73" spans="1:21" ht="15.75" hidden="1" customHeight="1">
      <c r="A73" s="29"/>
      <c r="B73" s="62" t="s">
        <v>78</v>
      </c>
      <c r="C73" s="16"/>
      <c r="D73" s="14"/>
      <c r="E73" s="18"/>
      <c r="F73" s="13"/>
      <c r="G73" s="13"/>
      <c r="H73" s="90" t="s">
        <v>146</v>
      </c>
      <c r="I73" s="13"/>
    </row>
    <row r="74" spans="1:21" ht="15.75" hidden="1" customHeight="1">
      <c r="A74" s="29"/>
      <c r="B74" s="14" t="s">
        <v>79</v>
      </c>
      <c r="C74" s="16" t="s">
        <v>32</v>
      </c>
      <c r="D74" s="14"/>
      <c r="E74" s="18">
        <v>2</v>
      </c>
      <c r="F74" s="66">
        <v>0.2</v>
      </c>
      <c r="G74" s="13">
        <v>536.23</v>
      </c>
      <c r="H74" s="90">
        <v>0.251</v>
      </c>
      <c r="I74" s="13">
        <v>0</v>
      </c>
    </row>
    <row r="75" spans="1:21" ht="15.75" hidden="1" customHeight="1">
      <c r="A75" s="29"/>
      <c r="B75" s="14" t="s">
        <v>96</v>
      </c>
      <c r="C75" s="16" t="s">
        <v>31</v>
      </c>
      <c r="D75" s="14"/>
      <c r="E75" s="18">
        <v>1</v>
      </c>
      <c r="F75" s="75">
        <f>SUM(E75)</f>
        <v>1</v>
      </c>
      <c r="G75" s="13">
        <v>383.25</v>
      </c>
      <c r="H75" s="90">
        <f t="shared" si="6"/>
        <v>0.38324999999999998</v>
      </c>
      <c r="I75" s="13">
        <v>0</v>
      </c>
    </row>
    <row r="76" spans="1:21" ht="15.75" hidden="1" customHeight="1">
      <c r="A76" s="29"/>
      <c r="B76" s="14" t="s">
        <v>80</v>
      </c>
      <c r="C76" s="16" t="s">
        <v>31</v>
      </c>
      <c r="D76" s="14"/>
      <c r="E76" s="18">
        <v>2</v>
      </c>
      <c r="F76" s="13">
        <v>2</v>
      </c>
      <c r="G76" s="13">
        <v>911.85</v>
      </c>
      <c r="H76" s="90">
        <f>F76*G76/1000</f>
        <v>1.8237000000000001</v>
      </c>
      <c r="I76" s="13">
        <v>0</v>
      </c>
    </row>
    <row r="77" spans="1:21" ht="15.75" hidden="1" customHeight="1">
      <c r="A77" s="29"/>
      <c r="B77" s="92" t="s">
        <v>81</v>
      </c>
      <c r="C77" s="16"/>
      <c r="D77" s="14"/>
      <c r="E77" s="18"/>
      <c r="F77" s="13"/>
      <c r="G77" s="13" t="s">
        <v>146</v>
      </c>
      <c r="H77" s="90" t="s">
        <v>146</v>
      </c>
      <c r="I77" s="13"/>
    </row>
    <row r="78" spans="1:21" ht="15.75" hidden="1" customHeight="1">
      <c r="A78" s="29"/>
      <c r="B78" s="42" t="s">
        <v>147</v>
      </c>
      <c r="C78" s="16" t="s">
        <v>82</v>
      </c>
      <c r="D78" s="14"/>
      <c r="E78" s="18"/>
      <c r="F78" s="13">
        <v>1.35</v>
      </c>
      <c r="G78" s="13">
        <v>2949.85</v>
      </c>
      <c r="H78" s="90">
        <f t="shared" si="6"/>
        <v>3.9822975</v>
      </c>
      <c r="I78" s="13">
        <v>0</v>
      </c>
    </row>
    <row r="79" spans="1:21" ht="15.75" hidden="1" customHeight="1">
      <c r="A79" s="29"/>
      <c r="B79" s="78" t="s">
        <v>144</v>
      </c>
      <c r="C79" s="92"/>
      <c r="D79" s="31"/>
      <c r="E79" s="32"/>
      <c r="F79" s="79"/>
      <c r="G79" s="79"/>
      <c r="H79" s="93">
        <f>SUM(H58:H78)</f>
        <v>10881.285151046004</v>
      </c>
      <c r="I79" s="79"/>
    </row>
    <row r="80" spans="1:21" ht="15.75" hidden="1" customHeight="1">
      <c r="A80" s="29"/>
      <c r="B80" s="73" t="s">
        <v>145</v>
      </c>
      <c r="C80" s="16"/>
      <c r="D80" s="14"/>
      <c r="E80" s="67"/>
      <c r="F80" s="13">
        <v>1</v>
      </c>
      <c r="G80" s="13">
        <v>19342.2</v>
      </c>
      <c r="H80" s="90">
        <f>G80*F80/1000</f>
        <v>19.342200000000002</v>
      </c>
      <c r="I80" s="13">
        <v>0</v>
      </c>
    </row>
    <row r="81" spans="1:9" ht="15.75" hidden="1" customHeight="1">
      <c r="A81" s="129" t="s">
        <v>154</v>
      </c>
      <c r="B81" s="130"/>
      <c r="C81" s="130"/>
      <c r="D81" s="130"/>
      <c r="E81" s="130"/>
      <c r="F81" s="130"/>
      <c r="G81" s="130"/>
      <c r="H81" s="130"/>
      <c r="I81" s="131"/>
    </row>
    <row r="82" spans="1:9" ht="15.75" hidden="1" customHeight="1">
      <c r="A82" s="29">
        <v>15</v>
      </c>
      <c r="B82" s="73" t="s">
        <v>148</v>
      </c>
      <c r="C82" s="16" t="s">
        <v>58</v>
      </c>
      <c r="D82" s="94" t="s">
        <v>59</v>
      </c>
      <c r="E82" s="13">
        <v>4591.2</v>
      </c>
      <c r="F82" s="13">
        <f>SUM(E82*12)</f>
        <v>55094.399999999994</v>
      </c>
      <c r="G82" s="13">
        <v>2.54</v>
      </c>
      <c r="H82" s="90">
        <f>SUM(F82*G82/1000)</f>
        <v>139.93977599999999</v>
      </c>
      <c r="I82" s="13">
        <f>F82/12*G82</f>
        <v>11661.647999999999</v>
      </c>
    </row>
    <row r="83" spans="1:9" ht="31.5" hidden="1" customHeight="1">
      <c r="A83" s="29">
        <v>16</v>
      </c>
      <c r="B83" s="14" t="s">
        <v>83</v>
      </c>
      <c r="C83" s="16"/>
      <c r="D83" s="94" t="s">
        <v>59</v>
      </c>
      <c r="E83" s="48">
        <f>E82</f>
        <v>4591.2</v>
      </c>
      <c r="F83" s="13">
        <f>E83*12</f>
        <v>55094.399999999994</v>
      </c>
      <c r="G83" s="13">
        <v>2.0499999999999998</v>
      </c>
      <c r="H83" s="90">
        <f>F83*G83/1000</f>
        <v>112.94351999999998</v>
      </c>
      <c r="I83" s="13">
        <f>F83/12*G83</f>
        <v>9411.9599999999991</v>
      </c>
    </row>
    <row r="84" spans="1:9" ht="15.75" hidden="1" customHeight="1">
      <c r="A84" s="65"/>
      <c r="B84" s="34" t="s">
        <v>86</v>
      </c>
      <c r="C84" s="35"/>
      <c r="D84" s="15"/>
      <c r="E84" s="15"/>
      <c r="F84" s="15"/>
      <c r="G84" s="18"/>
      <c r="H84" s="18"/>
      <c r="I84" s="32">
        <f>SUM(I16+I17+I18+I20+I26+I27+I30+I31+I33+I34+I52+I53+I54+I61+I82+I83)</f>
        <v>78184.942408200004</v>
      </c>
    </row>
    <row r="85" spans="1:9" ht="15.75" customHeight="1">
      <c r="A85" s="147" t="s">
        <v>64</v>
      </c>
      <c r="B85" s="148"/>
      <c r="C85" s="148"/>
      <c r="D85" s="148"/>
      <c r="E85" s="148"/>
      <c r="F85" s="148"/>
      <c r="G85" s="148"/>
      <c r="H85" s="148"/>
      <c r="I85" s="149"/>
    </row>
    <row r="86" spans="1:9" ht="15.75" customHeight="1">
      <c r="A86" s="29">
        <v>1</v>
      </c>
      <c r="B86" s="46" t="s">
        <v>175</v>
      </c>
      <c r="C86" s="49" t="s">
        <v>170</v>
      </c>
      <c r="D86" s="47">
        <v>22</v>
      </c>
      <c r="E86" s="18"/>
      <c r="F86" s="13">
        <v>16</v>
      </c>
      <c r="G86" s="13">
        <f>103656/303</f>
        <v>342.0990099009901</v>
      </c>
      <c r="H86" s="90">
        <f t="shared" ref="H86" si="8">G86*F86/1000</f>
        <v>5.4735841584158411</v>
      </c>
      <c r="I86" s="13">
        <f>G86*D86</f>
        <v>7526.1782178217818</v>
      </c>
    </row>
    <row r="87" spans="1:9" ht="15.75" customHeight="1">
      <c r="A87" s="29"/>
      <c r="B87" s="40" t="s">
        <v>54</v>
      </c>
      <c r="C87" s="36"/>
      <c r="D87" s="44"/>
      <c r="E87" s="36">
        <v>1</v>
      </c>
      <c r="F87" s="36"/>
      <c r="G87" s="36"/>
      <c r="H87" s="36"/>
      <c r="I87" s="32">
        <f>SUM(I86:I86)</f>
        <v>7526.1782178217818</v>
      </c>
    </row>
    <row r="88" spans="1:9" ht="15.75" customHeight="1">
      <c r="A88" s="29"/>
      <c r="B88" s="42" t="s">
        <v>84</v>
      </c>
      <c r="C88" s="15"/>
      <c r="D88" s="15"/>
      <c r="E88" s="37"/>
      <c r="F88" s="37"/>
      <c r="G88" s="38"/>
      <c r="H88" s="38"/>
      <c r="I88" s="17">
        <v>0</v>
      </c>
    </row>
    <row r="89" spans="1:9" ht="15.75" customHeight="1">
      <c r="A89" s="45"/>
      <c r="B89" s="41" t="s">
        <v>55</v>
      </c>
      <c r="C89" s="33"/>
      <c r="D89" s="33"/>
      <c r="E89" s="33"/>
      <c r="F89" s="33"/>
      <c r="G89" s="33"/>
      <c r="H89" s="33"/>
      <c r="I89" s="39">
        <f>I87</f>
        <v>7526.1782178217818</v>
      </c>
    </row>
    <row r="90" spans="1:9" ht="15.75" customHeight="1">
      <c r="A90" s="143" t="s">
        <v>176</v>
      </c>
      <c r="B90" s="143"/>
      <c r="C90" s="143"/>
      <c r="D90" s="143"/>
      <c r="E90" s="143"/>
      <c r="F90" s="143"/>
      <c r="G90" s="143"/>
      <c r="H90" s="143"/>
      <c r="I90" s="143"/>
    </row>
    <row r="91" spans="1:9" ht="15.75" customHeight="1">
      <c r="A91" s="56"/>
      <c r="B91" s="144" t="s">
        <v>177</v>
      </c>
      <c r="C91" s="144"/>
      <c r="D91" s="144"/>
      <c r="E91" s="144"/>
      <c r="F91" s="144"/>
      <c r="G91" s="144"/>
      <c r="H91" s="71"/>
      <c r="I91" s="3"/>
    </row>
    <row r="92" spans="1:9" ht="15.75" customHeight="1">
      <c r="A92" s="61"/>
      <c r="B92" s="145" t="s">
        <v>6</v>
      </c>
      <c r="C92" s="145"/>
      <c r="D92" s="145"/>
      <c r="E92" s="145"/>
      <c r="F92" s="145"/>
      <c r="G92" s="145"/>
      <c r="H92" s="24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 customHeight="1">
      <c r="A94" s="146" t="s">
        <v>7</v>
      </c>
      <c r="B94" s="146"/>
      <c r="C94" s="146"/>
      <c r="D94" s="146"/>
      <c r="E94" s="146"/>
      <c r="F94" s="146"/>
      <c r="G94" s="146"/>
      <c r="H94" s="146"/>
      <c r="I94" s="146"/>
    </row>
    <row r="95" spans="1:9" ht="15.75" customHeight="1">
      <c r="A95" s="146" t="s">
        <v>8</v>
      </c>
      <c r="B95" s="146"/>
      <c r="C95" s="146"/>
      <c r="D95" s="146"/>
      <c r="E95" s="146"/>
      <c r="F95" s="146"/>
      <c r="G95" s="146"/>
      <c r="H95" s="146"/>
      <c r="I95" s="146"/>
    </row>
    <row r="96" spans="1:9" ht="15.75" customHeight="1">
      <c r="A96" s="138" t="s">
        <v>65</v>
      </c>
      <c r="B96" s="138"/>
      <c r="C96" s="138"/>
      <c r="D96" s="138"/>
      <c r="E96" s="138"/>
      <c r="F96" s="138"/>
      <c r="G96" s="138"/>
      <c r="H96" s="138"/>
      <c r="I96" s="138"/>
    </row>
    <row r="97" spans="1:9" ht="15.75" customHeight="1">
      <c r="A97" s="11"/>
    </row>
    <row r="98" spans="1:9" ht="15.75" customHeight="1">
      <c r="A98" s="151" t="s">
        <v>9</v>
      </c>
      <c r="B98" s="151"/>
      <c r="C98" s="151"/>
      <c r="D98" s="151"/>
      <c r="E98" s="151"/>
      <c r="F98" s="151"/>
      <c r="G98" s="151"/>
      <c r="H98" s="151"/>
      <c r="I98" s="151"/>
    </row>
    <row r="99" spans="1:9" ht="15.75" customHeight="1">
      <c r="A99" s="4"/>
    </row>
    <row r="100" spans="1:9" ht="15.75" customHeight="1">
      <c r="B100" s="64" t="s">
        <v>10</v>
      </c>
      <c r="C100" s="152" t="s">
        <v>98</v>
      </c>
      <c r="D100" s="152"/>
      <c r="E100" s="152"/>
      <c r="F100" s="69"/>
      <c r="I100" s="60"/>
    </row>
    <row r="101" spans="1:9" ht="15.75" customHeight="1">
      <c r="A101" s="61"/>
      <c r="C101" s="145" t="s">
        <v>11</v>
      </c>
      <c r="D101" s="145"/>
      <c r="E101" s="145"/>
      <c r="F101" s="24"/>
      <c r="I101" s="59" t="s">
        <v>12</v>
      </c>
    </row>
    <row r="102" spans="1:9" ht="15.75" customHeight="1">
      <c r="A102" s="25"/>
      <c r="C102" s="12"/>
      <c r="D102" s="12"/>
      <c r="G102" s="12"/>
      <c r="H102" s="12"/>
    </row>
    <row r="103" spans="1:9" ht="15.75" customHeight="1">
      <c r="B103" s="64" t="s">
        <v>13</v>
      </c>
      <c r="C103" s="153"/>
      <c r="D103" s="153"/>
      <c r="E103" s="153"/>
      <c r="F103" s="70"/>
      <c r="I103" s="60"/>
    </row>
    <row r="104" spans="1:9" ht="15.75" customHeight="1">
      <c r="A104" s="61"/>
      <c r="C104" s="128" t="s">
        <v>11</v>
      </c>
      <c r="D104" s="128"/>
      <c r="E104" s="128"/>
      <c r="F104" s="61"/>
      <c r="I104" s="59" t="s">
        <v>12</v>
      </c>
    </row>
    <row r="105" spans="1:9" ht="15.75" customHeight="1">
      <c r="A105" s="4" t="s">
        <v>14</v>
      </c>
    </row>
    <row r="106" spans="1:9" ht="15.75" customHeight="1">
      <c r="A106" s="154" t="s">
        <v>15</v>
      </c>
      <c r="B106" s="154"/>
      <c r="C106" s="154"/>
      <c r="D106" s="154"/>
      <c r="E106" s="154"/>
      <c r="F106" s="154"/>
      <c r="G106" s="154"/>
      <c r="H106" s="154"/>
      <c r="I106" s="154"/>
    </row>
    <row r="107" spans="1:9" ht="45" customHeight="1">
      <c r="A107" s="150" t="s">
        <v>16</v>
      </c>
      <c r="B107" s="150"/>
      <c r="C107" s="150"/>
      <c r="D107" s="150"/>
      <c r="E107" s="150"/>
      <c r="F107" s="150"/>
      <c r="G107" s="150"/>
      <c r="H107" s="150"/>
      <c r="I107" s="150"/>
    </row>
    <row r="108" spans="1:9" ht="30" customHeight="1">
      <c r="A108" s="150" t="s">
        <v>17</v>
      </c>
      <c r="B108" s="150"/>
      <c r="C108" s="150"/>
      <c r="D108" s="150"/>
      <c r="E108" s="150"/>
      <c r="F108" s="150"/>
      <c r="G108" s="150"/>
      <c r="H108" s="150"/>
      <c r="I108" s="150"/>
    </row>
    <row r="109" spans="1:9" ht="30" customHeight="1">
      <c r="A109" s="150" t="s">
        <v>21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15" customHeight="1">
      <c r="A110" s="150" t="s">
        <v>20</v>
      </c>
      <c r="B110" s="150"/>
      <c r="C110" s="150"/>
      <c r="D110" s="150"/>
      <c r="E110" s="150"/>
      <c r="F110" s="150"/>
      <c r="G110" s="150"/>
      <c r="H110" s="150"/>
      <c r="I110" s="150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96:I96"/>
    <mergeCell ref="A15:I15"/>
    <mergeCell ref="A28:I28"/>
    <mergeCell ref="A45:I45"/>
    <mergeCell ref="A56:I56"/>
    <mergeCell ref="A107:I107"/>
    <mergeCell ref="A108:I108"/>
    <mergeCell ref="A109:I109"/>
    <mergeCell ref="A110:I110"/>
    <mergeCell ref="A85:I85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  <mergeCell ref="A95:I9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268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269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9"/>
      <c r="C6" s="109"/>
      <c r="D6" s="109"/>
      <c r="E6" s="109"/>
      <c r="F6" s="109"/>
      <c r="G6" s="109"/>
      <c r="H6" s="109"/>
      <c r="I6" s="30">
        <v>43069</v>
      </c>
      <c r="J6" s="2"/>
      <c r="K6" s="2"/>
      <c r="L6" s="2"/>
      <c r="M6" s="2"/>
    </row>
    <row r="7" spans="1:13" ht="15.75" customHeight="1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73" t="s">
        <v>68</v>
      </c>
      <c r="C25" s="74" t="s">
        <v>34</v>
      </c>
      <c r="D25" s="73" t="s">
        <v>256</v>
      </c>
      <c r="E25" s="48">
        <v>0.1</v>
      </c>
      <c r="F25" s="75">
        <f>SUM(E25*365)</f>
        <v>36.5</v>
      </c>
      <c r="G25" s="75">
        <v>147.03</v>
      </c>
      <c r="H25" s="76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81" t="s">
        <v>23</v>
      </c>
      <c r="C26" s="74" t="s">
        <v>24</v>
      </c>
      <c r="D26" s="73" t="s">
        <v>256</v>
      </c>
      <c r="E26" s="48">
        <v>4224.3999999999996</v>
      </c>
      <c r="F26" s="75">
        <f>SUM(E26*12)</f>
        <v>50692.799999999996</v>
      </c>
      <c r="G26" s="75">
        <v>4.59</v>
      </c>
      <c r="H26" s="76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39" t="s">
        <v>92</v>
      </c>
      <c r="B27" s="139"/>
      <c r="C27" s="139"/>
      <c r="D27" s="139"/>
      <c r="E27" s="139"/>
      <c r="F27" s="139"/>
      <c r="G27" s="139"/>
      <c r="H27" s="139"/>
      <c r="I27" s="139"/>
      <c r="J27" s="22"/>
      <c r="K27" s="8"/>
      <c r="L27" s="8"/>
      <c r="M27" s="8"/>
    </row>
    <row r="28" spans="1:13" ht="15.75" hidden="1" customHeight="1">
      <c r="A28" s="29"/>
      <c r="B28" s="96" t="s">
        <v>28</v>
      </c>
      <c r="C28" s="74"/>
      <c r="D28" s="73"/>
      <c r="E28" s="48"/>
      <c r="F28" s="75"/>
      <c r="G28" s="75"/>
      <c r="H28" s="76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73" t="s">
        <v>125</v>
      </c>
      <c r="C29" s="74" t="s">
        <v>126</v>
      </c>
      <c r="D29" s="73" t="s">
        <v>127</v>
      </c>
      <c r="E29" s="75">
        <v>1414.6</v>
      </c>
      <c r="F29" s="75">
        <f>SUM(E29*52/1000)</f>
        <v>73.559200000000004</v>
      </c>
      <c r="G29" s="75">
        <v>155.88999999999999</v>
      </c>
      <c r="H29" s="76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73" t="s">
        <v>166</v>
      </c>
      <c r="C30" s="74" t="s">
        <v>126</v>
      </c>
      <c r="D30" s="73" t="s">
        <v>128</v>
      </c>
      <c r="E30" s="75">
        <v>632.4</v>
      </c>
      <c r="F30" s="75">
        <f>SUM(E30*78/1000)</f>
        <v>49.327199999999998</v>
      </c>
      <c r="G30" s="75">
        <v>258.63</v>
      </c>
      <c r="H30" s="76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73" t="s">
        <v>27</v>
      </c>
      <c r="C31" s="74" t="s">
        <v>126</v>
      </c>
      <c r="D31" s="73" t="s">
        <v>57</v>
      </c>
      <c r="E31" s="75">
        <v>1414.6</v>
      </c>
      <c r="F31" s="75">
        <f>SUM(E31/1000)</f>
        <v>1.4145999999999999</v>
      </c>
      <c r="G31" s="75">
        <v>3020.33</v>
      </c>
      <c r="H31" s="76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73" t="s">
        <v>129</v>
      </c>
      <c r="C32" s="74" t="s">
        <v>42</v>
      </c>
      <c r="D32" s="73" t="s">
        <v>67</v>
      </c>
      <c r="E32" s="75">
        <v>6</v>
      </c>
      <c r="F32" s="75">
        <f>SUM(E32*155/100)</f>
        <v>9.3000000000000007</v>
      </c>
      <c r="G32" s="75">
        <v>1302.02</v>
      </c>
      <c r="H32" s="76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73" t="s">
        <v>130</v>
      </c>
      <c r="C33" s="74" t="s">
        <v>31</v>
      </c>
      <c r="D33" s="73" t="s">
        <v>67</v>
      </c>
      <c r="E33" s="80">
        <v>0.33333333333333331</v>
      </c>
      <c r="F33" s="75">
        <f>155/3</f>
        <v>51.666666666666664</v>
      </c>
      <c r="G33" s="75">
        <v>56.69</v>
      </c>
      <c r="H33" s="76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73" t="s">
        <v>69</v>
      </c>
      <c r="C34" s="74" t="s">
        <v>34</v>
      </c>
      <c r="D34" s="73" t="s">
        <v>71</v>
      </c>
      <c r="E34" s="48"/>
      <c r="F34" s="75">
        <v>4</v>
      </c>
      <c r="G34" s="75">
        <v>191.32</v>
      </c>
      <c r="H34" s="76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73" t="s">
        <v>70</v>
      </c>
      <c r="C35" s="74" t="s">
        <v>33</v>
      </c>
      <c r="D35" s="73" t="s">
        <v>71</v>
      </c>
      <c r="E35" s="48"/>
      <c r="F35" s="75">
        <v>3</v>
      </c>
      <c r="G35" s="75">
        <v>1136.33</v>
      </c>
      <c r="H35" s="76">
        <f t="shared" si="2"/>
        <v>3.4089899999999997</v>
      </c>
      <c r="I35" s="13">
        <v>0</v>
      </c>
      <c r="J35" s="23"/>
    </row>
    <row r="36" spans="1:14" ht="15.75" customHeight="1">
      <c r="A36" s="29"/>
      <c r="B36" s="96" t="s">
        <v>5</v>
      </c>
      <c r="C36" s="74"/>
      <c r="D36" s="73"/>
      <c r="E36" s="48"/>
      <c r="F36" s="75"/>
      <c r="G36" s="75"/>
      <c r="H36" s="76" t="s">
        <v>146</v>
      </c>
      <c r="I36" s="13"/>
      <c r="J36" s="23"/>
    </row>
    <row r="37" spans="1:14" ht="15.75" customHeight="1">
      <c r="A37" s="29">
        <v>8</v>
      </c>
      <c r="B37" s="73" t="s">
        <v>26</v>
      </c>
      <c r="C37" s="74" t="s">
        <v>33</v>
      </c>
      <c r="D37" s="73"/>
      <c r="E37" s="48"/>
      <c r="F37" s="75">
        <v>20</v>
      </c>
      <c r="G37" s="75">
        <v>1527.22</v>
      </c>
      <c r="H37" s="76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customHeight="1">
      <c r="A38" s="29">
        <v>9</v>
      </c>
      <c r="B38" s="73" t="s">
        <v>72</v>
      </c>
      <c r="C38" s="74" t="s">
        <v>29</v>
      </c>
      <c r="D38" s="73" t="s">
        <v>182</v>
      </c>
      <c r="E38" s="75">
        <v>632.4</v>
      </c>
      <c r="F38" s="75">
        <f>SUM(E38*50/1000)</f>
        <v>31.62</v>
      </c>
      <c r="G38" s="75">
        <v>2102.71</v>
      </c>
      <c r="H38" s="76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73" t="s">
        <v>104</v>
      </c>
      <c r="C39" s="74" t="s">
        <v>132</v>
      </c>
      <c r="D39" s="73" t="s">
        <v>71</v>
      </c>
      <c r="E39" s="48"/>
      <c r="F39" s="75">
        <v>30</v>
      </c>
      <c r="G39" s="75">
        <v>213.2</v>
      </c>
      <c r="H39" s="76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customHeight="1">
      <c r="A40" s="29">
        <v>10</v>
      </c>
      <c r="B40" s="73" t="s">
        <v>73</v>
      </c>
      <c r="C40" s="74" t="s">
        <v>29</v>
      </c>
      <c r="D40" s="73" t="s">
        <v>133</v>
      </c>
      <c r="E40" s="75">
        <v>106</v>
      </c>
      <c r="F40" s="75">
        <f>SUM(E40*155/1000)</f>
        <v>16.43</v>
      </c>
      <c r="G40" s="75">
        <v>350.75</v>
      </c>
      <c r="H40" s="76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customHeight="1">
      <c r="A41" s="29">
        <v>11</v>
      </c>
      <c r="B41" s="73" t="s">
        <v>89</v>
      </c>
      <c r="C41" s="74" t="s">
        <v>126</v>
      </c>
      <c r="D41" s="73" t="s">
        <v>183</v>
      </c>
      <c r="E41" s="75">
        <v>106</v>
      </c>
      <c r="F41" s="75">
        <f>SUM(E41*70/1000)</f>
        <v>7.42</v>
      </c>
      <c r="G41" s="75">
        <v>5803.28</v>
      </c>
      <c r="H41" s="76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73" t="s">
        <v>135</v>
      </c>
      <c r="C42" s="74" t="s">
        <v>126</v>
      </c>
      <c r="D42" s="73" t="s">
        <v>74</v>
      </c>
      <c r="E42" s="75">
        <v>106</v>
      </c>
      <c r="F42" s="75">
        <f>SUM(E42*45/1000)</f>
        <v>4.7699999999999996</v>
      </c>
      <c r="G42" s="75">
        <v>428.7</v>
      </c>
      <c r="H42" s="76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customHeight="1">
      <c r="A43" s="29">
        <v>12</v>
      </c>
      <c r="B43" s="73" t="s">
        <v>75</v>
      </c>
      <c r="C43" s="74" t="s">
        <v>34</v>
      </c>
      <c r="D43" s="73"/>
      <c r="E43" s="48"/>
      <c r="F43" s="75">
        <v>0.9</v>
      </c>
      <c r="G43" s="75">
        <v>798</v>
      </c>
      <c r="H43" s="76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140" t="s">
        <v>152</v>
      </c>
      <c r="B44" s="141"/>
      <c r="C44" s="141"/>
      <c r="D44" s="141"/>
      <c r="E44" s="141"/>
      <c r="F44" s="141"/>
      <c r="G44" s="141"/>
      <c r="H44" s="141"/>
      <c r="I44" s="142"/>
      <c r="J44" s="23"/>
      <c r="L44" s="19"/>
      <c r="M44" s="20"/>
      <c r="N44" s="21"/>
    </row>
    <row r="45" spans="1:14" ht="15.75" hidden="1" customHeight="1">
      <c r="A45" s="29">
        <v>12</v>
      </c>
      <c r="B45" s="73" t="s">
        <v>184</v>
      </c>
      <c r="C45" s="74" t="s">
        <v>126</v>
      </c>
      <c r="D45" s="73" t="s">
        <v>44</v>
      </c>
      <c r="E45" s="48">
        <v>1150.5999999999999</v>
      </c>
      <c r="F45" s="75">
        <f>SUM(E45*2/1000)</f>
        <v>2.3011999999999997</v>
      </c>
      <c r="G45" s="13">
        <v>849.49</v>
      </c>
      <c r="H45" s="76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73" t="s">
        <v>37</v>
      </c>
      <c r="C46" s="74" t="s">
        <v>126</v>
      </c>
      <c r="D46" s="73" t="s">
        <v>44</v>
      </c>
      <c r="E46" s="48">
        <v>108.96</v>
      </c>
      <c r="F46" s="75">
        <f>SUM(E46*2/1000)</f>
        <v>0.21791999999999997</v>
      </c>
      <c r="G46" s="13">
        <v>579.48</v>
      </c>
      <c r="H46" s="76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73" t="s">
        <v>38</v>
      </c>
      <c r="C47" s="74" t="s">
        <v>126</v>
      </c>
      <c r="D47" s="73" t="s">
        <v>44</v>
      </c>
      <c r="E47" s="48">
        <v>4224.3999999999996</v>
      </c>
      <c r="F47" s="75">
        <f>SUM(E47*2/1000)</f>
        <v>8.4487999999999985</v>
      </c>
      <c r="G47" s="13">
        <v>579.48</v>
      </c>
      <c r="H47" s="76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73" t="s">
        <v>39</v>
      </c>
      <c r="C48" s="74" t="s">
        <v>126</v>
      </c>
      <c r="D48" s="73" t="s">
        <v>44</v>
      </c>
      <c r="E48" s="48">
        <v>3059.7</v>
      </c>
      <c r="F48" s="75">
        <f>SUM(E48*2/1000)</f>
        <v>6.1193999999999997</v>
      </c>
      <c r="G48" s="13">
        <v>606.77</v>
      </c>
      <c r="H48" s="76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16</v>
      </c>
      <c r="B49" s="73" t="s">
        <v>60</v>
      </c>
      <c r="C49" s="74" t="s">
        <v>126</v>
      </c>
      <c r="D49" s="73" t="s">
        <v>167</v>
      </c>
      <c r="E49" s="48">
        <v>1150.5999999999999</v>
      </c>
      <c r="F49" s="75">
        <f>SUM(E49*5/1000)</f>
        <v>5.7530000000000001</v>
      </c>
      <c r="G49" s="13">
        <v>1213.55</v>
      </c>
      <c r="H49" s="76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12</v>
      </c>
      <c r="B50" s="73" t="s">
        <v>136</v>
      </c>
      <c r="C50" s="74" t="s">
        <v>126</v>
      </c>
      <c r="D50" s="73" t="s">
        <v>44</v>
      </c>
      <c r="E50" s="48">
        <v>1150.5999999999999</v>
      </c>
      <c r="F50" s="75">
        <f>SUM(E50*2/1000)</f>
        <v>2.3011999999999997</v>
      </c>
      <c r="G50" s="13">
        <v>1213.55</v>
      </c>
      <c r="H50" s="76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13</v>
      </c>
      <c r="B51" s="73" t="s">
        <v>137</v>
      </c>
      <c r="C51" s="74" t="s">
        <v>40</v>
      </c>
      <c r="D51" s="73" t="s">
        <v>44</v>
      </c>
      <c r="E51" s="48">
        <v>30</v>
      </c>
      <c r="F51" s="75">
        <f>SUM(E51*2/100)</f>
        <v>0.6</v>
      </c>
      <c r="G51" s="13">
        <v>2730.49</v>
      </c>
      <c r="H51" s="76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73" t="s">
        <v>41</v>
      </c>
      <c r="C52" s="74" t="s">
        <v>42</v>
      </c>
      <c r="D52" s="73" t="s">
        <v>44</v>
      </c>
      <c r="E52" s="48">
        <v>1</v>
      </c>
      <c r="F52" s="75">
        <v>0.02</v>
      </c>
      <c r="G52" s="13">
        <v>5652.13</v>
      </c>
      <c r="H52" s="76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73" t="s">
        <v>43</v>
      </c>
      <c r="C53" s="74" t="s">
        <v>138</v>
      </c>
      <c r="D53" s="73" t="s">
        <v>76</v>
      </c>
      <c r="E53" s="48">
        <v>158</v>
      </c>
      <c r="F53" s="75">
        <f>SUM(E53)*3</f>
        <v>474</v>
      </c>
      <c r="G53" s="13">
        <v>65.67</v>
      </c>
      <c r="H53" s="76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0" t="s">
        <v>234</v>
      </c>
      <c r="B54" s="141"/>
      <c r="C54" s="141"/>
      <c r="D54" s="141"/>
      <c r="E54" s="141"/>
      <c r="F54" s="141"/>
      <c r="G54" s="141"/>
      <c r="H54" s="141"/>
      <c r="I54" s="142"/>
      <c r="J54" s="23"/>
      <c r="L54" s="19"/>
      <c r="M54" s="20"/>
      <c r="N54" s="21"/>
    </row>
    <row r="55" spans="1:22" ht="15.75" customHeight="1">
      <c r="A55" s="29"/>
      <c r="B55" s="96" t="s">
        <v>45</v>
      </c>
      <c r="C55" s="74"/>
      <c r="D55" s="73"/>
      <c r="E55" s="48"/>
      <c r="F55" s="75"/>
      <c r="G55" s="75"/>
      <c r="H55" s="76"/>
      <c r="I55" s="13"/>
      <c r="J55" s="23"/>
      <c r="L55" s="19"/>
      <c r="M55" s="20"/>
      <c r="N55" s="21"/>
    </row>
    <row r="56" spans="1:22" ht="31.5" customHeight="1">
      <c r="A56" s="29">
        <v>13</v>
      </c>
      <c r="B56" s="73" t="s">
        <v>186</v>
      </c>
      <c r="C56" s="74" t="s">
        <v>117</v>
      </c>
      <c r="D56" s="73" t="s">
        <v>187</v>
      </c>
      <c r="E56" s="105">
        <v>6</v>
      </c>
      <c r="F56" s="13">
        <f>E56*8/100</f>
        <v>0.48</v>
      </c>
      <c r="G56" s="75">
        <v>1547.28</v>
      </c>
      <c r="H56" s="76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106"/>
      <c r="B57" s="73" t="s">
        <v>109</v>
      </c>
      <c r="C57" s="74" t="s">
        <v>110</v>
      </c>
      <c r="D57" s="73" t="s">
        <v>44</v>
      </c>
      <c r="E57" s="48">
        <v>6</v>
      </c>
      <c r="F57" s="75">
        <v>12</v>
      </c>
      <c r="G57" s="82">
        <v>180.78</v>
      </c>
      <c r="H57" s="76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97" t="s">
        <v>46</v>
      </c>
      <c r="C58" s="83"/>
      <c r="D58" s="84"/>
      <c r="E58" s="85"/>
      <c r="F58" s="87"/>
      <c r="G58" s="13"/>
      <c r="H58" s="89"/>
      <c r="I58" s="13"/>
      <c r="J58" s="23"/>
      <c r="L58" s="19"/>
      <c r="M58" s="20"/>
      <c r="N58" s="21"/>
    </row>
    <row r="59" spans="1:22" ht="15.75" customHeight="1">
      <c r="A59" s="29">
        <v>14</v>
      </c>
      <c r="B59" s="84" t="s">
        <v>105</v>
      </c>
      <c r="C59" s="83" t="s">
        <v>25</v>
      </c>
      <c r="D59" s="84"/>
      <c r="E59" s="85">
        <v>232.6</v>
      </c>
      <c r="F59" s="86">
        <f>E59*12</f>
        <v>2791.2</v>
      </c>
      <c r="G59" s="107">
        <v>2.5960000000000001</v>
      </c>
      <c r="H59" s="87">
        <f>G59*F59</f>
        <v>7245.9551999999994</v>
      </c>
      <c r="I59" s="13">
        <f>F59/12*G59</f>
        <v>603.82960000000003</v>
      </c>
      <c r="J59" s="23"/>
      <c r="L59" s="19"/>
    </row>
    <row r="60" spans="1:22" ht="15.75" customHeight="1">
      <c r="A60" s="29"/>
      <c r="B60" s="97" t="s">
        <v>48</v>
      </c>
      <c r="C60" s="83"/>
      <c r="D60" s="84"/>
      <c r="E60" s="85"/>
      <c r="F60" s="86"/>
      <c r="G60" s="86"/>
      <c r="H60" s="87" t="s">
        <v>146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15</v>
      </c>
      <c r="B61" s="14" t="s">
        <v>49</v>
      </c>
      <c r="C61" s="16" t="s">
        <v>138</v>
      </c>
      <c r="D61" s="14" t="s">
        <v>71</v>
      </c>
      <c r="E61" s="18">
        <v>15</v>
      </c>
      <c r="F61" s="75">
        <v>15</v>
      </c>
      <c r="G61" s="13">
        <v>209.41</v>
      </c>
      <c r="H61" s="90">
        <f t="shared" ref="H61:H68" si="8">SUM(F61*G61/1000)</f>
        <v>3.1411500000000001</v>
      </c>
      <c r="I61" s="13">
        <f>G61</f>
        <v>209.41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50</v>
      </c>
      <c r="C62" s="16" t="s">
        <v>138</v>
      </c>
      <c r="D62" s="14" t="s">
        <v>71</v>
      </c>
      <c r="E62" s="18">
        <v>5</v>
      </c>
      <c r="F62" s="75">
        <v>5</v>
      </c>
      <c r="G62" s="13">
        <v>71.790000000000006</v>
      </c>
      <c r="H62" s="90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51</v>
      </c>
      <c r="C63" s="16" t="s">
        <v>140</v>
      </c>
      <c r="D63" s="14" t="s">
        <v>57</v>
      </c>
      <c r="E63" s="48">
        <v>18281</v>
      </c>
      <c r="F63" s="13">
        <f>SUM(E63/100)</f>
        <v>182.81</v>
      </c>
      <c r="G63" s="13">
        <v>199.77</v>
      </c>
      <c r="H63" s="90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>
        <v>25</v>
      </c>
      <c r="B64" s="14" t="s">
        <v>52</v>
      </c>
      <c r="C64" s="16" t="s">
        <v>141</v>
      </c>
      <c r="D64" s="14"/>
      <c r="E64" s="48">
        <v>18281</v>
      </c>
      <c r="F64" s="13">
        <f>SUM(E64/1000)</f>
        <v>18.280999999999999</v>
      </c>
      <c r="G64" s="13">
        <v>155.57</v>
      </c>
      <c r="H64" s="90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53</v>
      </c>
      <c r="C65" s="16" t="s">
        <v>82</v>
      </c>
      <c r="D65" s="14" t="s">
        <v>57</v>
      </c>
      <c r="E65" s="48">
        <v>2730</v>
      </c>
      <c r="F65" s="13">
        <f>SUM(E65/100)</f>
        <v>27.3</v>
      </c>
      <c r="G65" s="13">
        <v>1953.52</v>
      </c>
      <c r="H65" s="90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91" t="s">
        <v>142</v>
      </c>
      <c r="C66" s="16" t="s">
        <v>34</v>
      </c>
      <c r="D66" s="14"/>
      <c r="E66" s="48">
        <v>16.399999999999999</v>
      </c>
      <c r="F66" s="13">
        <f>SUM(E66)</f>
        <v>16.399999999999999</v>
      </c>
      <c r="G66" s="13">
        <v>40.270000000000003</v>
      </c>
      <c r="H66" s="90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91" t="s">
        <v>143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37.71</v>
      </c>
      <c r="H67" s="90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>
        <v>19</v>
      </c>
      <c r="B68" s="14" t="s">
        <v>61</v>
      </c>
      <c r="C68" s="16" t="s">
        <v>62</v>
      </c>
      <c r="D68" s="14" t="s">
        <v>57</v>
      </c>
      <c r="E68" s="18">
        <v>7</v>
      </c>
      <c r="F68" s="75">
        <f>SUM(E68)</f>
        <v>7</v>
      </c>
      <c r="G68" s="13">
        <v>46.97</v>
      </c>
      <c r="H68" s="90">
        <f t="shared" si="8"/>
        <v>0.32878999999999997</v>
      </c>
      <c r="I68" s="13">
        <f>G68*7</f>
        <v>328.78999999999996</v>
      </c>
    </row>
    <row r="69" spans="1:9" ht="15.75" hidden="1" customHeight="1">
      <c r="A69" s="29"/>
      <c r="B69" s="110" t="s">
        <v>78</v>
      </c>
      <c r="C69" s="16"/>
      <c r="D69" s="14"/>
      <c r="E69" s="18"/>
      <c r="F69" s="13"/>
      <c r="G69" s="13"/>
      <c r="H69" s="90" t="s">
        <v>146</v>
      </c>
      <c r="I69" s="13"/>
    </row>
    <row r="70" spans="1:9" ht="15.75" hidden="1" customHeight="1">
      <c r="A70" s="29"/>
      <c r="B70" s="14" t="s">
        <v>96</v>
      </c>
      <c r="C70" s="16" t="s">
        <v>31</v>
      </c>
      <c r="D70" s="14"/>
      <c r="E70" s="18">
        <v>1</v>
      </c>
      <c r="F70" s="75">
        <f>SUM(E70)</f>
        <v>1</v>
      </c>
      <c r="G70" s="13">
        <v>337.58</v>
      </c>
      <c r="H70" s="90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80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90">
        <f>F71*G71/1000</f>
        <v>1.6063800000000001</v>
      </c>
      <c r="I71" s="13">
        <v>0</v>
      </c>
    </row>
    <row r="72" spans="1:9" ht="15.75" hidden="1" customHeight="1">
      <c r="A72" s="29"/>
      <c r="B72" s="92" t="s">
        <v>81</v>
      </c>
      <c r="C72" s="16"/>
      <c r="D72" s="14"/>
      <c r="E72" s="18"/>
      <c r="F72" s="13"/>
      <c r="G72" s="13" t="s">
        <v>146</v>
      </c>
      <c r="H72" s="90" t="s">
        <v>146</v>
      </c>
      <c r="I72" s="13"/>
    </row>
    <row r="73" spans="1:9" ht="15.75" hidden="1" customHeight="1">
      <c r="A73" s="29"/>
      <c r="B73" s="42" t="s">
        <v>147</v>
      </c>
      <c r="C73" s="16" t="s">
        <v>82</v>
      </c>
      <c r="D73" s="14"/>
      <c r="E73" s="18"/>
      <c r="F73" s="13">
        <v>1.35</v>
      </c>
      <c r="G73" s="13">
        <v>2494</v>
      </c>
      <c r="H73" s="90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78" t="s">
        <v>144</v>
      </c>
      <c r="C74" s="92"/>
      <c r="D74" s="31"/>
      <c r="E74" s="32"/>
      <c r="F74" s="79"/>
      <c r="G74" s="79"/>
      <c r="H74" s="93">
        <f>SUM(H56:H73)</f>
        <v>7351.9809012699989</v>
      </c>
      <c r="I74" s="79"/>
    </row>
    <row r="75" spans="1:9" ht="15.75" hidden="1" customHeight="1">
      <c r="A75" s="29">
        <v>29</v>
      </c>
      <c r="B75" s="73" t="s">
        <v>145</v>
      </c>
      <c r="C75" s="16"/>
      <c r="D75" s="14"/>
      <c r="E75" s="67"/>
      <c r="F75" s="13">
        <v>1</v>
      </c>
      <c r="G75" s="13">
        <v>17359.8</v>
      </c>
      <c r="H75" s="90">
        <f>G75*F75/1000</f>
        <v>17.3598</v>
      </c>
      <c r="I75" s="13">
        <f>G75</f>
        <v>17359.8</v>
      </c>
    </row>
    <row r="76" spans="1:9" ht="15.75" customHeight="1">
      <c r="A76" s="129" t="s">
        <v>235</v>
      </c>
      <c r="B76" s="130"/>
      <c r="C76" s="130"/>
      <c r="D76" s="130"/>
      <c r="E76" s="130"/>
      <c r="F76" s="130"/>
      <c r="G76" s="130"/>
      <c r="H76" s="130"/>
      <c r="I76" s="131"/>
    </row>
    <row r="77" spans="1:9" ht="15.75" customHeight="1">
      <c r="A77" s="29">
        <v>16</v>
      </c>
      <c r="B77" s="73" t="s">
        <v>148</v>
      </c>
      <c r="C77" s="16" t="s">
        <v>58</v>
      </c>
      <c r="D77" s="94" t="s">
        <v>59</v>
      </c>
      <c r="E77" s="13">
        <v>4224.3999999999996</v>
      </c>
      <c r="F77" s="13">
        <f>SUM(E77*12)</f>
        <v>50692.799999999996</v>
      </c>
      <c r="G77" s="13">
        <v>2.1</v>
      </c>
      <c r="H77" s="90">
        <f>SUM(F77*G77/1000)</f>
        <v>106.45487999999999</v>
      </c>
      <c r="I77" s="13">
        <f>F77/12*G77</f>
        <v>8871.24</v>
      </c>
    </row>
    <row r="78" spans="1:9" ht="31.5" customHeight="1">
      <c r="A78" s="29">
        <v>17</v>
      </c>
      <c r="B78" s="14" t="s">
        <v>83</v>
      </c>
      <c r="C78" s="16"/>
      <c r="D78" s="94" t="s">
        <v>59</v>
      </c>
      <c r="E78" s="48">
        <v>4224.3999999999996</v>
      </c>
      <c r="F78" s="13">
        <f>E78*12</f>
        <v>50692.799999999996</v>
      </c>
      <c r="G78" s="13">
        <v>1.63</v>
      </c>
      <c r="H78" s="90">
        <f>F78*G78/1000</f>
        <v>82.629263999999978</v>
      </c>
      <c r="I78" s="13">
        <f>F78/12*G78</f>
        <v>6885.771999999999</v>
      </c>
    </row>
    <row r="79" spans="1:9" ht="15.75" customHeight="1">
      <c r="A79" s="112"/>
      <c r="B79" s="34" t="s">
        <v>86</v>
      </c>
      <c r="C79" s="35"/>
      <c r="D79" s="15"/>
      <c r="E79" s="15"/>
      <c r="F79" s="15"/>
      <c r="G79" s="18"/>
      <c r="H79" s="18"/>
      <c r="I79" s="32">
        <f>SUM(I16+I17+I18+I20+I21+I25+I26+I37+I38+I40+I41+I43+I56+I59+I61+I77+I78)</f>
        <v>76939.280341333317</v>
      </c>
    </row>
    <row r="80" spans="1:9" ht="15.75" customHeight="1">
      <c r="A80" s="147" t="s">
        <v>64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29">
        <v>18</v>
      </c>
      <c r="B81" s="57" t="s">
        <v>197</v>
      </c>
      <c r="C81" s="58" t="s">
        <v>100</v>
      </c>
      <c r="D81" s="117"/>
      <c r="E81" s="118"/>
      <c r="F81" s="118">
        <f>(3*7+5+10+10+10+10+20+20+5+10+20+3)/3</f>
        <v>48</v>
      </c>
      <c r="G81" s="118">
        <v>1120.8900000000001</v>
      </c>
      <c r="H81" s="119">
        <f t="shared" ref="H81:H82" si="12">G81*F81/1000</f>
        <v>53.802720000000001</v>
      </c>
      <c r="I81" s="13">
        <f>G81*((15+10+15+15+15+10+10)/3)</f>
        <v>33626.700000000004</v>
      </c>
    </row>
    <row r="82" spans="1:9" ht="15.75" customHeight="1">
      <c r="A82" s="29">
        <v>19</v>
      </c>
      <c r="B82" s="46" t="s">
        <v>198</v>
      </c>
      <c r="C82" s="49" t="s">
        <v>138</v>
      </c>
      <c r="D82" s="42"/>
      <c r="E82" s="13"/>
      <c r="F82" s="13">
        <v>960</v>
      </c>
      <c r="G82" s="13">
        <v>53.42</v>
      </c>
      <c r="H82" s="90">
        <f t="shared" si="12"/>
        <v>51.283200000000008</v>
      </c>
      <c r="I82" s="13">
        <f>G82*80</f>
        <v>4273.6000000000004</v>
      </c>
    </row>
    <row r="83" spans="1:9" ht="15.75" customHeight="1">
      <c r="A83" s="29">
        <v>20</v>
      </c>
      <c r="B83" s="46" t="s">
        <v>217</v>
      </c>
      <c r="C83" s="49" t="s">
        <v>90</v>
      </c>
      <c r="D83" s="117"/>
      <c r="E83" s="118"/>
      <c r="F83" s="118">
        <v>6</v>
      </c>
      <c r="G83" s="118">
        <v>195.85</v>
      </c>
      <c r="H83" s="119">
        <f>G83*F83/1000</f>
        <v>1.1750999999999998</v>
      </c>
      <c r="I83" s="13">
        <f>G83</f>
        <v>195.85</v>
      </c>
    </row>
    <row r="84" spans="1:9" ht="15.75" customHeight="1">
      <c r="A84" s="29">
        <v>21</v>
      </c>
      <c r="B84" s="46" t="s">
        <v>262</v>
      </c>
      <c r="C84" s="49" t="s">
        <v>263</v>
      </c>
      <c r="D84" s="120"/>
      <c r="E84" s="17"/>
      <c r="F84" s="118">
        <v>2</v>
      </c>
      <c r="G84" s="118">
        <v>663.38</v>
      </c>
      <c r="H84" s="119">
        <f>G84*F84/1000</f>
        <v>1.3267599999999999</v>
      </c>
      <c r="I84" s="13">
        <f>G84</f>
        <v>663.38</v>
      </c>
    </row>
    <row r="85" spans="1:9" ht="31.5" customHeight="1">
      <c r="A85" s="29">
        <v>22</v>
      </c>
      <c r="B85" s="115" t="s">
        <v>270</v>
      </c>
      <c r="C85" s="116" t="s">
        <v>29</v>
      </c>
      <c r="D85" s="120"/>
      <c r="E85" s="17"/>
      <c r="F85" s="121">
        <f>1/1000</f>
        <v>1E-3</v>
      </c>
      <c r="G85" s="118">
        <v>1591.6</v>
      </c>
      <c r="H85" s="122">
        <f>G85*F85/1000</f>
        <v>1.5915999999999999E-3</v>
      </c>
      <c r="I85" s="13">
        <f>G85*0.001</f>
        <v>1.5915999999999999</v>
      </c>
    </row>
    <row r="86" spans="1:9" ht="15.75" customHeight="1">
      <c r="A86" s="29">
        <v>23</v>
      </c>
      <c r="B86" s="123" t="s">
        <v>271</v>
      </c>
      <c r="C86" s="124" t="s">
        <v>138</v>
      </c>
      <c r="D86" s="120"/>
      <c r="E86" s="17"/>
      <c r="F86" s="118">
        <v>2</v>
      </c>
      <c r="G86" s="118">
        <v>86.15</v>
      </c>
      <c r="H86" s="119">
        <f t="shared" ref="H86" si="13">G86*F86/1000</f>
        <v>0.17230000000000001</v>
      </c>
      <c r="I86" s="13">
        <f>G86*2</f>
        <v>172.3</v>
      </c>
    </row>
    <row r="87" spans="1:9" ht="31.5" customHeight="1">
      <c r="A87" s="29">
        <v>24</v>
      </c>
      <c r="B87" s="115" t="s">
        <v>274</v>
      </c>
      <c r="C87" s="116" t="s">
        <v>275</v>
      </c>
      <c r="D87" s="117"/>
      <c r="E87" s="118"/>
      <c r="F87" s="118">
        <f>27/100</f>
        <v>0.27</v>
      </c>
      <c r="G87" s="118">
        <v>25454.69</v>
      </c>
      <c r="H87" s="119">
        <f>G87*F87/1000</f>
        <v>6.8727663000000003</v>
      </c>
      <c r="I87" s="13">
        <f>G87*0.27</f>
        <v>6872.7663000000002</v>
      </c>
    </row>
    <row r="88" spans="1:9" ht="15.75" customHeight="1">
      <c r="A88" s="29"/>
      <c r="B88" s="40" t="s">
        <v>54</v>
      </c>
      <c r="C88" s="36"/>
      <c r="D88" s="44"/>
      <c r="E88" s="36">
        <v>1</v>
      </c>
      <c r="F88" s="36"/>
      <c r="G88" s="36"/>
      <c r="H88" s="36"/>
      <c r="I88" s="32">
        <f>SUM(I81:I87)</f>
        <v>45806.187900000004</v>
      </c>
    </row>
    <row r="89" spans="1:9" ht="15.75" customHeight="1">
      <c r="A89" s="29"/>
      <c r="B89" s="42" t="s">
        <v>84</v>
      </c>
      <c r="C89" s="15"/>
      <c r="D89" s="15"/>
      <c r="E89" s="37"/>
      <c r="F89" s="37"/>
      <c r="G89" s="38"/>
      <c r="H89" s="38"/>
      <c r="I89" s="17">
        <v>0</v>
      </c>
    </row>
    <row r="90" spans="1:9" ht="15.75" customHeight="1">
      <c r="A90" s="45"/>
      <c r="B90" s="41" t="s">
        <v>180</v>
      </c>
      <c r="C90" s="33"/>
      <c r="D90" s="33"/>
      <c r="E90" s="33"/>
      <c r="F90" s="33"/>
      <c r="G90" s="33"/>
      <c r="H90" s="33"/>
      <c r="I90" s="39">
        <f>I79+I88</f>
        <v>122745.46824133332</v>
      </c>
    </row>
    <row r="91" spans="1:9" ht="15.75" customHeight="1">
      <c r="A91" s="143" t="s">
        <v>282</v>
      </c>
      <c r="B91" s="143"/>
      <c r="C91" s="143"/>
      <c r="D91" s="143"/>
      <c r="E91" s="143"/>
      <c r="F91" s="143"/>
      <c r="G91" s="143"/>
      <c r="H91" s="143"/>
      <c r="I91" s="143"/>
    </row>
    <row r="92" spans="1:9" ht="15.75" customHeight="1">
      <c r="A92" s="56"/>
      <c r="B92" s="144" t="s">
        <v>283</v>
      </c>
      <c r="C92" s="144"/>
      <c r="D92" s="144"/>
      <c r="E92" s="144"/>
      <c r="F92" s="144"/>
      <c r="G92" s="144"/>
      <c r="H92" s="71"/>
      <c r="I92" s="3"/>
    </row>
    <row r="93" spans="1:9" ht="15.75" customHeight="1">
      <c r="A93" s="108"/>
      <c r="B93" s="145" t="s">
        <v>6</v>
      </c>
      <c r="C93" s="145"/>
      <c r="D93" s="145"/>
      <c r="E93" s="145"/>
      <c r="F93" s="145"/>
      <c r="G93" s="145"/>
      <c r="H93" s="24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46" t="s">
        <v>7</v>
      </c>
      <c r="B95" s="146"/>
      <c r="C95" s="146"/>
      <c r="D95" s="146"/>
      <c r="E95" s="146"/>
      <c r="F95" s="146"/>
      <c r="G95" s="146"/>
      <c r="H95" s="146"/>
      <c r="I95" s="146"/>
    </row>
    <row r="96" spans="1:9" ht="15.75" customHeight="1">
      <c r="A96" s="146" t="s">
        <v>8</v>
      </c>
      <c r="B96" s="146"/>
      <c r="C96" s="146"/>
      <c r="D96" s="146"/>
      <c r="E96" s="146"/>
      <c r="F96" s="146"/>
      <c r="G96" s="146"/>
      <c r="H96" s="146"/>
      <c r="I96" s="146"/>
    </row>
    <row r="97" spans="1:9" ht="15.75" customHeight="1">
      <c r="A97" s="138" t="s">
        <v>65</v>
      </c>
      <c r="B97" s="138"/>
      <c r="C97" s="138"/>
      <c r="D97" s="138"/>
      <c r="E97" s="138"/>
      <c r="F97" s="138"/>
      <c r="G97" s="138"/>
      <c r="H97" s="138"/>
      <c r="I97" s="138"/>
    </row>
    <row r="98" spans="1:9" ht="15.75" customHeight="1">
      <c r="A98" s="11"/>
    </row>
    <row r="99" spans="1:9" ht="15.75" customHeight="1">
      <c r="A99" s="151" t="s">
        <v>9</v>
      </c>
      <c r="B99" s="151"/>
      <c r="C99" s="151"/>
      <c r="D99" s="151"/>
      <c r="E99" s="151"/>
      <c r="F99" s="151"/>
      <c r="G99" s="151"/>
      <c r="H99" s="151"/>
      <c r="I99" s="151"/>
    </row>
    <row r="100" spans="1:9" ht="15.75" customHeight="1">
      <c r="A100" s="4"/>
    </row>
    <row r="101" spans="1:9" ht="15.75" customHeight="1">
      <c r="B101" s="111" t="s">
        <v>10</v>
      </c>
      <c r="C101" s="152" t="s">
        <v>98</v>
      </c>
      <c r="D101" s="152"/>
      <c r="E101" s="152"/>
      <c r="F101" s="69"/>
      <c r="I101" s="114"/>
    </row>
    <row r="102" spans="1:9" ht="15.75" customHeight="1">
      <c r="A102" s="108"/>
      <c r="C102" s="145" t="s">
        <v>11</v>
      </c>
      <c r="D102" s="145"/>
      <c r="E102" s="145"/>
      <c r="F102" s="24"/>
      <c r="I102" s="113" t="s">
        <v>12</v>
      </c>
    </row>
    <row r="103" spans="1:9" ht="15.75" customHeight="1">
      <c r="A103" s="25"/>
      <c r="C103" s="12"/>
      <c r="D103" s="12"/>
      <c r="G103" s="12"/>
      <c r="H103" s="12"/>
    </row>
    <row r="104" spans="1:9" ht="15.75" customHeight="1">
      <c r="B104" s="111" t="s">
        <v>13</v>
      </c>
      <c r="C104" s="153"/>
      <c r="D104" s="153"/>
      <c r="E104" s="153"/>
      <c r="F104" s="70"/>
      <c r="I104" s="114"/>
    </row>
    <row r="105" spans="1:9" ht="15.75" customHeight="1">
      <c r="A105" s="108"/>
      <c r="C105" s="128" t="s">
        <v>11</v>
      </c>
      <c r="D105" s="128"/>
      <c r="E105" s="128"/>
      <c r="F105" s="108"/>
      <c r="I105" s="113" t="s">
        <v>12</v>
      </c>
    </row>
    <row r="106" spans="1:9" ht="15.75" customHeight="1">
      <c r="A106" s="4" t="s">
        <v>14</v>
      </c>
    </row>
    <row r="107" spans="1:9" ht="15.75" customHeight="1">
      <c r="A107" s="154" t="s">
        <v>15</v>
      </c>
      <c r="B107" s="154"/>
      <c r="C107" s="154"/>
      <c r="D107" s="154"/>
      <c r="E107" s="154"/>
      <c r="F107" s="154"/>
      <c r="G107" s="154"/>
      <c r="H107" s="154"/>
      <c r="I107" s="154"/>
    </row>
    <row r="108" spans="1:9" ht="45" customHeight="1">
      <c r="A108" s="150" t="s">
        <v>16</v>
      </c>
      <c r="B108" s="150"/>
      <c r="C108" s="150"/>
      <c r="D108" s="150"/>
      <c r="E108" s="150"/>
      <c r="F108" s="150"/>
      <c r="G108" s="150"/>
      <c r="H108" s="150"/>
      <c r="I108" s="150"/>
    </row>
    <row r="109" spans="1:9" ht="30" customHeight="1">
      <c r="A109" s="150" t="s">
        <v>17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30" customHeight="1">
      <c r="A110" s="150" t="s">
        <v>21</v>
      </c>
      <c r="B110" s="150"/>
      <c r="C110" s="150"/>
      <c r="D110" s="150"/>
      <c r="E110" s="150"/>
      <c r="F110" s="150"/>
      <c r="G110" s="150"/>
      <c r="H110" s="150"/>
      <c r="I110" s="150"/>
    </row>
    <row r="111" spans="1:9" ht="15" customHeight="1">
      <c r="A111" s="150" t="s">
        <v>20</v>
      </c>
      <c r="B111" s="150"/>
      <c r="C111" s="150"/>
      <c r="D111" s="150"/>
      <c r="E111" s="150"/>
      <c r="F111" s="150"/>
      <c r="G111" s="150"/>
      <c r="H111" s="150"/>
      <c r="I111" s="150"/>
    </row>
  </sheetData>
  <autoFilter ref="I12:I59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3:U63"/>
    <mergeCell ref="C105:E105"/>
    <mergeCell ref="A80:I80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6:I76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108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272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273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9"/>
      <c r="C6" s="109"/>
      <c r="D6" s="109"/>
      <c r="E6" s="109"/>
      <c r="F6" s="109"/>
      <c r="G6" s="109"/>
      <c r="H6" s="109"/>
      <c r="I6" s="30">
        <v>43100</v>
      </c>
      <c r="J6" s="2"/>
      <c r="K6" s="2"/>
      <c r="L6" s="2"/>
      <c r="M6" s="2"/>
    </row>
    <row r="7" spans="1:13" ht="15.75" customHeight="1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73" t="s">
        <v>68</v>
      </c>
      <c r="C25" s="74" t="s">
        <v>34</v>
      </c>
      <c r="D25" s="73" t="s">
        <v>256</v>
      </c>
      <c r="E25" s="48">
        <v>0.1</v>
      </c>
      <c r="F25" s="75">
        <f>SUM(E25*365)</f>
        <v>36.5</v>
      </c>
      <c r="G25" s="75">
        <v>147.03</v>
      </c>
      <c r="H25" s="76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81" t="s">
        <v>23</v>
      </c>
      <c r="C26" s="74" t="s">
        <v>24</v>
      </c>
      <c r="D26" s="73" t="s">
        <v>256</v>
      </c>
      <c r="E26" s="48">
        <v>4224.3999999999996</v>
      </c>
      <c r="F26" s="75">
        <f>SUM(E26*12)</f>
        <v>50692.799999999996</v>
      </c>
      <c r="G26" s="75">
        <v>4.59</v>
      </c>
      <c r="H26" s="76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39" t="s">
        <v>92</v>
      </c>
      <c r="B27" s="139"/>
      <c r="C27" s="139"/>
      <c r="D27" s="139"/>
      <c r="E27" s="139"/>
      <c r="F27" s="139"/>
      <c r="G27" s="139"/>
      <c r="H27" s="139"/>
      <c r="I27" s="139"/>
      <c r="J27" s="22"/>
      <c r="K27" s="8"/>
      <c r="L27" s="8"/>
      <c r="M27" s="8"/>
    </row>
    <row r="28" spans="1:13" ht="15.75" hidden="1" customHeight="1">
      <c r="A28" s="29"/>
      <c r="B28" s="96" t="s">
        <v>28</v>
      </c>
      <c r="C28" s="74"/>
      <c r="D28" s="73"/>
      <c r="E28" s="48"/>
      <c r="F28" s="75"/>
      <c r="G28" s="75"/>
      <c r="H28" s="76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73" t="s">
        <v>125</v>
      </c>
      <c r="C29" s="74" t="s">
        <v>126</v>
      </c>
      <c r="D29" s="73" t="s">
        <v>127</v>
      </c>
      <c r="E29" s="75">
        <v>1414.6</v>
      </c>
      <c r="F29" s="75">
        <f>SUM(E29*52/1000)</f>
        <v>73.559200000000004</v>
      </c>
      <c r="G29" s="75">
        <v>155.88999999999999</v>
      </c>
      <c r="H29" s="76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73" t="s">
        <v>166</v>
      </c>
      <c r="C30" s="74" t="s">
        <v>126</v>
      </c>
      <c r="D30" s="73" t="s">
        <v>128</v>
      </c>
      <c r="E30" s="75">
        <v>632.4</v>
      </c>
      <c r="F30" s="75">
        <f>SUM(E30*78/1000)</f>
        <v>49.327199999999998</v>
      </c>
      <c r="G30" s="75">
        <v>258.63</v>
      </c>
      <c r="H30" s="76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73" t="s">
        <v>27</v>
      </c>
      <c r="C31" s="74" t="s">
        <v>126</v>
      </c>
      <c r="D31" s="73" t="s">
        <v>57</v>
      </c>
      <c r="E31" s="75">
        <v>1414.6</v>
      </c>
      <c r="F31" s="75">
        <f>SUM(E31/1000)</f>
        <v>1.4145999999999999</v>
      </c>
      <c r="G31" s="75">
        <v>3020.33</v>
      </c>
      <c r="H31" s="76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73" t="s">
        <v>129</v>
      </c>
      <c r="C32" s="74" t="s">
        <v>42</v>
      </c>
      <c r="D32" s="73" t="s">
        <v>67</v>
      </c>
      <c r="E32" s="75">
        <v>6</v>
      </c>
      <c r="F32" s="75">
        <f>SUM(E32*155/100)</f>
        <v>9.3000000000000007</v>
      </c>
      <c r="G32" s="75">
        <v>1302.02</v>
      </c>
      <c r="H32" s="76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73" t="s">
        <v>130</v>
      </c>
      <c r="C33" s="74" t="s">
        <v>31</v>
      </c>
      <c r="D33" s="73" t="s">
        <v>67</v>
      </c>
      <c r="E33" s="80">
        <v>0.33333333333333331</v>
      </c>
      <c r="F33" s="75">
        <f>155/3</f>
        <v>51.666666666666664</v>
      </c>
      <c r="G33" s="75">
        <v>56.69</v>
      </c>
      <c r="H33" s="76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73" t="s">
        <v>69</v>
      </c>
      <c r="C34" s="74" t="s">
        <v>34</v>
      </c>
      <c r="D34" s="73" t="s">
        <v>71</v>
      </c>
      <c r="E34" s="48"/>
      <c r="F34" s="75">
        <v>4</v>
      </c>
      <c r="G34" s="75">
        <v>191.32</v>
      </c>
      <c r="H34" s="76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73" t="s">
        <v>70</v>
      </c>
      <c r="C35" s="74" t="s">
        <v>33</v>
      </c>
      <c r="D35" s="73" t="s">
        <v>71</v>
      </c>
      <c r="E35" s="48"/>
      <c r="F35" s="75">
        <v>3</v>
      </c>
      <c r="G35" s="75">
        <v>1136.33</v>
      </c>
      <c r="H35" s="76">
        <f t="shared" si="2"/>
        <v>3.4089899999999997</v>
      </c>
      <c r="I35" s="13">
        <v>0</v>
      </c>
      <c r="J35" s="23"/>
    </row>
    <row r="36" spans="1:14" ht="15.75" customHeight="1">
      <c r="A36" s="29"/>
      <c r="B36" s="96" t="s">
        <v>5</v>
      </c>
      <c r="C36" s="74"/>
      <c r="D36" s="73"/>
      <c r="E36" s="48"/>
      <c r="F36" s="75"/>
      <c r="G36" s="75"/>
      <c r="H36" s="76" t="s">
        <v>146</v>
      </c>
      <c r="I36" s="13"/>
      <c r="J36" s="23"/>
    </row>
    <row r="37" spans="1:14" ht="15.75" customHeight="1">
      <c r="A37" s="29">
        <v>8</v>
      </c>
      <c r="B37" s="73" t="s">
        <v>26</v>
      </c>
      <c r="C37" s="74" t="s">
        <v>33</v>
      </c>
      <c r="D37" s="73"/>
      <c r="E37" s="48"/>
      <c r="F37" s="75">
        <v>20</v>
      </c>
      <c r="G37" s="75">
        <v>1527.22</v>
      </c>
      <c r="H37" s="76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customHeight="1">
      <c r="A38" s="29">
        <v>9</v>
      </c>
      <c r="B38" s="73" t="s">
        <v>72</v>
      </c>
      <c r="C38" s="74" t="s">
        <v>29</v>
      </c>
      <c r="D38" s="73" t="s">
        <v>182</v>
      </c>
      <c r="E38" s="75">
        <v>632.4</v>
      </c>
      <c r="F38" s="75">
        <f>SUM(E38*50/1000)</f>
        <v>31.62</v>
      </c>
      <c r="G38" s="75">
        <v>2102.71</v>
      </c>
      <c r="H38" s="76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73" t="s">
        <v>104</v>
      </c>
      <c r="C39" s="74" t="s">
        <v>132</v>
      </c>
      <c r="D39" s="73" t="s">
        <v>71</v>
      </c>
      <c r="E39" s="48"/>
      <c r="F39" s="75">
        <v>30</v>
      </c>
      <c r="G39" s="75">
        <v>213.2</v>
      </c>
      <c r="H39" s="76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customHeight="1">
      <c r="A40" s="29">
        <v>10</v>
      </c>
      <c r="B40" s="73" t="s">
        <v>73</v>
      </c>
      <c r="C40" s="74" t="s">
        <v>29</v>
      </c>
      <c r="D40" s="73" t="s">
        <v>133</v>
      </c>
      <c r="E40" s="75">
        <v>106</v>
      </c>
      <c r="F40" s="75">
        <f>SUM(E40*155/1000)</f>
        <v>16.43</v>
      </c>
      <c r="G40" s="75">
        <v>350.75</v>
      </c>
      <c r="H40" s="76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customHeight="1">
      <c r="A41" s="29">
        <v>11</v>
      </c>
      <c r="B41" s="73" t="s">
        <v>89</v>
      </c>
      <c r="C41" s="74" t="s">
        <v>126</v>
      </c>
      <c r="D41" s="73" t="s">
        <v>183</v>
      </c>
      <c r="E41" s="75">
        <v>106</v>
      </c>
      <c r="F41" s="75">
        <f>SUM(E41*70/1000)</f>
        <v>7.42</v>
      </c>
      <c r="G41" s="75">
        <v>5803.28</v>
      </c>
      <c r="H41" s="76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73" t="s">
        <v>135</v>
      </c>
      <c r="C42" s="74" t="s">
        <v>126</v>
      </c>
      <c r="D42" s="73" t="s">
        <v>74</v>
      </c>
      <c r="E42" s="75">
        <v>106</v>
      </c>
      <c r="F42" s="75">
        <f>SUM(E42*45/1000)</f>
        <v>4.7699999999999996</v>
      </c>
      <c r="G42" s="75">
        <v>428.7</v>
      </c>
      <c r="H42" s="76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customHeight="1">
      <c r="A43" s="29">
        <v>12</v>
      </c>
      <c r="B43" s="73" t="s">
        <v>75</v>
      </c>
      <c r="C43" s="74" t="s">
        <v>34</v>
      </c>
      <c r="D43" s="73"/>
      <c r="E43" s="48"/>
      <c r="F43" s="75">
        <v>0.9</v>
      </c>
      <c r="G43" s="75">
        <v>798</v>
      </c>
      <c r="H43" s="76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0" t="s">
        <v>152</v>
      </c>
      <c r="B44" s="141"/>
      <c r="C44" s="141"/>
      <c r="D44" s="141"/>
      <c r="E44" s="141"/>
      <c r="F44" s="141"/>
      <c r="G44" s="141"/>
      <c r="H44" s="141"/>
      <c r="I44" s="142"/>
      <c r="J44" s="23"/>
      <c r="L44" s="19"/>
      <c r="M44" s="20"/>
      <c r="N44" s="21"/>
    </row>
    <row r="45" spans="1:14" ht="15.75" hidden="1" customHeight="1">
      <c r="A45" s="29">
        <v>12</v>
      </c>
      <c r="B45" s="73" t="s">
        <v>184</v>
      </c>
      <c r="C45" s="74" t="s">
        <v>126</v>
      </c>
      <c r="D45" s="73" t="s">
        <v>44</v>
      </c>
      <c r="E45" s="48">
        <v>1150.5999999999999</v>
      </c>
      <c r="F45" s="75">
        <f>SUM(E45*2/1000)</f>
        <v>2.3011999999999997</v>
      </c>
      <c r="G45" s="13">
        <v>849.49</v>
      </c>
      <c r="H45" s="76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73" t="s">
        <v>37</v>
      </c>
      <c r="C46" s="74" t="s">
        <v>126</v>
      </c>
      <c r="D46" s="73" t="s">
        <v>44</v>
      </c>
      <c r="E46" s="48">
        <v>108.96</v>
      </c>
      <c r="F46" s="75">
        <f>SUM(E46*2/1000)</f>
        <v>0.21791999999999997</v>
      </c>
      <c r="G46" s="13">
        <v>579.48</v>
      </c>
      <c r="H46" s="76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73" t="s">
        <v>38</v>
      </c>
      <c r="C47" s="74" t="s">
        <v>126</v>
      </c>
      <c r="D47" s="73" t="s">
        <v>44</v>
      </c>
      <c r="E47" s="48">
        <v>4224.3999999999996</v>
      </c>
      <c r="F47" s="75">
        <f>SUM(E47*2/1000)</f>
        <v>8.4487999999999985</v>
      </c>
      <c r="G47" s="13">
        <v>579.48</v>
      </c>
      <c r="H47" s="76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73" t="s">
        <v>39</v>
      </c>
      <c r="C48" s="74" t="s">
        <v>126</v>
      </c>
      <c r="D48" s="73" t="s">
        <v>44</v>
      </c>
      <c r="E48" s="48">
        <v>3059.7</v>
      </c>
      <c r="F48" s="75">
        <f>SUM(E48*2/1000)</f>
        <v>6.1193999999999997</v>
      </c>
      <c r="G48" s="13">
        <v>606.77</v>
      </c>
      <c r="H48" s="76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customHeight="1">
      <c r="A49" s="29">
        <v>13</v>
      </c>
      <c r="B49" s="73" t="s">
        <v>60</v>
      </c>
      <c r="C49" s="74" t="s">
        <v>126</v>
      </c>
      <c r="D49" s="73" t="s">
        <v>167</v>
      </c>
      <c r="E49" s="48">
        <v>1150.5999999999999</v>
      </c>
      <c r="F49" s="75">
        <f>SUM(E49*5/1000)</f>
        <v>5.7530000000000001</v>
      </c>
      <c r="G49" s="13">
        <v>1213.55</v>
      </c>
      <c r="H49" s="76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12</v>
      </c>
      <c r="B50" s="73" t="s">
        <v>136</v>
      </c>
      <c r="C50" s="74" t="s">
        <v>126</v>
      </c>
      <c r="D50" s="73" t="s">
        <v>44</v>
      </c>
      <c r="E50" s="48">
        <v>1150.5999999999999</v>
      </c>
      <c r="F50" s="75">
        <f>SUM(E50*2/1000)</f>
        <v>2.3011999999999997</v>
      </c>
      <c r="G50" s="13">
        <v>1213.55</v>
      </c>
      <c r="H50" s="76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13</v>
      </c>
      <c r="B51" s="73" t="s">
        <v>137</v>
      </c>
      <c r="C51" s="74" t="s">
        <v>40</v>
      </c>
      <c r="D51" s="73" t="s">
        <v>44</v>
      </c>
      <c r="E51" s="48">
        <v>30</v>
      </c>
      <c r="F51" s="75">
        <f>SUM(E51*2/100)</f>
        <v>0.6</v>
      </c>
      <c r="G51" s="13">
        <v>2730.49</v>
      </c>
      <c r="H51" s="76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73" t="s">
        <v>41</v>
      </c>
      <c r="C52" s="74" t="s">
        <v>42</v>
      </c>
      <c r="D52" s="73" t="s">
        <v>44</v>
      </c>
      <c r="E52" s="48">
        <v>1</v>
      </c>
      <c r="F52" s="75">
        <v>0.02</v>
      </c>
      <c r="G52" s="13">
        <v>5652.13</v>
      </c>
      <c r="H52" s="76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73" t="s">
        <v>43</v>
      </c>
      <c r="C53" s="74" t="s">
        <v>138</v>
      </c>
      <c r="D53" s="73" t="s">
        <v>76</v>
      </c>
      <c r="E53" s="48">
        <v>158</v>
      </c>
      <c r="F53" s="75">
        <f>SUM(E53)*3</f>
        <v>474</v>
      </c>
      <c r="G53" s="13">
        <v>65.67</v>
      </c>
      <c r="H53" s="76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0" t="s">
        <v>153</v>
      </c>
      <c r="B54" s="141"/>
      <c r="C54" s="141"/>
      <c r="D54" s="141"/>
      <c r="E54" s="141"/>
      <c r="F54" s="141"/>
      <c r="G54" s="141"/>
      <c r="H54" s="141"/>
      <c r="I54" s="142"/>
      <c r="J54" s="23"/>
      <c r="L54" s="19"/>
      <c r="M54" s="20"/>
      <c r="N54" s="21"/>
    </row>
    <row r="55" spans="1:22" ht="15.75" customHeight="1">
      <c r="A55" s="29"/>
      <c r="B55" s="96" t="s">
        <v>45</v>
      </c>
      <c r="C55" s="74"/>
      <c r="D55" s="73"/>
      <c r="E55" s="48"/>
      <c r="F55" s="75"/>
      <c r="G55" s="75"/>
      <c r="H55" s="76"/>
      <c r="I55" s="13"/>
      <c r="J55" s="23"/>
      <c r="L55" s="19"/>
      <c r="M55" s="20"/>
      <c r="N55" s="21"/>
    </row>
    <row r="56" spans="1:22" ht="31.5" customHeight="1">
      <c r="A56" s="29">
        <v>14</v>
      </c>
      <c r="B56" s="73" t="s">
        <v>186</v>
      </c>
      <c r="C56" s="74" t="s">
        <v>117</v>
      </c>
      <c r="D56" s="73" t="s">
        <v>187</v>
      </c>
      <c r="E56" s="105">
        <v>6</v>
      </c>
      <c r="F56" s="13">
        <f>E56*8/100</f>
        <v>0.48</v>
      </c>
      <c r="G56" s="75">
        <v>1547.28</v>
      </c>
      <c r="H56" s="76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106"/>
      <c r="B57" s="73" t="s">
        <v>109</v>
      </c>
      <c r="C57" s="74" t="s">
        <v>110</v>
      </c>
      <c r="D57" s="73" t="s">
        <v>44</v>
      </c>
      <c r="E57" s="48">
        <v>6</v>
      </c>
      <c r="F57" s="75">
        <v>12</v>
      </c>
      <c r="G57" s="82">
        <v>180.78</v>
      </c>
      <c r="H57" s="76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97" t="s">
        <v>46</v>
      </c>
      <c r="C58" s="83"/>
      <c r="D58" s="84"/>
      <c r="E58" s="85"/>
      <c r="F58" s="87"/>
      <c r="G58" s="13"/>
      <c r="H58" s="89"/>
      <c r="I58" s="13"/>
      <c r="J58" s="23"/>
      <c r="L58" s="19"/>
      <c r="M58" s="20"/>
      <c r="N58" s="21"/>
    </row>
    <row r="59" spans="1:22" ht="15.75" customHeight="1">
      <c r="A59" s="29">
        <v>15</v>
      </c>
      <c r="B59" s="84" t="s">
        <v>105</v>
      </c>
      <c r="C59" s="83" t="s">
        <v>25</v>
      </c>
      <c r="D59" s="84"/>
      <c r="E59" s="85">
        <v>232.6</v>
      </c>
      <c r="F59" s="86">
        <f>E59*12</f>
        <v>2791.2</v>
      </c>
      <c r="G59" s="107">
        <v>2.5960000000000001</v>
      </c>
      <c r="H59" s="87">
        <f>G59*F59</f>
        <v>7245.9551999999994</v>
      </c>
      <c r="I59" s="13">
        <f>F59/12*G59</f>
        <v>603.82960000000003</v>
      </c>
      <c r="J59" s="23"/>
      <c r="L59" s="19"/>
    </row>
    <row r="60" spans="1:22" ht="15.75" hidden="1" customHeight="1">
      <c r="A60" s="29"/>
      <c r="B60" s="97" t="s">
        <v>48</v>
      </c>
      <c r="C60" s="83"/>
      <c r="D60" s="84"/>
      <c r="E60" s="85"/>
      <c r="F60" s="86"/>
      <c r="G60" s="86"/>
      <c r="H60" s="87" t="s">
        <v>146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16</v>
      </c>
      <c r="B61" s="14" t="s">
        <v>49</v>
      </c>
      <c r="C61" s="16" t="s">
        <v>138</v>
      </c>
      <c r="D61" s="14" t="s">
        <v>71</v>
      </c>
      <c r="E61" s="18">
        <v>15</v>
      </c>
      <c r="F61" s="75">
        <v>15</v>
      </c>
      <c r="G61" s="13">
        <v>209.41</v>
      </c>
      <c r="H61" s="90">
        <f t="shared" ref="H61:H68" si="8">SUM(F61*G61/1000)</f>
        <v>3.1411500000000001</v>
      </c>
      <c r="I61" s="13">
        <f>G61</f>
        <v>209.41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50</v>
      </c>
      <c r="C62" s="16" t="s">
        <v>138</v>
      </c>
      <c r="D62" s="14" t="s">
        <v>71</v>
      </c>
      <c r="E62" s="18">
        <v>5</v>
      </c>
      <c r="F62" s="75">
        <v>5</v>
      </c>
      <c r="G62" s="13">
        <v>71.790000000000006</v>
      </c>
      <c r="H62" s="90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51</v>
      </c>
      <c r="C63" s="16" t="s">
        <v>140</v>
      </c>
      <c r="D63" s="14" t="s">
        <v>57</v>
      </c>
      <c r="E63" s="48">
        <v>18281</v>
      </c>
      <c r="F63" s="13">
        <f>SUM(E63/100)</f>
        <v>182.81</v>
      </c>
      <c r="G63" s="13">
        <v>199.77</v>
      </c>
      <c r="H63" s="90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>
        <v>25</v>
      </c>
      <c r="B64" s="14" t="s">
        <v>52</v>
      </c>
      <c r="C64" s="16" t="s">
        <v>141</v>
      </c>
      <c r="D64" s="14"/>
      <c r="E64" s="48">
        <v>18281</v>
      </c>
      <c r="F64" s="13">
        <f>SUM(E64/1000)</f>
        <v>18.280999999999999</v>
      </c>
      <c r="G64" s="13">
        <v>155.57</v>
      </c>
      <c r="H64" s="90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53</v>
      </c>
      <c r="C65" s="16" t="s">
        <v>82</v>
      </c>
      <c r="D65" s="14" t="s">
        <v>57</v>
      </c>
      <c r="E65" s="48">
        <v>2730</v>
      </c>
      <c r="F65" s="13">
        <f>SUM(E65/100)</f>
        <v>27.3</v>
      </c>
      <c r="G65" s="13">
        <v>1953.52</v>
      </c>
      <c r="H65" s="90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91" t="s">
        <v>142</v>
      </c>
      <c r="C66" s="16" t="s">
        <v>34</v>
      </c>
      <c r="D66" s="14"/>
      <c r="E66" s="48">
        <v>16.399999999999999</v>
      </c>
      <c r="F66" s="13">
        <f>SUM(E66)</f>
        <v>16.399999999999999</v>
      </c>
      <c r="G66" s="13">
        <v>40.270000000000003</v>
      </c>
      <c r="H66" s="90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91" t="s">
        <v>143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37.71</v>
      </c>
      <c r="H67" s="90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>
        <v>19</v>
      </c>
      <c r="B68" s="14" t="s">
        <v>61</v>
      </c>
      <c r="C68" s="16" t="s">
        <v>62</v>
      </c>
      <c r="D68" s="14" t="s">
        <v>57</v>
      </c>
      <c r="E68" s="18">
        <v>7</v>
      </c>
      <c r="F68" s="75">
        <f>SUM(E68)</f>
        <v>7</v>
      </c>
      <c r="G68" s="13">
        <v>46.97</v>
      </c>
      <c r="H68" s="90">
        <f t="shared" si="8"/>
        <v>0.32878999999999997</v>
      </c>
      <c r="I68" s="13">
        <f>G68*7</f>
        <v>328.78999999999996</v>
      </c>
    </row>
    <row r="69" spans="1:9" ht="15.75" hidden="1" customHeight="1">
      <c r="A69" s="29"/>
      <c r="B69" s="110" t="s">
        <v>78</v>
      </c>
      <c r="C69" s="16"/>
      <c r="D69" s="14"/>
      <c r="E69" s="18"/>
      <c r="F69" s="13"/>
      <c r="G69" s="13"/>
      <c r="H69" s="90" t="s">
        <v>146</v>
      </c>
      <c r="I69" s="13"/>
    </row>
    <row r="70" spans="1:9" ht="15.75" hidden="1" customHeight="1">
      <c r="A70" s="29"/>
      <c r="B70" s="14" t="s">
        <v>96</v>
      </c>
      <c r="C70" s="16" t="s">
        <v>31</v>
      </c>
      <c r="D70" s="14"/>
      <c r="E70" s="18">
        <v>1</v>
      </c>
      <c r="F70" s="75">
        <f>SUM(E70)</f>
        <v>1</v>
      </c>
      <c r="G70" s="13">
        <v>337.58</v>
      </c>
      <c r="H70" s="90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80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90">
        <f>F71*G71/1000</f>
        <v>1.6063800000000001</v>
      </c>
      <c r="I71" s="13">
        <v>0</v>
      </c>
    </row>
    <row r="72" spans="1:9" ht="15.75" hidden="1" customHeight="1">
      <c r="A72" s="29"/>
      <c r="B72" s="92" t="s">
        <v>81</v>
      </c>
      <c r="C72" s="16"/>
      <c r="D72" s="14"/>
      <c r="E72" s="18"/>
      <c r="F72" s="13"/>
      <c r="G72" s="13" t="s">
        <v>146</v>
      </c>
      <c r="H72" s="90" t="s">
        <v>146</v>
      </c>
      <c r="I72" s="13"/>
    </row>
    <row r="73" spans="1:9" ht="15.75" hidden="1" customHeight="1">
      <c r="A73" s="29"/>
      <c r="B73" s="42" t="s">
        <v>147</v>
      </c>
      <c r="C73" s="16" t="s">
        <v>82</v>
      </c>
      <c r="D73" s="14"/>
      <c r="E73" s="18"/>
      <c r="F73" s="13">
        <v>1.35</v>
      </c>
      <c r="G73" s="13">
        <v>2494</v>
      </c>
      <c r="H73" s="90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78" t="s">
        <v>144</v>
      </c>
      <c r="C74" s="92"/>
      <c r="D74" s="31"/>
      <c r="E74" s="32"/>
      <c r="F74" s="79"/>
      <c r="G74" s="79"/>
      <c r="H74" s="93">
        <f>SUM(H56:H73)</f>
        <v>7351.9809012699989</v>
      </c>
      <c r="I74" s="79"/>
    </row>
    <row r="75" spans="1:9" ht="15.75" hidden="1" customHeight="1">
      <c r="A75" s="29">
        <v>29</v>
      </c>
      <c r="B75" s="73" t="s">
        <v>145</v>
      </c>
      <c r="C75" s="16"/>
      <c r="D75" s="14"/>
      <c r="E75" s="67"/>
      <c r="F75" s="13">
        <v>1</v>
      </c>
      <c r="G75" s="13">
        <v>17359.8</v>
      </c>
      <c r="H75" s="90">
        <f>G75*F75/1000</f>
        <v>17.3598</v>
      </c>
      <c r="I75" s="13">
        <f>G75</f>
        <v>17359.8</v>
      </c>
    </row>
    <row r="76" spans="1:9" ht="15.75" customHeight="1">
      <c r="A76" s="129" t="s">
        <v>154</v>
      </c>
      <c r="B76" s="130"/>
      <c r="C76" s="130"/>
      <c r="D76" s="130"/>
      <c r="E76" s="130"/>
      <c r="F76" s="130"/>
      <c r="G76" s="130"/>
      <c r="H76" s="130"/>
      <c r="I76" s="131"/>
    </row>
    <row r="77" spans="1:9" ht="15.75" customHeight="1">
      <c r="A77" s="29">
        <v>16</v>
      </c>
      <c r="B77" s="73" t="s">
        <v>148</v>
      </c>
      <c r="C77" s="16" t="s">
        <v>58</v>
      </c>
      <c r="D77" s="94" t="s">
        <v>59</v>
      </c>
      <c r="E77" s="13">
        <v>4224.3999999999996</v>
      </c>
      <c r="F77" s="13">
        <f>SUM(E77*12)</f>
        <v>50692.799999999996</v>
      </c>
      <c r="G77" s="13">
        <v>2.1</v>
      </c>
      <c r="H77" s="90">
        <f>SUM(F77*G77/1000)</f>
        <v>106.45487999999999</v>
      </c>
      <c r="I77" s="13">
        <f>F77/12*G77</f>
        <v>8871.24</v>
      </c>
    </row>
    <row r="78" spans="1:9" ht="31.5" customHeight="1">
      <c r="A78" s="29">
        <v>17</v>
      </c>
      <c r="B78" s="14" t="s">
        <v>83</v>
      </c>
      <c r="C78" s="16"/>
      <c r="D78" s="94" t="s">
        <v>59</v>
      </c>
      <c r="E78" s="48">
        <v>4224.3999999999996</v>
      </c>
      <c r="F78" s="13">
        <f>E78*12</f>
        <v>50692.799999999996</v>
      </c>
      <c r="G78" s="13">
        <v>1.63</v>
      </c>
      <c r="H78" s="90">
        <f>F78*G78/1000</f>
        <v>82.629263999999978</v>
      </c>
      <c r="I78" s="13">
        <f>F78/12*G78</f>
        <v>6885.771999999999</v>
      </c>
    </row>
    <row r="79" spans="1:9" ht="15.75" customHeight="1">
      <c r="A79" s="112"/>
      <c r="B79" s="34" t="s">
        <v>86</v>
      </c>
      <c r="C79" s="35"/>
      <c r="D79" s="15"/>
      <c r="E79" s="15"/>
      <c r="F79" s="15"/>
      <c r="G79" s="18"/>
      <c r="H79" s="18"/>
      <c r="I79" s="32">
        <f>SUM(I16+I17+I18+I20+I21+I25+I26+I37+I38+I40+I41+I43+I49+I56+I59+I77+I78)</f>
        <v>78126.180971333306</v>
      </c>
    </row>
    <row r="80" spans="1:9" ht="15.75" customHeight="1">
      <c r="A80" s="147" t="s">
        <v>64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29">
        <v>18</v>
      </c>
      <c r="B81" s="57" t="s">
        <v>197</v>
      </c>
      <c r="C81" s="58" t="s">
        <v>100</v>
      </c>
      <c r="D81" s="117"/>
      <c r="E81" s="118"/>
      <c r="F81" s="118">
        <f>(3*7+5+10+10+10+10+20+20+5+10+20+3)/3</f>
        <v>48</v>
      </c>
      <c r="G81" s="118">
        <v>1120.8900000000001</v>
      </c>
      <c r="H81" s="119">
        <f t="shared" ref="H81:H83" si="12">G81*F81/1000</f>
        <v>53.802720000000001</v>
      </c>
      <c r="I81" s="13">
        <f>G81*((20+10)/3)</f>
        <v>11208.900000000001</v>
      </c>
    </row>
    <row r="82" spans="1:9" ht="15.75" customHeight="1">
      <c r="A82" s="29">
        <v>19</v>
      </c>
      <c r="B82" s="46" t="s">
        <v>198</v>
      </c>
      <c r="C82" s="49" t="s">
        <v>138</v>
      </c>
      <c r="D82" s="42"/>
      <c r="E82" s="13"/>
      <c r="F82" s="13">
        <v>960</v>
      </c>
      <c r="G82" s="13">
        <v>53.42</v>
      </c>
      <c r="H82" s="90">
        <f t="shared" si="12"/>
        <v>51.283200000000008</v>
      </c>
      <c r="I82" s="13">
        <f>G82*80</f>
        <v>4273.6000000000004</v>
      </c>
    </row>
    <row r="83" spans="1:9" ht="31.5" customHeight="1">
      <c r="A83" s="29">
        <v>20</v>
      </c>
      <c r="B83" s="46" t="s">
        <v>164</v>
      </c>
      <c r="C83" s="49" t="s">
        <v>40</v>
      </c>
      <c r="D83" s="42"/>
      <c r="E83" s="13"/>
      <c r="F83" s="13">
        <v>0.06</v>
      </c>
      <c r="G83" s="13">
        <v>3581.13</v>
      </c>
      <c r="H83" s="90">
        <f t="shared" si="12"/>
        <v>0.2148678</v>
      </c>
      <c r="I83" s="13">
        <f>G83*0.01</f>
        <v>35.811300000000003</v>
      </c>
    </row>
    <row r="84" spans="1:9" ht="31.5" customHeight="1">
      <c r="A84" s="29">
        <v>21</v>
      </c>
      <c r="B84" s="46" t="s">
        <v>161</v>
      </c>
      <c r="C84" s="49" t="s">
        <v>101</v>
      </c>
      <c r="D84" s="117"/>
      <c r="E84" s="118"/>
      <c r="F84" s="118">
        <v>3</v>
      </c>
      <c r="G84" s="118">
        <v>803.54</v>
      </c>
      <c r="H84" s="119">
        <f>G84*F84/1000</f>
        <v>2.4106199999999998</v>
      </c>
      <c r="I84" s="13">
        <f>G84</f>
        <v>803.54</v>
      </c>
    </row>
    <row r="85" spans="1:9" ht="15.75" customHeight="1">
      <c r="A85" s="29"/>
      <c r="B85" s="40" t="s">
        <v>54</v>
      </c>
      <c r="C85" s="36"/>
      <c r="D85" s="44"/>
      <c r="E85" s="36">
        <v>1</v>
      </c>
      <c r="F85" s="36"/>
      <c r="G85" s="36"/>
      <c r="H85" s="36"/>
      <c r="I85" s="32">
        <f>SUM(I81:I84)</f>
        <v>16321.851300000002</v>
      </c>
    </row>
    <row r="86" spans="1:9" ht="15.75" customHeight="1">
      <c r="A86" s="29"/>
      <c r="B86" s="42" t="s">
        <v>84</v>
      </c>
      <c r="C86" s="15"/>
      <c r="D86" s="15"/>
      <c r="E86" s="37"/>
      <c r="F86" s="37"/>
      <c r="G86" s="38"/>
      <c r="H86" s="38"/>
      <c r="I86" s="17">
        <v>0</v>
      </c>
    </row>
    <row r="87" spans="1:9" ht="15.75" customHeight="1">
      <c r="A87" s="45"/>
      <c r="B87" s="41" t="s">
        <v>180</v>
      </c>
      <c r="C87" s="33"/>
      <c r="D87" s="33"/>
      <c r="E87" s="33"/>
      <c r="F87" s="33"/>
      <c r="G87" s="33"/>
      <c r="H87" s="33"/>
      <c r="I87" s="39">
        <f>I79+I85</f>
        <v>94448.032271333301</v>
      </c>
    </row>
    <row r="88" spans="1:9" ht="15.75" customHeight="1">
      <c r="A88" s="143" t="s">
        <v>284</v>
      </c>
      <c r="B88" s="143"/>
      <c r="C88" s="143"/>
      <c r="D88" s="143"/>
      <c r="E88" s="143"/>
      <c r="F88" s="143"/>
      <c r="G88" s="143"/>
      <c r="H88" s="143"/>
      <c r="I88" s="143"/>
    </row>
    <row r="89" spans="1:9" ht="15.75" customHeight="1">
      <c r="A89" s="56"/>
      <c r="B89" s="144" t="s">
        <v>285</v>
      </c>
      <c r="C89" s="144"/>
      <c r="D89" s="144"/>
      <c r="E89" s="144"/>
      <c r="F89" s="144"/>
      <c r="G89" s="144"/>
      <c r="H89" s="71"/>
      <c r="I89" s="3"/>
    </row>
    <row r="90" spans="1:9" ht="15.75" customHeight="1">
      <c r="A90" s="108"/>
      <c r="B90" s="145" t="s">
        <v>6</v>
      </c>
      <c r="C90" s="145"/>
      <c r="D90" s="145"/>
      <c r="E90" s="145"/>
      <c r="F90" s="145"/>
      <c r="G90" s="145"/>
      <c r="H90" s="24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 customHeight="1">
      <c r="A92" s="146" t="s">
        <v>7</v>
      </c>
      <c r="B92" s="146"/>
      <c r="C92" s="146"/>
      <c r="D92" s="146"/>
      <c r="E92" s="146"/>
      <c r="F92" s="146"/>
      <c r="G92" s="146"/>
      <c r="H92" s="146"/>
      <c r="I92" s="146"/>
    </row>
    <row r="93" spans="1:9" ht="15.75" customHeight="1">
      <c r="A93" s="146" t="s">
        <v>8</v>
      </c>
      <c r="B93" s="146"/>
      <c r="C93" s="146"/>
      <c r="D93" s="146"/>
      <c r="E93" s="146"/>
      <c r="F93" s="146"/>
      <c r="G93" s="146"/>
      <c r="H93" s="146"/>
      <c r="I93" s="146"/>
    </row>
    <row r="94" spans="1:9" ht="15.75" customHeight="1">
      <c r="A94" s="138" t="s">
        <v>65</v>
      </c>
      <c r="B94" s="138"/>
      <c r="C94" s="138"/>
      <c r="D94" s="138"/>
      <c r="E94" s="138"/>
      <c r="F94" s="138"/>
      <c r="G94" s="138"/>
      <c r="H94" s="138"/>
      <c r="I94" s="138"/>
    </row>
    <row r="95" spans="1:9" ht="15.75" customHeight="1">
      <c r="A95" s="11"/>
    </row>
    <row r="96" spans="1:9" ht="15.75" customHeight="1">
      <c r="A96" s="151" t="s">
        <v>9</v>
      </c>
      <c r="B96" s="151"/>
      <c r="C96" s="151"/>
      <c r="D96" s="151"/>
      <c r="E96" s="151"/>
      <c r="F96" s="151"/>
      <c r="G96" s="151"/>
      <c r="H96" s="151"/>
      <c r="I96" s="151"/>
    </row>
    <row r="97" spans="1:9" ht="15.75" customHeight="1">
      <c r="A97" s="4"/>
    </row>
    <row r="98" spans="1:9" ht="15.75" customHeight="1">
      <c r="B98" s="111" t="s">
        <v>10</v>
      </c>
      <c r="C98" s="152" t="s">
        <v>98</v>
      </c>
      <c r="D98" s="152"/>
      <c r="E98" s="152"/>
      <c r="F98" s="69"/>
      <c r="I98" s="114"/>
    </row>
    <row r="99" spans="1:9" ht="15.75" customHeight="1">
      <c r="A99" s="108"/>
      <c r="C99" s="145" t="s">
        <v>11</v>
      </c>
      <c r="D99" s="145"/>
      <c r="E99" s="145"/>
      <c r="F99" s="24"/>
      <c r="I99" s="113" t="s">
        <v>12</v>
      </c>
    </row>
    <row r="100" spans="1:9" ht="15.75" customHeight="1">
      <c r="A100" s="25"/>
      <c r="C100" s="12"/>
      <c r="D100" s="12"/>
      <c r="G100" s="12"/>
      <c r="H100" s="12"/>
    </row>
    <row r="101" spans="1:9" ht="15.75" customHeight="1">
      <c r="B101" s="111" t="s">
        <v>13</v>
      </c>
      <c r="C101" s="153"/>
      <c r="D101" s="153"/>
      <c r="E101" s="153"/>
      <c r="F101" s="70"/>
      <c r="I101" s="114"/>
    </row>
    <row r="102" spans="1:9" ht="15.75" customHeight="1">
      <c r="A102" s="108"/>
      <c r="C102" s="128" t="s">
        <v>11</v>
      </c>
      <c r="D102" s="128"/>
      <c r="E102" s="128"/>
      <c r="F102" s="108"/>
      <c r="I102" s="113" t="s">
        <v>12</v>
      </c>
    </row>
    <row r="103" spans="1:9" ht="15.75" customHeight="1">
      <c r="A103" s="4" t="s">
        <v>14</v>
      </c>
    </row>
    <row r="104" spans="1:9" ht="15.75" customHeight="1">
      <c r="A104" s="154" t="s">
        <v>15</v>
      </c>
      <c r="B104" s="154"/>
      <c r="C104" s="154"/>
      <c r="D104" s="154"/>
      <c r="E104" s="154"/>
      <c r="F104" s="154"/>
      <c r="G104" s="154"/>
      <c r="H104" s="154"/>
      <c r="I104" s="154"/>
    </row>
    <row r="105" spans="1:9" ht="45" customHeight="1">
      <c r="A105" s="150" t="s">
        <v>16</v>
      </c>
      <c r="B105" s="150"/>
      <c r="C105" s="150"/>
      <c r="D105" s="150"/>
      <c r="E105" s="150"/>
      <c r="F105" s="150"/>
      <c r="G105" s="150"/>
      <c r="H105" s="150"/>
      <c r="I105" s="150"/>
    </row>
    <row r="106" spans="1:9" ht="30" customHeight="1">
      <c r="A106" s="150" t="s">
        <v>17</v>
      </c>
      <c r="B106" s="150"/>
      <c r="C106" s="150"/>
      <c r="D106" s="150"/>
      <c r="E106" s="150"/>
      <c r="F106" s="150"/>
      <c r="G106" s="150"/>
      <c r="H106" s="150"/>
      <c r="I106" s="150"/>
    </row>
    <row r="107" spans="1:9" ht="30" customHeight="1">
      <c r="A107" s="150" t="s">
        <v>21</v>
      </c>
      <c r="B107" s="150"/>
      <c r="C107" s="150"/>
      <c r="D107" s="150"/>
      <c r="E107" s="150"/>
      <c r="F107" s="150"/>
      <c r="G107" s="150"/>
      <c r="H107" s="150"/>
      <c r="I107" s="150"/>
    </row>
    <row r="108" spans="1:9" ht="15" customHeight="1">
      <c r="A108" s="150" t="s">
        <v>20</v>
      </c>
      <c r="B108" s="150"/>
      <c r="C108" s="150"/>
      <c r="D108" s="150"/>
      <c r="E108" s="150"/>
      <c r="F108" s="150"/>
      <c r="G108" s="150"/>
      <c r="H108" s="150"/>
      <c r="I108" s="150"/>
    </row>
  </sheetData>
  <autoFilter ref="I12:I59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3:U63"/>
    <mergeCell ref="C102:E102"/>
    <mergeCell ref="A80:I80"/>
    <mergeCell ref="A88:I88"/>
    <mergeCell ref="B89:G89"/>
    <mergeCell ref="B90:G90"/>
    <mergeCell ref="A92:I92"/>
    <mergeCell ref="A93:I93"/>
    <mergeCell ref="A94:I94"/>
    <mergeCell ref="A96:I96"/>
    <mergeCell ref="C98:E98"/>
    <mergeCell ref="C99:E99"/>
    <mergeCell ref="C101:E101"/>
    <mergeCell ref="A76:I76"/>
    <mergeCell ref="A104:I104"/>
    <mergeCell ref="A105:I105"/>
    <mergeCell ref="A106:I106"/>
    <mergeCell ref="A107:I107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207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201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42794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7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3" t="s">
        <v>113</v>
      </c>
      <c r="C25" s="74" t="s">
        <v>56</v>
      </c>
      <c r="D25" s="73" t="s">
        <v>122</v>
      </c>
      <c r="E25" s="48">
        <v>17</v>
      </c>
      <c r="F25" s="75">
        <f>SUM(E25/100)</f>
        <v>0.17</v>
      </c>
      <c r="G25" s="75">
        <v>556.74</v>
      </c>
      <c r="H25" s="76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73" t="s">
        <v>68</v>
      </c>
      <c r="C26" s="74" t="s">
        <v>34</v>
      </c>
      <c r="D26" s="73" t="s">
        <v>157</v>
      </c>
      <c r="E26" s="48">
        <v>0.1</v>
      </c>
      <c r="F26" s="75">
        <f>SUM(E26*365)</f>
        <v>36.5</v>
      </c>
      <c r="G26" s="75">
        <v>147.03</v>
      </c>
      <c r="H26" s="76">
        <f t="shared" si="0"/>
        <v>5.3665950000000002</v>
      </c>
      <c r="I26" s="13">
        <f>F26/12*G26</f>
        <v>447.21625</v>
      </c>
      <c r="J26" s="23"/>
    </row>
    <row r="27" spans="1:13" ht="15.75" customHeight="1">
      <c r="A27" s="29">
        <v>7</v>
      </c>
      <c r="B27" s="81" t="s">
        <v>23</v>
      </c>
      <c r="C27" s="74" t="s">
        <v>24</v>
      </c>
      <c r="D27" s="81" t="s">
        <v>157</v>
      </c>
      <c r="E27" s="48">
        <v>4224.3999999999996</v>
      </c>
      <c r="F27" s="75">
        <f>SUM(E27*12)</f>
        <v>50692.799999999996</v>
      </c>
      <c r="G27" s="75">
        <v>4.59</v>
      </c>
      <c r="H27" s="76">
        <f t="shared" si="0"/>
        <v>232.67995199999996</v>
      </c>
      <c r="I27" s="13">
        <f>F27/12*G27</f>
        <v>19389.995999999999</v>
      </c>
      <c r="J27" s="23"/>
    </row>
    <row r="28" spans="1:13" ht="15.75" customHeight="1">
      <c r="A28" s="139" t="s">
        <v>92</v>
      </c>
      <c r="B28" s="139"/>
      <c r="C28" s="139"/>
      <c r="D28" s="139"/>
      <c r="E28" s="139"/>
      <c r="F28" s="139"/>
      <c r="G28" s="139"/>
      <c r="H28" s="139"/>
      <c r="I28" s="139"/>
      <c r="J28" s="22"/>
      <c r="K28" s="8"/>
      <c r="L28" s="8"/>
      <c r="M28" s="8"/>
    </row>
    <row r="29" spans="1:13" ht="15.75" hidden="1" customHeight="1">
      <c r="A29" s="29"/>
      <c r="B29" s="96" t="s">
        <v>28</v>
      </c>
      <c r="C29" s="74"/>
      <c r="D29" s="73"/>
      <c r="E29" s="48"/>
      <c r="F29" s="75"/>
      <c r="G29" s="75"/>
      <c r="H29" s="76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73" t="s">
        <v>125</v>
      </c>
      <c r="C30" s="74" t="s">
        <v>126</v>
      </c>
      <c r="D30" s="73" t="s">
        <v>127</v>
      </c>
      <c r="E30" s="75">
        <v>1414.6</v>
      </c>
      <c r="F30" s="75">
        <f>SUM(E30*52/1000)</f>
        <v>73.559200000000004</v>
      </c>
      <c r="G30" s="75">
        <v>155.88999999999999</v>
      </c>
      <c r="H30" s="76">
        <f t="shared" ref="H30:H36" si="1">SUM(F30*G30/1000)</f>
        <v>11.467143688</v>
      </c>
      <c r="I30" s="13">
        <v>0</v>
      </c>
      <c r="J30" s="22"/>
      <c r="K30" s="8"/>
      <c r="L30" s="8"/>
      <c r="M30" s="8"/>
    </row>
    <row r="31" spans="1:13" ht="31.5" hidden="1" customHeight="1">
      <c r="A31" s="29">
        <v>8</v>
      </c>
      <c r="B31" s="73" t="s">
        <v>166</v>
      </c>
      <c r="C31" s="74" t="s">
        <v>126</v>
      </c>
      <c r="D31" s="73" t="s">
        <v>128</v>
      </c>
      <c r="E31" s="75">
        <v>632.4</v>
      </c>
      <c r="F31" s="75">
        <f>SUM(E31*78/1000)</f>
        <v>49.327199999999998</v>
      </c>
      <c r="G31" s="75">
        <v>258.63</v>
      </c>
      <c r="H31" s="76">
        <f t="shared" si="1"/>
        <v>12.757493735999999</v>
      </c>
      <c r="I31" s="13">
        <v>0</v>
      </c>
      <c r="J31" s="22"/>
      <c r="K31" s="8"/>
      <c r="L31" s="8"/>
      <c r="M31" s="8"/>
    </row>
    <row r="32" spans="1:13" ht="15.75" hidden="1" customHeight="1">
      <c r="A32" s="29"/>
      <c r="B32" s="73" t="s">
        <v>181</v>
      </c>
      <c r="C32" s="74" t="s">
        <v>126</v>
      </c>
      <c r="D32" s="73" t="s">
        <v>99</v>
      </c>
      <c r="E32" s="48">
        <v>143.20000000000002</v>
      </c>
      <c r="F32" s="75">
        <v>0</v>
      </c>
      <c r="G32" s="75">
        <v>293.27999999999997</v>
      </c>
      <c r="H32" s="76">
        <f t="shared" si="1"/>
        <v>0</v>
      </c>
      <c r="I32" s="13"/>
      <c r="J32" s="22"/>
      <c r="K32" s="8"/>
      <c r="L32" s="8"/>
      <c r="M32" s="8"/>
    </row>
    <row r="33" spans="1:14" ht="15.75" hidden="1" customHeight="1">
      <c r="A33" s="29">
        <v>9</v>
      </c>
      <c r="B33" s="73" t="s">
        <v>27</v>
      </c>
      <c r="C33" s="74" t="s">
        <v>126</v>
      </c>
      <c r="D33" s="73" t="s">
        <v>57</v>
      </c>
      <c r="E33" s="75">
        <v>1414.6</v>
      </c>
      <c r="F33" s="75">
        <f>SUM(E33/1000)</f>
        <v>1.4145999999999999</v>
      </c>
      <c r="G33" s="75">
        <v>3020.33</v>
      </c>
      <c r="H33" s="76">
        <f t="shared" si="1"/>
        <v>4.2725588179999994</v>
      </c>
      <c r="I33" s="13">
        <v>0</v>
      </c>
      <c r="J33" s="22"/>
      <c r="K33" s="8"/>
      <c r="L33" s="8"/>
      <c r="M33" s="8"/>
    </row>
    <row r="34" spans="1:14" ht="15.75" hidden="1" customHeight="1">
      <c r="A34" s="29">
        <v>10</v>
      </c>
      <c r="B34" s="73" t="s">
        <v>129</v>
      </c>
      <c r="C34" s="74" t="s">
        <v>42</v>
      </c>
      <c r="D34" s="73" t="s">
        <v>67</v>
      </c>
      <c r="E34" s="75">
        <v>6</v>
      </c>
      <c r="F34" s="75">
        <f>SUM(E34*155/100)</f>
        <v>9.3000000000000007</v>
      </c>
      <c r="G34" s="75">
        <v>1302.02</v>
      </c>
      <c r="H34" s="76">
        <f t="shared" si="1"/>
        <v>12.108786</v>
      </c>
      <c r="I34" s="13">
        <v>0</v>
      </c>
      <c r="J34" s="22"/>
      <c r="K34" s="8"/>
    </row>
    <row r="35" spans="1:14" ht="15.75" hidden="1" customHeight="1">
      <c r="A35" s="29"/>
      <c r="B35" s="73" t="s">
        <v>69</v>
      </c>
      <c r="C35" s="74" t="s">
        <v>34</v>
      </c>
      <c r="D35" s="73" t="s">
        <v>71</v>
      </c>
      <c r="E35" s="48"/>
      <c r="F35" s="75">
        <v>4</v>
      </c>
      <c r="G35" s="75">
        <v>191.32</v>
      </c>
      <c r="H35" s="76">
        <f t="shared" si="1"/>
        <v>0.76527999999999996</v>
      </c>
      <c r="I35" s="13">
        <v>0</v>
      </c>
      <c r="J35" s="23"/>
    </row>
    <row r="36" spans="1:14" ht="15.75" hidden="1" customHeight="1">
      <c r="A36" s="29"/>
      <c r="B36" s="73" t="s">
        <v>70</v>
      </c>
      <c r="C36" s="74" t="s">
        <v>33</v>
      </c>
      <c r="D36" s="73" t="s">
        <v>71</v>
      </c>
      <c r="E36" s="48"/>
      <c r="F36" s="75">
        <v>3</v>
      </c>
      <c r="G36" s="75">
        <v>1136.33</v>
      </c>
      <c r="H36" s="76">
        <f t="shared" si="1"/>
        <v>3.4089899999999997</v>
      </c>
      <c r="I36" s="13">
        <v>0</v>
      </c>
      <c r="J36" s="23"/>
    </row>
    <row r="37" spans="1:14" ht="15.75" customHeight="1">
      <c r="A37" s="29"/>
      <c r="B37" s="96" t="s">
        <v>5</v>
      </c>
      <c r="C37" s="74"/>
      <c r="D37" s="73"/>
      <c r="E37" s="48"/>
      <c r="F37" s="75"/>
      <c r="G37" s="75"/>
      <c r="H37" s="76" t="s">
        <v>146</v>
      </c>
      <c r="I37" s="13"/>
      <c r="J37" s="23"/>
    </row>
    <row r="38" spans="1:14" ht="15.75" customHeight="1">
      <c r="A38" s="29">
        <v>8</v>
      </c>
      <c r="B38" s="73" t="s">
        <v>26</v>
      </c>
      <c r="C38" s="74" t="s">
        <v>33</v>
      </c>
      <c r="D38" s="73"/>
      <c r="E38" s="48"/>
      <c r="F38" s="75">
        <v>20</v>
      </c>
      <c r="G38" s="75">
        <v>1527.22</v>
      </c>
      <c r="H38" s="76">
        <f t="shared" ref="H38:H44" si="2">SUM(F38*G38/1000)</f>
        <v>30.544400000000003</v>
      </c>
      <c r="I38" s="13">
        <f>F38/6*G38</f>
        <v>5090.7333333333336</v>
      </c>
      <c r="J38" s="23"/>
    </row>
    <row r="39" spans="1:14" ht="15.75" customHeight="1">
      <c r="A39" s="29">
        <v>9</v>
      </c>
      <c r="B39" s="73" t="s">
        <v>72</v>
      </c>
      <c r="C39" s="74" t="s">
        <v>29</v>
      </c>
      <c r="D39" s="73" t="s">
        <v>182</v>
      </c>
      <c r="E39" s="75">
        <v>632.4</v>
      </c>
      <c r="F39" s="75">
        <f>SUM(E39*50/1000)</f>
        <v>31.62</v>
      </c>
      <c r="G39" s="75">
        <v>2102.71</v>
      </c>
      <c r="H39" s="76">
        <f t="shared" si="2"/>
        <v>66.487690200000003</v>
      </c>
      <c r="I39" s="13">
        <f>F39/6*G39</f>
        <v>11081.281700000001</v>
      </c>
      <c r="J39" s="23"/>
      <c r="L39" s="19"/>
      <c r="M39" s="20"/>
      <c r="N39" s="21"/>
    </row>
    <row r="40" spans="1:14" ht="15.75" hidden="1" customHeight="1">
      <c r="A40" s="29"/>
      <c r="B40" s="73" t="s">
        <v>104</v>
      </c>
      <c r="C40" s="74" t="s">
        <v>132</v>
      </c>
      <c r="D40" s="73" t="s">
        <v>71</v>
      </c>
      <c r="E40" s="48"/>
      <c r="F40" s="75">
        <v>30</v>
      </c>
      <c r="G40" s="75">
        <v>213.2</v>
      </c>
      <c r="H40" s="76">
        <f t="shared" si="2"/>
        <v>6.3959999999999999</v>
      </c>
      <c r="I40" s="13">
        <f>0</f>
        <v>0</v>
      </c>
      <c r="J40" s="23"/>
      <c r="L40" s="19"/>
      <c r="M40" s="20"/>
      <c r="N40" s="21"/>
    </row>
    <row r="41" spans="1:14" ht="15.75" customHeight="1">
      <c r="A41" s="29">
        <v>10</v>
      </c>
      <c r="B41" s="73" t="s">
        <v>73</v>
      </c>
      <c r="C41" s="74" t="s">
        <v>29</v>
      </c>
      <c r="D41" s="73" t="s">
        <v>133</v>
      </c>
      <c r="E41" s="75">
        <v>106</v>
      </c>
      <c r="F41" s="75">
        <f>SUM(E41*155/1000)</f>
        <v>16.43</v>
      </c>
      <c r="G41" s="75">
        <v>350.75</v>
      </c>
      <c r="H41" s="76">
        <f t="shared" si="2"/>
        <v>5.7628225000000004</v>
      </c>
      <c r="I41" s="13">
        <f>F41/6*G41</f>
        <v>960.47041666666667</v>
      </c>
      <c r="J41" s="23"/>
      <c r="L41" s="19"/>
      <c r="M41" s="20"/>
      <c r="N41" s="21"/>
    </row>
    <row r="42" spans="1:14" ht="47.25" customHeight="1">
      <c r="A42" s="29">
        <v>11</v>
      </c>
      <c r="B42" s="73" t="s">
        <v>89</v>
      </c>
      <c r="C42" s="74" t="s">
        <v>126</v>
      </c>
      <c r="D42" s="73" t="s">
        <v>183</v>
      </c>
      <c r="E42" s="75">
        <v>106</v>
      </c>
      <c r="F42" s="75">
        <f>SUM(E42*70/1000)</f>
        <v>7.42</v>
      </c>
      <c r="G42" s="75">
        <v>5803.28</v>
      </c>
      <c r="H42" s="76">
        <f t="shared" si="2"/>
        <v>43.060337599999997</v>
      </c>
      <c r="I42" s="13">
        <f>F42/6*G42</f>
        <v>7176.7229333333325</v>
      </c>
      <c r="J42" s="23"/>
      <c r="L42" s="19"/>
      <c r="M42" s="20"/>
      <c r="N42" s="21"/>
    </row>
    <row r="43" spans="1:14" ht="15.75" hidden="1" customHeight="1">
      <c r="A43" s="29">
        <v>12</v>
      </c>
      <c r="B43" s="73" t="s">
        <v>135</v>
      </c>
      <c r="C43" s="74" t="s">
        <v>126</v>
      </c>
      <c r="D43" s="73" t="s">
        <v>74</v>
      </c>
      <c r="E43" s="75">
        <v>106</v>
      </c>
      <c r="F43" s="75">
        <f>SUM(E43*45/1000)</f>
        <v>4.7699999999999996</v>
      </c>
      <c r="G43" s="75">
        <v>428.7</v>
      </c>
      <c r="H43" s="76">
        <f t="shared" si="2"/>
        <v>2.0448989999999996</v>
      </c>
      <c r="I43" s="13">
        <f>F43/6*G43</f>
        <v>340.81649999999996</v>
      </c>
      <c r="J43" s="23"/>
      <c r="L43" s="19"/>
      <c r="M43" s="20"/>
      <c r="N43" s="21"/>
    </row>
    <row r="44" spans="1:14" ht="15.75" customHeight="1">
      <c r="A44" s="29">
        <v>12</v>
      </c>
      <c r="B44" s="73" t="s">
        <v>75</v>
      </c>
      <c r="C44" s="74" t="s">
        <v>34</v>
      </c>
      <c r="D44" s="73"/>
      <c r="E44" s="48"/>
      <c r="F44" s="75">
        <v>0.9</v>
      </c>
      <c r="G44" s="75">
        <v>798</v>
      </c>
      <c r="H44" s="76">
        <f t="shared" si="2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40" t="s">
        <v>152</v>
      </c>
      <c r="B45" s="141"/>
      <c r="C45" s="141"/>
      <c r="D45" s="141"/>
      <c r="E45" s="141"/>
      <c r="F45" s="141"/>
      <c r="G45" s="141"/>
      <c r="H45" s="141"/>
      <c r="I45" s="142"/>
      <c r="J45" s="23"/>
      <c r="L45" s="19"/>
      <c r="M45" s="20"/>
      <c r="N45" s="21"/>
    </row>
    <row r="46" spans="1:14" ht="15.75" hidden="1" customHeight="1">
      <c r="A46" s="29"/>
      <c r="B46" s="73" t="s">
        <v>184</v>
      </c>
      <c r="C46" s="74" t="s">
        <v>126</v>
      </c>
      <c r="D46" s="73" t="s">
        <v>44</v>
      </c>
      <c r="E46" s="48">
        <v>1150.5999999999999</v>
      </c>
      <c r="F46" s="75">
        <f>SUM(E46*2/1000)</f>
        <v>2.3011999999999997</v>
      </c>
      <c r="G46" s="13">
        <v>849.49</v>
      </c>
      <c r="H46" s="76">
        <f t="shared" ref="H46:H54" si="3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73" t="s">
        <v>37</v>
      </c>
      <c r="C47" s="74" t="s">
        <v>126</v>
      </c>
      <c r="D47" s="73" t="s">
        <v>44</v>
      </c>
      <c r="E47" s="48">
        <v>108.96</v>
      </c>
      <c r="F47" s="75">
        <f>SUM(E47*2/1000)</f>
        <v>0.21791999999999997</v>
      </c>
      <c r="G47" s="13">
        <v>579.48</v>
      </c>
      <c r="H47" s="76">
        <f t="shared" si="3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73" t="s">
        <v>38</v>
      </c>
      <c r="C48" s="74" t="s">
        <v>126</v>
      </c>
      <c r="D48" s="73" t="s">
        <v>44</v>
      </c>
      <c r="E48" s="48">
        <v>4224.3999999999996</v>
      </c>
      <c r="F48" s="75">
        <f>SUM(E48*2/1000)</f>
        <v>8.4487999999999985</v>
      </c>
      <c r="G48" s="13">
        <v>579.48</v>
      </c>
      <c r="H48" s="76">
        <f t="shared" si="3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73" t="s">
        <v>39</v>
      </c>
      <c r="C49" s="74" t="s">
        <v>126</v>
      </c>
      <c r="D49" s="73" t="s">
        <v>44</v>
      </c>
      <c r="E49" s="48">
        <v>3059.7</v>
      </c>
      <c r="F49" s="75">
        <f>SUM(E49*2/1000)</f>
        <v>6.1193999999999997</v>
      </c>
      <c r="G49" s="13">
        <v>606.77</v>
      </c>
      <c r="H49" s="76">
        <f t="shared" si="3"/>
        <v>3.7130683379999998</v>
      </c>
      <c r="I49" s="13">
        <v>0</v>
      </c>
      <c r="J49" s="23"/>
      <c r="L49" s="19"/>
      <c r="M49" s="20"/>
      <c r="N49" s="21"/>
    </row>
    <row r="50" spans="1:22" ht="15.75" customHeight="1">
      <c r="A50" s="29">
        <v>13</v>
      </c>
      <c r="B50" s="73" t="s">
        <v>60</v>
      </c>
      <c r="C50" s="74" t="s">
        <v>126</v>
      </c>
      <c r="D50" s="73" t="s">
        <v>185</v>
      </c>
      <c r="E50" s="48">
        <v>1150.5999999999999</v>
      </c>
      <c r="F50" s="75">
        <f>SUM(E50*5/1000)</f>
        <v>5.7530000000000001</v>
      </c>
      <c r="G50" s="13">
        <v>1213.55</v>
      </c>
      <c r="H50" s="76">
        <f t="shared" si="3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73" t="s">
        <v>136</v>
      </c>
      <c r="C51" s="74" t="s">
        <v>126</v>
      </c>
      <c r="D51" s="73" t="s">
        <v>44</v>
      </c>
      <c r="E51" s="48">
        <v>1150.5999999999999</v>
      </c>
      <c r="F51" s="75">
        <f>SUM(E51*2/1000)</f>
        <v>2.3011999999999997</v>
      </c>
      <c r="G51" s="13">
        <v>1213.55</v>
      </c>
      <c r="H51" s="76">
        <f t="shared" si="3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73" t="s">
        <v>137</v>
      </c>
      <c r="C52" s="74" t="s">
        <v>40</v>
      </c>
      <c r="D52" s="73" t="s">
        <v>44</v>
      </c>
      <c r="E52" s="48">
        <v>30</v>
      </c>
      <c r="F52" s="75">
        <f>SUM(E52*2/100)</f>
        <v>0.6</v>
      </c>
      <c r="G52" s="13">
        <v>2730.49</v>
      </c>
      <c r="H52" s="76">
        <f t="shared" si="3"/>
        <v>1.6382939999999999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73" t="s">
        <v>41</v>
      </c>
      <c r="C53" s="74" t="s">
        <v>42</v>
      </c>
      <c r="D53" s="73" t="s">
        <v>44</v>
      </c>
      <c r="E53" s="48">
        <v>1</v>
      </c>
      <c r="F53" s="75">
        <v>0.02</v>
      </c>
      <c r="G53" s="13">
        <v>5652.13</v>
      </c>
      <c r="H53" s="76">
        <f t="shared" si="3"/>
        <v>0.11304260000000001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>
        <v>15</v>
      </c>
      <c r="B54" s="73" t="s">
        <v>43</v>
      </c>
      <c r="C54" s="74" t="s">
        <v>138</v>
      </c>
      <c r="D54" s="73" t="s">
        <v>76</v>
      </c>
      <c r="E54" s="48">
        <v>158</v>
      </c>
      <c r="F54" s="75">
        <f>SUM(E54)*3</f>
        <v>474</v>
      </c>
      <c r="G54" s="13">
        <v>65.67</v>
      </c>
      <c r="H54" s="76">
        <f t="shared" si="3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140" t="s">
        <v>153</v>
      </c>
      <c r="B55" s="141"/>
      <c r="C55" s="141"/>
      <c r="D55" s="141"/>
      <c r="E55" s="141"/>
      <c r="F55" s="141"/>
      <c r="G55" s="141"/>
      <c r="H55" s="141"/>
      <c r="I55" s="142"/>
      <c r="J55" s="23"/>
      <c r="L55" s="19"/>
      <c r="M55" s="20"/>
      <c r="N55" s="21"/>
    </row>
    <row r="56" spans="1:22" ht="15.75" customHeight="1">
      <c r="A56" s="29"/>
      <c r="B56" s="96" t="s">
        <v>45</v>
      </c>
      <c r="C56" s="74"/>
      <c r="D56" s="73"/>
      <c r="E56" s="48"/>
      <c r="F56" s="75"/>
      <c r="G56" s="75"/>
      <c r="H56" s="76"/>
      <c r="I56" s="13"/>
      <c r="J56" s="23"/>
      <c r="L56" s="19"/>
      <c r="M56" s="20"/>
      <c r="N56" s="21"/>
    </row>
    <row r="57" spans="1:22" ht="31.5" customHeight="1">
      <c r="A57" s="29">
        <v>14</v>
      </c>
      <c r="B57" s="73" t="s">
        <v>186</v>
      </c>
      <c r="C57" s="74" t="s">
        <v>117</v>
      </c>
      <c r="D57" s="73" t="s">
        <v>187</v>
      </c>
      <c r="E57" s="105">
        <v>6</v>
      </c>
      <c r="F57" s="13">
        <f>E57*8/100</f>
        <v>0.48</v>
      </c>
      <c r="G57" s="75">
        <v>1547.28</v>
      </c>
      <c r="H57" s="76">
        <f>SUM(F57*G57/1000)</f>
        <v>0.74269439999999998</v>
      </c>
      <c r="I57" s="13">
        <f>F57/6*G57</f>
        <v>123.7824</v>
      </c>
      <c r="J57" s="23"/>
      <c r="L57" s="19"/>
      <c r="M57" s="20"/>
      <c r="N57" s="21"/>
    </row>
    <row r="58" spans="1:22" ht="15.75" hidden="1" customHeight="1">
      <c r="A58" s="106"/>
      <c r="B58" s="73" t="s">
        <v>109</v>
      </c>
      <c r="C58" s="74" t="s">
        <v>110</v>
      </c>
      <c r="D58" s="73" t="s">
        <v>44</v>
      </c>
      <c r="E58" s="48">
        <v>6</v>
      </c>
      <c r="F58" s="75">
        <v>12</v>
      </c>
      <c r="G58" s="82">
        <v>180.78</v>
      </c>
      <c r="H58" s="76">
        <f t="shared" ref="H58" si="4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97" t="s">
        <v>46</v>
      </c>
      <c r="C59" s="83"/>
      <c r="D59" s="84"/>
      <c r="E59" s="85"/>
      <c r="F59" s="87"/>
      <c r="G59" s="13"/>
      <c r="H59" s="89"/>
      <c r="I59" s="13"/>
      <c r="J59" s="23"/>
      <c r="L59" s="19"/>
      <c r="M59" s="20"/>
      <c r="N59" s="21"/>
    </row>
    <row r="60" spans="1:22" ht="15.75" customHeight="1">
      <c r="A60" s="29">
        <v>15</v>
      </c>
      <c r="B60" s="84" t="s">
        <v>105</v>
      </c>
      <c r="C60" s="83" t="s">
        <v>25</v>
      </c>
      <c r="D60" s="84"/>
      <c r="E60" s="85">
        <v>232.6</v>
      </c>
      <c r="F60" s="86">
        <f>E60*12</f>
        <v>2791.2</v>
      </c>
      <c r="G60" s="107">
        <v>2.5960000000000001</v>
      </c>
      <c r="H60" s="87">
        <f>G60*F60</f>
        <v>7245.9551999999994</v>
      </c>
      <c r="I60" s="13">
        <f>F60/12*G60</f>
        <v>603.82960000000003</v>
      </c>
      <c r="J60" s="23"/>
      <c r="L60" s="19"/>
    </row>
    <row r="61" spans="1:22" ht="15.75" hidden="1" customHeight="1">
      <c r="A61" s="29"/>
      <c r="B61" s="97" t="s">
        <v>48</v>
      </c>
      <c r="C61" s="83"/>
      <c r="D61" s="84"/>
      <c r="E61" s="85"/>
      <c r="F61" s="86"/>
      <c r="G61" s="86"/>
      <c r="H61" s="87" t="s">
        <v>146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18</v>
      </c>
      <c r="B62" s="14" t="s">
        <v>49</v>
      </c>
      <c r="C62" s="16" t="s">
        <v>138</v>
      </c>
      <c r="D62" s="14" t="s">
        <v>71</v>
      </c>
      <c r="E62" s="18">
        <v>15</v>
      </c>
      <c r="F62" s="75">
        <v>15</v>
      </c>
      <c r="G62" s="13">
        <v>209.41</v>
      </c>
      <c r="H62" s="90">
        <f t="shared" ref="H62:H69" si="5">SUM(F62*G62/1000)</f>
        <v>3.1411500000000001</v>
      </c>
      <c r="I62" s="13">
        <f>G62*3</f>
        <v>628.23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50</v>
      </c>
      <c r="C63" s="16" t="s">
        <v>138</v>
      </c>
      <c r="D63" s="14" t="s">
        <v>71</v>
      </c>
      <c r="E63" s="18">
        <v>5</v>
      </c>
      <c r="F63" s="75">
        <v>5</v>
      </c>
      <c r="G63" s="13">
        <v>71.790000000000006</v>
      </c>
      <c r="H63" s="90">
        <f t="shared" si="5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51</v>
      </c>
      <c r="C64" s="16" t="s">
        <v>140</v>
      </c>
      <c r="D64" s="14" t="s">
        <v>57</v>
      </c>
      <c r="E64" s="48">
        <v>18281</v>
      </c>
      <c r="F64" s="13">
        <f>SUM(E64/100)</f>
        <v>182.81</v>
      </c>
      <c r="G64" s="13">
        <v>199.77</v>
      </c>
      <c r="H64" s="90">
        <f t="shared" si="5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28"/>
      <c r="S64" s="128"/>
      <c r="T64" s="128"/>
      <c r="U64" s="128"/>
    </row>
    <row r="65" spans="1:9" ht="15.75" hidden="1" customHeight="1">
      <c r="A65" s="29"/>
      <c r="B65" s="14" t="s">
        <v>52</v>
      </c>
      <c r="C65" s="16" t="s">
        <v>141</v>
      </c>
      <c r="D65" s="14"/>
      <c r="E65" s="48">
        <v>18281</v>
      </c>
      <c r="F65" s="13">
        <f>SUM(E65/1000)</f>
        <v>18.280999999999999</v>
      </c>
      <c r="G65" s="13">
        <v>155.57</v>
      </c>
      <c r="H65" s="90">
        <f t="shared" si="5"/>
        <v>2.8439751699999998</v>
      </c>
      <c r="I65" s="13">
        <v>0</v>
      </c>
    </row>
    <row r="66" spans="1:9" ht="15.75" hidden="1" customHeight="1">
      <c r="A66" s="29"/>
      <c r="B66" s="14" t="s">
        <v>53</v>
      </c>
      <c r="C66" s="16" t="s">
        <v>82</v>
      </c>
      <c r="D66" s="14" t="s">
        <v>57</v>
      </c>
      <c r="E66" s="48">
        <v>2730</v>
      </c>
      <c r="F66" s="13">
        <f>SUM(E66/100)</f>
        <v>27.3</v>
      </c>
      <c r="G66" s="13">
        <v>1953.52</v>
      </c>
      <c r="H66" s="90">
        <f t="shared" si="5"/>
        <v>53.331095999999995</v>
      </c>
      <c r="I66" s="13">
        <v>0</v>
      </c>
    </row>
    <row r="67" spans="1:9" ht="15.75" hidden="1" customHeight="1">
      <c r="A67" s="29"/>
      <c r="B67" s="91" t="s">
        <v>142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40.270000000000003</v>
      </c>
      <c r="H67" s="90">
        <f t="shared" si="5"/>
        <v>0.66042800000000002</v>
      </c>
      <c r="I67" s="13">
        <v>0</v>
      </c>
    </row>
    <row r="68" spans="1:9" ht="15.75" hidden="1" customHeight="1">
      <c r="A68" s="29"/>
      <c r="B68" s="91" t="s">
        <v>143</v>
      </c>
      <c r="C68" s="16" t="s">
        <v>34</v>
      </c>
      <c r="D68" s="14"/>
      <c r="E68" s="48">
        <v>16.399999999999999</v>
      </c>
      <c r="F68" s="13">
        <f>SUM(E68)</f>
        <v>16.399999999999999</v>
      </c>
      <c r="G68" s="13">
        <v>37.71</v>
      </c>
      <c r="H68" s="90">
        <f t="shared" si="5"/>
        <v>0.61844399999999999</v>
      </c>
      <c r="I68" s="13">
        <v>0</v>
      </c>
    </row>
    <row r="69" spans="1:9" ht="15.75" hidden="1" customHeight="1">
      <c r="A69" s="29"/>
      <c r="B69" s="14" t="s">
        <v>61</v>
      </c>
      <c r="C69" s="16" t="s">
        <v>62</v>
      </c>
      <c r="D69" s="14" t="s">
        <v>57</v>
      </c>
      <c r="E69" s="18">
        <v>7</v>
      </c>
      <c r="F69" s="75">
        <f>SUM(E69)</f>
        <v>7</v>
      </c>
      <c r="G69" s="13">
        <v>46.97</v>
      </c>
      <c r="H69" s="90">
        <f t="shared" si="5"/>
        <v>0.32878999999999997</v>
      </c>
      <c r="I69" s="13">
        <v>0</v>
      </c>
    </row>
    <row r="70" spans="1:9" ht="15.75" hidden="1" customHeight="1">
      <c r="A70" s="29"/>
      <c r="B70" s="104" t="s">
        <v>78</v>
      </c>
      <c r="C70" s="16"/>
      <c r="D70" s="14"/>
      <c r="E70" s="18"/>
      <c r="F70" s="13"/>
      <c r="G70" s="13"/>
      <c r="H70" s="90" t="s">
        <v>146</v>
      </c>
      <c r="I70" s="13"/>
    </row>
    <row r="71" spans="1:9" ht="15.75" hidden="1" customHeight="1">
      <c r="A71" s="29"/>
      <c r="B71" s="14" t="s">
        <v>96</v>
      </c>
      <c r="C71" s="16" t="s">
        <v>31</v>
      </c>
      <c r="D71" s="14"/>
      <c r="E71" s="18">
        <v>1</v>
      </c>
      <c r="F71" s="75">
        <f>SUM(E71)</f>
        <v>1</v>
      </c>
      <c r="G71" s="13">
        <v>337.58</v>
      </c>
      <c r="H71" s="90">
        <f t="shared" ref="H71" si="6">SUM(F71*G71/1000)</f>
        <v>0.33757999999999999</v>
      </c>
      <c r="I71" s="13">
        <v>0</v>
      </c>
    </row>
    <row r="72" spans="1:9" ht="15.75" hidden="1" customHeight="1">
      <c r="A72" s="29"/>
      <c r="B72" s="14" t="s">
        <v>80</v>
      </c>
      <c r="C72" s="16" t="s">
        <v>31</v>
      </c>
      <c r="D72" s="14"/>
      <c r="E72" s="18">
        <v>2</v>
      </c>
      <c r="F72" s="13">
        <v>2</v>
      </c>
      <c r="G72" s="13">
        <v>803.19</v>
      </c>
      <c r="H72" s="90">
        <f>F72*G72/1000</f>
        <v>1.6063800000000001</v>
      </c>
      <c r="I72" s="13">
        <v>0</v>
      </c>
    </row>
    <row r="73" spans="1:9" ht="15.75" hidden="1" customHeight="1">
      <c r="A73" s="29"/>
      <c r="B73" s="92" t="s">
        <v>81</v>
      </c>
      <c r="C73" s="16"/>
      <c r="D73" s="14"/>
      <c r="E73" s="18"/>
      <c r="F73" s="13"/>
      <c r="G73" s="13" t="s">
        <v>146</v>
      </c>
      <c r="H73" s="90" t="s">
        <v>146</v>
      </c>
      <c r="I73" s="13"/>
    </row>
    <row r="74" spans="1:9" ht="15.75" hidden="1" customHeight="1">
      <c r="A74" s="29"/>
      <c r="B74" s="42" t="s">
        <v>147</v>
      </c>
      <c r="C74" s="16" t="s">
        <v>82</v>
      </c>
      <c r="D74" s="14"/>
      <c r="E74" s="18"/>
      <c r="F74" s="13">
        <v>1.35</v>
      </c>
      <c r="G74" s="13">
        <v>2494</v>
      </c>
      <c r="H74" s="90">
        <f t="shared" ref="H74" si="7">SUM(F74*G74/1000)</f>
        <v>3.3669000000000002</v>
      </c>
      <c r="I74" s="13">
        <v>0</v>
      </c>
    </row>
    <row r="75" spans="1:9" ht="15.75" hidden="1" customHeight="1">
      <c r="A75" s="29"/>
      <c r="B75" s="78" t="s">
        <v>144</v>
      </c>
      <c r="C75" s="92"/>
      <c r="D75" s="31"/>
      <c r="E75" s="32"/>
      <c r="F75" s="79"/>
      <c r="G75" s="79"/>
      <c r="H75" s="93">
        <f>SUM(H57:H74)</f>
        <v>7351.9809012699989</v>
      </c>
      <c r="I75" s="79"/>
    </row>
    <row r="76" spans="1:9" ht="15.75" hidden="1" customHeight="1">
      <c r="A76" s="29"/>
      <c r="B76" s="73" t="s">
        <v>145</v>
      </c>
      <c r="C76" s="16"/>
      <c r="D76" s="14"/>
      <c r="E76" s="67"/>
      <c r="F76" s="13">
        <v>1</v>
      </c>
      <c r="G76" s="13">
        <v>17359.8</v>
      </c>
      <c r="H76" s="90">
        <f>G76*F76/1000</f>
        <v>17.3598</v>
      </c>
      <c r="I76" s="13">
        <v>0</v>
      </c>
    </row>
    <row r="77" spans="1:9" ht="15.75" customHeight="1">
      <c r="A77" s="129" t="s">
        <v>154</v>
      </c>
      <c r="B77" s="130"/>
      <c r="C77" s="130"/>
      <c r="D77" s="130"/>
      <c r="E77" s="130"/>
      <c r="F77" s="130"/>
      <c r="G77" s="130"/>
      <c r="H77" s="130"/>
      <c r="I77" s="131"/>
    </row>
    <row r="78" spans="1:9" ht="15.75" customHeight="1">
      <c r="A78" s="29">
        <v>16</v>
      </c>
      <c r="B78" s="73" t="s">
        <v>148</v>
      </c>
      <c r="C78" s="16" t="s">
        <v>58</v>
      </c>
      <c r="D78" s="94" t="s">
        <v>59</v>
      </c>
      <c r="E78" s="13">
        <v>4224.3999999999996</v>
      </c>
      <c r="F78" s="13">
        <f>SUM(E78*12)</f>
        <v>50692.799999999996</v>
      </c>
      <c r="G78" s="13">
        <v>2.1</v>
      </c>
      <c r="H78" s="90">
        <f>SUM(F78*G78/1000)</f>
        <v>106.45487999999999</v>
      </c>
      <c r="I78" s="13">
        <f>F78/12*G78</f>
        <v>8871.24</v>
      </c>
    </row>
    <row r="79" spans="1:9" ht="31.5" customHeight="1">
      <c r="A79" s="29">
        <v>17</v>
      </c>
      <c r="B79" s="14" t="s">
        <v>83</v>
      </c>
      <c r="C79" s="16"/>
      <c r="D79" s="94" t="s">
        <v>59</v>
      </c>
      <c r="E79" s="48">
        <v>4224.3999999999996</v>
      </c>
      <c r="F79" s="13">
        <f>E79*12</f>
        <v>50692.799999999996</v>
      </c>
      <c r="G79" s="13">
        <v>1.63</v>
      </c>
      <c r="H79" s="90">
        <f>F79*G79/1000</f>
        <v>82.629263999999978</v>
      </c>
      <c r="I79" s="13">
        <f>F79/12*G79</f>
        <v>6885.771999999999</v>
      </c>
    </row>
    <row r="80" spans="1:9" ht="15.75" customHeight="1">
      <c r="A80" s="102"/>
      <c r="B80" s="34" t="s">
        <v>86</v>
      </c>
      <c r="C80" s="35"/>
      <c r="D80" s="15"/>
      <c r="E80" s="15"/>
      <c r="F80" s="15"/>
      <c r="G80" s="18"/>
      <c r="H80" s="18"/>
      <c r="I80" s="32">
        <f>SUM(I16+I17+I18+I20+I21+I26+I27+I38+I39+I41+I42+I44+I50+I57+I60+I78+I79)</f>
        <v>78126.180971333306</v>
      </c>
    </row>
    <row r="81" spans="1:9" ht="15.75" customHeight="1">
      <c r="A81" s="147" t="s">
        <v>64</v>
      </c>
      <c r="B81" s="148"/>
      <c r="C81" s="148"/>
      <c r="D81" s="148"/>
      <c r="E81" s="148"/>
      <c r="F81" s="148"/>
      <c r="G81" s="148"/>
      <c r="H81" s="148"/>
      <c r="I81" s="149"/>
    </row>
    <row r="82" spans="1:9" ht="15.75" customHeight="1">
      <c r="A82" s="29">
        <v>18</v>
      </c>
      <c r="B82" s="46" t="s">
        <v>199</v>
      </c>
      <c r="C82" s="49" t="s">
        <v>191</v>
      </c>
      <c r="D82" s="42"/>
      <c r="E82" s="13"/>
      <c r="F82" s="13">
        <v>4</v>
      </c>
      <c r="G82" s="13">
        <v>1046.06</v>
      </c>
      <c r="H82" s="90">
        <f t="shared" ref="H82" si="8">G82*F82/1000</f>
        <v>4.18424</v>
      </c>
      <c r="I82" s="13">
        <f>G82</f>
        <v>1046.06</v>
      </c>
    </row>
    <row r="83" spans="1:9" ht="15.75" customHeight="1">
      <c r="A83" s="29">
        <v>19</v>
      </c>
      <c r="B83" s="57" t="s">
        <v>192</v>
      </c>
      <c r="C83" s="49" t="s">
        <v>138</v>
      </c>
      <c r="D83" s="42"/>
      <c r="E83" s="13"/>
      <c r="F83" s="13">
        <v>3</v>
      </c>
      <c r="G83" s="13">
        <v>118</v>
      </c>
      <c r="H83" s="90">
        <f>G83*F83/1000</f>
        <v>0.35399999999999998</v>
      </c>
      <c r="I83" s="13">
        <f t="shared" ref="I83:I84" si="9">G83</f>
        <v>118</v>
      </c>
    </row>
    <row r="84" spans="1:9" ht="15.75" customHeight="1">
      <c r="A84" s="29">
        <v>20</v>
      </c>
      <c r="B84" s="46" t="s">
        <v>195</v>
      </c>
      <c r="C84" s="49" t="s">
        <v>196</v>
      </c>
      <c r="D84" s="42"/>
      <c r="E84" s="13"/>
      <c r="F84" s="13">
        <v>2.5</v>
      </c>
      <c r="G84" s="13">
        <v>293.17</v>
      </c>
      <c r="H84" s="90">
        <f t="shared" ref="H84:H91" si="10">G84*F84/1000</f>
        <v>0.73292500000000005</v>
      </c>
      <c r="I84" s="13">
        <f t="shared" si="9"/>
        <v>293.17</v>
      </c>
    </row>
    <row r="85" spans="1:9" ht="15.75" customHeight="1">
      <c r="A85" s="29">
        <v>21</v>
      </c>
      <c r="B85" s="57" t="s">
        <v>197</v>
      </c>
      <c r="C85" s="58" t="s">
        <v>100</v>
      </c>
      <c r="D85" s="42"/>
      <c r="E85" s="13"/>
      <c r="F85" s="13">
        <f>(3*7+5+10+10+10+10+20+20+5+10+20+3)/3</f>
        <v>48</v>
      </c>
      <c r="G85" s="13">
        <v>1120.8900000000001</v>
      </c>
      <c r="H85" s="90">
        <f t="shared" si="10"/>
        <v>53.802720000000001</v>
      </c>
      <c r="I85" s="13">
        <f>G85*5</f>
        <v>5604.4500000000007</v>
      </c>
    </row>
    <row r="86" spans="1:9" ht="15.75" customHeight="1">
      <c r="A86" s="29">
        <v>22</v>
      </c>
      <c r="B86" s="46" t="s">
        <v>198</v>
      </c>
      <c r="C86" s="49" t="s">
        <v>138</v>
      </c>
      <c r="D86" s="42"/>
      <c r="E86" s="13"/>
      <c r="F86" s="13">
        <v>640</v>
      </c>
      <c r="G86" s="13">
        <v>53.42</v>
      </c>
      <c r="H86" s="90">
        <f t="shared" si="10"/>
        <v>34.188800000000001</v>
      </c>
      <c r="I86" s="13">
        <f>G86*80</f>
        <v>4273.6000000000004</v>
      </c>
    </row>
    <row r="87" spans="1:9" ht="15.75" customHeight="1">
      <c r="A87" s="29">
        <v>23</v>
      </c>
      <c r="B87" s="46" t="s">
        <v>202</v>
      </c>
      <c r="C87" s="49" t="s">
        <v>138</v>
      </c>
      <c r="D87" s="14"/>
      <c r="E87" s="18"/>
      <c r="F87" s="13">
        <v>8</v>
      </c>
      <c r="G87" s="13">
        <v>140</v>
      </c>
      <c r="H87" s="90">
        <f t="shared" si="10"/>
        <v>1.1200000000000001</v>
      </c>
      <c r="I87" s="13">
        <f>G87</f>
        <v>140</v>
      </c>
    </row>
    <row r="88" spans="1:9" ht="15.75" customHeight="1">
      <c r="A88" s="29">
        <v>24</v>
      </c>
      <c r="B88" s="46" t="s">
        <v>206</v>
      </c>
      <c r="C88" s="49" t="s">
        <v>138</v>
      </c>
      <c r="D88" s="42"/>
      <c r="E88" s="13"/>
      <c r="F88" s="13">
        <v>2</v>
      </c>
      <c r="G88" s="13">
        <v>90</v>
      </c>
      <c r="H88" s="90">
        <f t="shared" si="10"/>
        <v>0.18</v>
      </c>
      <c r="I88" s="13">
        <f>G88*2</f>
        <v>180</v>
      </c>
    </row>
    <row r="89" spans="1:9" ht="15.75" customHeight="1">
      <c r="A89" s="29">
        <v>25</v>
      </c>
      <c r="B89" s="46" t="s">
        <v>203</v>
      </c>
      <c r="C89" s="49" t="s">
        <v>138</v>
      </c>
      <c r="D89" s="42"/>
      <c r="E89" s="13"/>
      <c r="F89" s="13">
        <v>3</v>
      </c>
      <c r="G89" s="13">
        <v>70</v>
      </c>
      <c r="H89" s="90">
        <f t="shared" si="10"/>
        <v>0.21</v>
      </c>
      <c r="I89" s="13">
        <f>G89</f>
        <v>70</v>
      </c>
    </row>
    <row r="90" spans="1:9" ht="31.5" customHeight="1">
      <c r="A90" s="29">
        <v>26</v>
      </c>
      <c r="B90" s="72" t="s">
        <v>159</v>
      </c>
      <c r="C90" s="29" t="s">
        <v>160</v>
      </c>
      <c r="D90" s="42"/>
      <c r="E90" s="13"/>
      <c r="F90" s="13">
        <v>4</v>
      </c>
      <c r="G90" s="13">
        <v>1934.94</v>
      </c>
      <c r="H90" s="90">
        <f t="shared" si="10"/>
        <v>7.7397600000000004</v>
      </c>
      <c r="I90" s="13">
        <f>G90*2</f>
        <v>3869.88</v>
      </c>
    </row>
    <row r="91" spans="1:9" ht="31.5" customHeight="1">
      <c r="A91" s="29">
        <v>27</v>
      </c>
      <c r="B91" s="46" t="s">
        <v>204</v>
      </c>
      <c r="C91" s="49" t="s">
        <v>138</v>
      </c>
      <c r="D91" s="42"/>
      <c r="E91" s="13"/>
      <c r="F91" s="13">
        <v>1</v>
      </c>
      <c r="G91" s="13">
        <v>3107.36</v>
      </c>
      <c r="H91" s="90">
        <f t="shared" si="10"/>
        <v>3.1073600000000003</v>
      </c>
      <c r="I91" s="13">
        <f>G91</f>
        <v>3107.36</v>
      </c>
    </row>
    <row r="92" spans="1:9" ht="15.75" customHeight="1">
      <c r="A92" s="29">
        <v>28</v>
      </c>
      <c r="B92" s="46" t="s">
        <v>205</v>
      </c>
      <c r="C92" s="49" t="s">
        <v>138</v>
      </c>
      <c r="D92" s="42"/>
      <c r="E92" s="13"/>
      <c r="F92" s="13">
        <v>2</v>
      </c>
      <c r="G92" s="13">
        <v>1241.75</v>
      </c>
      <c r="H92" s="90">
        <f>G92*F92/1000</f>
        <v>2.4834999999999998</v>
      </c>
      <c r="I92" s="13">
        <f>G92</f>
        <v>1241.75</v>
      </c>
    </row>
    <row r="93" spans="1:9" ht="15.75" customHeight="1">
      <c r="A93" s="29"/>
      <c r="B93" s="40" t="s">
        <v>54</v>
      </c>
      <c r="C93" s="36"/>
      <c r="D93" s="44"/>
      <c r="E93" s="36">
        <v>1</v>
      </c>
      <c r="F93" s="36"/>
      <c r="G93" s="36"/>
      <c r="H93" s="36"/>
      <c r="I93" s="32">
        <f>SUM(I82:I92)</f>
        <v>19944.27</v>
      </c>
    </row>
    <row r="94" spans="1:9" ht="15.75" customHeight="1">
      <c r="A94" s="29"/>
      <c r="B94" s="42" t="s">
        <v>84</v>
      </c>
      <c r="C94" s="15"/>
      <c r="D94" s="15"/>
      <c r="E94" s="37"/>
      <c r="F94" s="37"/>
      <c r="G94" s="38"/>
      <c r="H94" s="38"/>
      <c r="I94" s="17">
        <v>0</v>
      </c>
    </row>
    <row r="95" spans="1:9" ht="15.75" customHeight="1">
      <c r="A95" s="45"/>
      <c r="B95" s="41" t="s">
        <v>180</v>
      </c>
      <c r="C95" s="33"/>
      <c r="D95" s="33"/>
      <c r="E95" s="33"/>
      <c r="F95" s="33"/>
      <c r="G95" s="33"/>
      <c r="H95" s="33"/>
      <c r="I95" s="39">
        <f>I80+I93</f>
        <v>98070.45097133331</v>
      </c>
    </row>
    <row r="96" spans="1:9" ht="15.75" customHeight="1">
      <c r="A96" s="143" t="s">
        <v>279</v>
      </c>
      <c r="B96" s="143"/>
      <c r="C96" s="143"/>
      <c r="D96" s="143"/>
      <c r="E96" s="143"/>
      <c r="F96" s="143"/>
      <c r="G96" s="143"/>
      <c r="H96" s="143"/>
      <c r="I96" s="143"/>
    </row>
    <row r="97" spans="1:9" ht="15.75" customHeight="1">
      <c r="A97" s="56"/>
      <c r="B97" s="144" t="s">
        <v>280</v>
      </c>
      <c r="C97" s="144"/>
      <c r="D97" s="144"/>
      <c r="E97" s="144"/>
      <c r="F97" s="144"/>
      <c r="G97" s="144"/>
      <c r="H97" s="71"/>
      <c r="I97" s="3"/>
    </row>
    <row r="98" spans="1:9" ht="15.75" customHeight="1">
      <c r="A98" s="100"/>
      <c r="B98" s="145" t="s">
        <v>6</v>
      </c>
      <c r="C98" s="145"/>
      <c r="D98" s="145"/>
      <c r="E98" s="145"/>
      <c r="F98" s="145"/>
      <c r="G98" s="145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46" t="s">
        <v>7</v>
      </c>
      <c r="B100" s="146"/>
      <c r="C100" s="146"/>
      <c r="D100" s="146"/>
      <c r="E100" s="146"/>
      <c r="F100" s="146"/>
      <c r="G100" s="146"/>
      <c r="H100" s="146"/>
      <c r="I100" s="146"/>
    </row>
    <row r="101" spans="1:9" ht="15.75" customHeight="1">
      <c r="A101" s="146" t="s">
        <v>8</v>
      </c>
      <c r="B101" s="146"/>
      <c r="C101" s="146"/>
      <c r="D101" s="146"/>
      <c r="E101" s="146"/>
      <c r="F101" s="146"/>
      <c r="G101" s="146"/>
      <c r="H101" s="146"/>
      <c r="I101" s="146"/>
    </row>
    <row r="102" spans="1:9" ht="15.75" customHeight="1">
      <c r="A102" s="138" t="s">
        <v>65</v>
      </c>
      <c r="B102" s="138"/>
      <c r="C102" s="138"/>
      <c r="D102" s="138"/>
      <c r="E102" s="138"/>
      <c r="F102" s="138"/>
      <c r="G102" s="138"/>
      <c r="H102" s="138"/>
      <c r="I102" s="138"/>
    </row>
    <row r="103" spans="1:9" ht="15.75" customHeight="1">
      <c r="A103" s="11"/>
    </row>
    <row r="104" spans="1:9" ht="15.75" customHeight="1">
      <c r="A104" s="151" t="s">
        <v>9</v>
      </c>
      <c r="B104" s="151"/>
      <c r="C104" s="151"/>
      <c r="D104" s="151"/>
      <c r="E104" s="151"/>
      <c r="F104" s="151"/>
      <c r="G104" s="151"/>
      <c r="H104" s="151"/>
      <c r="I104" s="151"/>
    </row>
    <row r="105" spans="1:9" ht="15.75" customHeight="1">
      <c r="A105" s="4"/>
    </row>
    <row r="106" spans="1:9" ht="15.75" customHeight="1">
      <c r="B106" s="101" t="s">
        <v>10</v>
      </c>
      <c r="C106" s="152" t="s">
        <v>98</v>
      </c>
      <c r="D106" s="152"/>
      <c r="E106" s="152"/>
      <c r="F106" s="69"/>
      <c r="I106" s="99"/>
    </row>
    <row r="107" spans="1:9" ht="15.75" customHeight="1">
      <c r="A107" s="100"/>
      <c r="C107" s="145" t="s">
        <v>11</v>
      </c>
      <c r="D107" s="145"/>
      <c r="E107" s="145"/>
      <c r="F107" s="24"/>
      <c r="I107" s="98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101" t="s">
        <v>13</v>
      </c>
      <c r="C109" s="153"/>
      <c r="D109" s="153"/>
      <c r="E109" s="153"/>
      <c r="F109" s="70"/>
      <c r="I109" s="99"/>
    </row>
    <row r="110" spans="1:9" ht="15.75" customHeight="1">
      <c r="A110" s="100"/>
      <c r="C110" s="128" t="s">
        <v>11</v>
      </c>
      <c r="D110" s="128"/>
      <c r="E110" s="128"/>
      <c r="F110" s="100"/>
      <c r="I110" s="98" t="s">
        <v>12</v>
      </c>
    </row>
    <row r="111" spans="1:9" ht="15.75" customHeight="1">
      <c r="A111" s="4" t="s">
        <v>14</v>
      </c>
    </row>
    <row r="112" spans="1:9" ht="15.75" customHeight="1">
      <c r="A112" s="154" t="s">
        <v>15</v>
      </c>
      <c r="B112" s="154"/>
      <c r="C112" s="154"/>
      <c r="D112" s="154"/>
      <c r="E112" s="154"/>
      <c r="F112" s="154"/>
      <c r="G112" s="154"/>
      <c r="H112" s="154"/>
      <c r="I112" s="154"/>
    </row>
    <row r="113" spans="1:9" ht="45" customHeight="1">
      <c r="A113" s="150" t="s">
        <v>16</v>
      </c>
      <c r="B113" s="150"/>
      <c r="C113" s="150"/>
      <c r="D113" s="150"/>
      <c r="E113" s="150"/>
      <c r="F113" s="150"/>
      <c r="G113" s="150"/>
      <c r="H113" s="150"/>
      <c r="I113" s="150"/>
    </row>
    <row r="114" spans="1:9" ht="30" customHeight="1">
      <c r="A114" s="150" t="s">
        <v>17</v>
      </c>
      <c r="B114" s="150"/>
      <c r="C114" s="150"/>
      <c r="D114" s="150"/>
      <c r="E114" s="150"/>
      <c r="F114" s="150"/>
      <c r="G114" s="150"/>
      <c r="H114" s="150"/>
      <c r="I114" s="150"/>
    </row>
    <row r="115" spans="1:9" ht="30" customHeight="1">
      <c r="A115" s="150" t="s">
        <v>21</v>
      </c>
      <c r="B115" s="150"/>
      <c r="C115" s="150"/>
      <c r="D115" s="150"/>
      <c r="E115" s="150"/>
      <c r="F115" s="150"/>
      <c r="G115" s="150"/>
      <c r="H115" s="150"/>
      <c r="I115" s="150"/>
    </row>
    <row r="116" spans="1:9" ht="15" customHeight="1">
      <c r="A116" s="150" t="s">
        <v>20</v>
      </c>
      <c r="B116" s="150"/>
      <c r="C116" s="150"/>
      <c r="D116" s="150"/>
      <c r="E116" s="150"/>
      <c r="F116" s="150"/>
      <c r="G116" s="150"/>
      <c r="H116" s="150"/>
      <c r="I116" s="150"/>
    </row>
  </sheetData>
  <autoFilter ref="I12:I60"/>
  <mergeCells count="29">
    <mergeCell ref="A112:I112"/>
    <mergeCell ref="A113:I113"/>
    <mergeCell ref="A114:I114"/>
    <mergeCell ref="A115:I115"/>
    <mergeCell ref="A116:I116"/>
    <mergeCell ref="R64:U64"/>
    <mergeCell ref="C110:E110"/>
    <mergeCell ref="A81:I81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77:I77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208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209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42825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7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3" t="s">
        <v>113</v>
      </c>
      <c r="C25" s="74" t="s">
        <v>56</v>
      </c>
      <c r="D25" s="73" t="s">
        <v>122</v>
      </c>
      <c r="E25" s="48">
        <v>17</v>
      </c>
      <c r="F25" s="75">
        <f>SUM(E25/100)</f>
        <v>0.17</v>
      </c>
      <c r="G25" s="75">
        <v>556.74</v>
      </c>
      <c r="H25" s="76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73" t="s">
        <v>68</v>
      </c>
      <c r="C26" s="74" t="s">
        <v>34</v>
      </c>
      <c r="D26" s="73" t="s">
        <v>157</v>
      </c>
      <c r="E26" s="48">
        <v>0.1</v>
      </c>
      <c r="F26" s="75">
        <f>SUM(E26*365)</f>
        <v>36.5</v>
      </c>
      <c r="G26" s="75">
        <v>147.03</v>
      </c>
      <c r="H26" s="76">
        <f t="shared" si="0"/>
        <v>5.3665950000000002</v>
      </c>
      <c r="I26" s="13">
        <f>F26/12*G26</f>
        <v>447.21625</v>
      </c>
      <c r="J26" s="23"/>
    </row>
    <row r="27" spans="1:13" ht="15.75" customHeight="1">
      <c r="A27" s="29">
        <v>7</v>
      </c>
      <c r="B27" s="81" t="s">
        <v>23</v>
      </c>
      <c r="C27" s="74" t="s">
        <v>24</v>
      </c>
      <c r="D27" s="81" t="s">
        <v>157</v>
      </c>
      <c r="E27" s="48">
        <v>4224.3999999999996</v>
      </c>
      <c r="F27" s="75">
        <f>SUM(E27*12)</f>
        <v>50692.799999999996</v>
      </c>
      <c r="G27" s="75">
        <v>4.59</v>
      </c>
      <c r="H27" s="76">
        <f t="shared" si="0"/>
        <v>232.67995199999996</v>
      </c>
      <c r="I27" s="13">
        <f>F27/12*G27</f>
        <v>19389.995999999999</v>
      </c>
      <c r="J27" s="23"/>
    </row>
    <row r="28" spans="1:13" ht="15.75" customHeight="1">
      <c r="A28" s="139" t="s">
        <v>92</v>
      </c>
      <c r="B28" s="139"/>
      <c r="C28" s="139"/>
      <c r="D28" s="139"/>
      <c r="E28" s="139"/>
      <c r="F28" s="139"/>
      <c r="G28" s="139"/>
      <c r="H28" s="139"/>
      <c r="I28" s="139"/>
      <c r="J28" s="22"/>
      <c r="K28" s="8"/>
      <c r="L28" s="8"/>
      <c r="M28" s="8"/>
    </row>
    <row r="29" spans="1:13" ht="15.75" hidden="1" customHeight="1">
      <c r="A29" s="29"/>
      <c r="B29" s="96" t="s">
        <v>28</v>
      </c>
      <c r="C29" s="74"/>
      <c r="D29" s="73"/>
      <c r="E29" s="48"/>
      <c r="F29" s="75"/>
      <c r="G29" s="75"/>
      <c r="H29" s="76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73" t="s">
        <v>125</v>
      </c>
      <c r="C30" s="74" t="s">
        <v>126</v>
      </c>
      <c r="D30" s="73" t="s">
        <v>127</v>
      </c>
      <c r="E30" s="75">
        <v>1414.6</v>
      </c>
      <c r="F30" s="75">
        <f>SUM(E30*52/1000)</f>
        <v>73.559200000000004</v>
      </c>
      <c r="G30" s="75">
        <v>155.88999999999999</v>
      </c>
      <c r="H30" s="76">
        <f t="shared" ref="H30:H36" si="1">SUM(F30*G30/1000)</f>
        <v>11.467143688</v>
      </c>
      <c r="I30" s="13">
        <v>0</v>
      </c>
      <c r="J30" s="22"/>
      <c r="K30" s="8"/>
      <c r="L30" s="8"/>
      <c r="M30" s="8"/>
    </row>
    <row r="31" spans="1:13" ht="31.5" hidden="1" customHeight="1">
      <c r="A31" s="29">
        <v>8</v>
      </c>
      <c r="B31" s="73" t="s">
        <v>166</v>
      </c>
      <c r="C31" s="74" t="s">
        <v>126</v>
      </c>
      <c r="D31" s="73" t="s">
        <v>128</v>
      </c>
      <c r="E31" s="75">
        <v>632.4</v>
      </c>
      <c r="F31" s="75">
        <f>SUM(E31*78/1000)</f>
        <v>49.327199999999998</v>
      </c>
      <c r="G31" s="75">
        <v>258.63</v>
      </c>
      <c r="H31" s="76">
        <f t="shared" si="1"/>
        <v>12.757493735999999</v>
      </c>
      <c r="I31" s="13">
        <v>0</v>
      </c>
      <c r="J31" s="22"/>
      <c r="K31" s="8"/>
      <c r="L31" s="8"/>
      <c r="M31" s="8"/>
    </row>
    <row r="32" spans="1:13" ht="15.75" hidden="1" customHeight="1">
      <c r="A32" s="29"/>
      <c r="B32" s="73" t="s">
        <v>181</v>
      </c>
      <c r="C32" s="74" t="s">
        <v>126</v>
      </c>
      <c r="D32" s="73" t="s">
        <v>99</v>
      </c>
      <c r="E32" s="48">
        <v>143.20000000000002</v>
      </c>
      <c r="F32" s="75">
        <v>0</v>
      </c>
      <c r="G32" s="75">
        <v>293.27999999999997</v>
      </c>
      <c r="H32" s="76">
        <f t="shared" si="1"/>
        <v>0</v>
      </c>
      <c r="I32" s="13"/>
      <c r="J32" s="22"/>
      <c r="K32" s="8"/>
      <c r="L32" s="8"/>
      <c r="M32" s="8"/>
    </row>
    <row r="33" spans="1:14" ht="15.75" hidden="1" customHeight="1">
      <c r="A33" s="29">
        <v>9</v>
      </c>
      <c r="B33" s="73" t="s">
        <v>27</v>
      </c>
      <c r="C33" s="74" t="s">
        <v>126</v>
      </c>
      <c r="D33" s="73" t="s">
        <v>57</v>
      </c>
      <c r="E33" s="75">
        <v>1414.6</v>
      </c>
      <c r="F33" s="75">
        <f>SUM(E33/1000)</f>
        <v>1.4145999999999999</v>
      </c>
      <c r="G33" s="75">
        <v>3020.33</v>
      </c>
      <c r="H33" s="76">
        <f t="shared" si="1"/>
        <v>4.2725588179999994</v>
      </c>
      <c r="I33" s="13">
        <v>0</v>
      </c>
      <c r="J33" s="22"/>
      <c r="K33" s="8"/>
      <c r="L33" s="8"/>
      <c r="M33" s="8"/>
    </row>
    <row r="34" spans="1:14" ht="15.75" hidden="1" customHeight="1">
      <c r="A34" s="29">
        <v>10</v>
      </c>
      <c r="B34" s="73" t="s">
        <v>129</v>
      </c>
      <c r="C34" s="74" t="s">
        <v>42</v>
      </c>
      <c r="D34" s="73" t="s">
        <v>67</v>
      </c>
      <c r="E34" s="75">
        <v>6</v>
      </c>
      <c r="F34" s="75">
        <f>SUM(E34*155/100)</f>
        <v>9.3000000000000007</v>
      </c>
      <c r="G34" s="75">
        <v>1302.02</v>
      </c>
      <c r="H34" s="76">
        <f t="shared" si="1"/>
        <v>12.108786</v>
      </c>
      <c r="I34" s="13">
        <v>0</v>
      </c>
      <c r="J34" s="22"/>
      <c r="K34" s="8"/>
    </row>
    <row r="35" spans="1:14" ht="15.75" hidden="1" customHeight="1">
      <c r="A35" s="29"/>
      <c r="B35" s="73" t="s">
        <v>69</v>
      </c>
      <c r="C35" s="74" t="s">
        <v>34</v>
      </c>
      <c r="D35" s="73" t="s">
        <v>71</v>
      </c>
      <c r="E35" s="48"/>
      <c r="F35" s="75">
        <v>4</v>
      </c>
      <c r="G35" s="75">
        <v>191.32</v>
      </c>
      <c r="H35" s="76">
        <f t="shared" si="1"/>
        <v>0.76527999999999996</v>
      </c>
      <c r="I35" s="13">
        <v>0</v>
      </c>
      <c r="J35" s="23"/>
    </row>
    <row r="36" spans="1:14" ht="15.75" hidden="1" customHeight="1">
      <c r="A36" s="29"/>
      <c r="B36" s="73" t="s">
        <v>70</v>
      </c>
      <c r="C36" s="74" t="s">
        <v>33</v>
      </c>
      <c r="D36" s="73" t="s">
        <v>71</v>
      </c>
      <c r="E36" s="48"/>
      <c r="F36" s="75">
        <v>3</v>
      </c>
      <c r="G36" s="75">
        <v>1136.33</v>
      </c>
      <c r="H36" s="76">
        <f t="shared" si="1"/>
        <v>3.4089899999999997</v>
      </c>
      <c r="I36" s="13">
        <v>0</v>
      </c>
      <c r="J36" s="23"/>
    </row>
    <row r="37" spans="1:14" ht="15.75" customHeight="1">
      <c r="A37" s="29"/>
      <c r="B37" s="96" t="s">
        <v>5</v>
      </c>
      <c r="C37" s="74"/>
      <c r="D37" s="73"/>
      <c r="E37" s="48"/>
      <c r="F37" s="75"/>
      <c r="G37" s="75"/>
      <c r="H37" s="76" t="s">
        <v>146</v>
      </c>
      <c r="I37" s="13"/>
      <c r="J37" s="23"/>
    </row>
    <row r="38" spans="1:14" ht="15.75" customHeight="1">
      <c r="A38" s="29">
        <v>8</v>
      </c>
      <c r="B38" s="73" t="s">
        <v>26</v>
      </c>
      <c r="C38" s="74" t="s">
        <v>33</v>
      </c>
      <c r="D38" s="73"/>
      <c r="E38" s="48"/>
      <c r="F38" s="75">
        <v>20</v>
      </c>
      <c r="G38" s="75">
        <v>1527.22</v>
      </c>
      <c r="H38" s="76">
        <f t="shared" ref="H38:H44" si="2">SUM(F38*G38/1000)</f>
        <v>30.544400000000003</v>
      </c>
      <c r="I38" s="13">
        <f>F38/6*G38</f>
        <v>5090.7333333333336</v>
      </c>
      <c r="J38" s="23"/>
    </row>
    <row r="39" spans="1:14" ht="15.75" customHeight="1">
      <c r="A39" s="29">
        <v>9</v>
      </c>
      <c r="B39" s="73" t="s">
        <v>72</v>
      </c>
      <c r="C39" s="74" t="s">
        <v>29</v>
      </c>
      <c r="D39" s="73" t="s">
        <v>182</v>
      </c>
      <c r="E39" s="75">
        <v>632.4</v>
      </c>
      <c r="F39" s="75">
        <f>SUM(E39*50/1000)</f>
        <v>31.62</v>
      </c>
      <c r="G39" s="75">
        <v>2102.71</v>
      </c>
      <c r="H39" s="76">
        <f t="shared" si="2"/>
        <v>66.487690200000003</v>
      </c>
      <c r="I39" s="13">
        <f>F39/6*G39</f>
        <v>11081.281700000001</v>
      </c>
      <c r="J39" s="23"/>
      <c r="L39" s="19"/>
      <c r="M39" s="20"/>
      <c r="N39" s="21"/>
    </row>
    <row r="40" spans="1:14" ht="15.75" hidden="1" customHeight="1">
      <c r="A40" s="29"/>
      <c r="B40" s="73" t="s">
        <v>104</v>
      </c>
      <c r="C40" s="74" t="s">
        <v>132</v>
      </c>
      <c r="D40" s="73" t="s">
        <v>71</v>
      </c>
      <c r="E40" s="48"/>
      <c r="F40" s="75">
        <v>30</v>
      </c>
      <c r="G40" s="75">
        <v>213.2</v>
      </c>
      <c r="H40" s="76">
        <f t="shared" si="2"/>
        <v>6.3959999999999999</v>
      </c>
      <c r="I40" s="13">
        <f>0</f>
        <v>0</v>
      </c>
      <c r="J40" s="23"/>
      <c r="L40" s="19"/>
      <c r="M40" s="20"/>
      <c r="N40" s="21"/>
    </row>
    <row r="41" spans="1:14" ht="15.75" customHeight="1">
      <c r="A41" s="29">
        <v>10</v>
      </c>
      <c r="B41" s="73" t="s">
        <v>73</v>
      </c>
      <c r="C41" s="74" t="s">
        <v>29</v>
      </c>
      <c r="D41" s="73" t="s">
        <v>133</v>
      </c>
      <c r="E41" s="75">
        <v>106</v>
      </c>
      <c r="F41" s="75">
        <f>SUM(E41*155/1000)</f>
        <v>16.43</v>
      </c>
      <c r="G41" s="75">
        <v>350.75</v>
      </c>
      <c r="H41" s="76">
        <f t="shared" si="2"/>
        <v>5.7628225000000004</v>
      </c>
      <c r="I41" s="13">
        <f>F41/6*G41</f>
        <v>960.47041666666667</v>
      </c>
      <c r="J41" s="23"/>
      <c r="L41" s="19"/>
      <c r="M41" s="20"/>
      <c r="N41" s="21"/>
    </row>
    <row r="42" spans="1:14" ht="47.25" customHeight="1">
      <c r="A42" s="29">
        <v>11</v>
      </c>
      <c r="B42" s="73" t="s">
        <v>89</v>
      </c>
      <c r="C42" s="74" t="s">
        <v>126</v>
      </c>
      <c r="D42" s="73" t="s">
        <v>183</v>
      </c>
      <c r="E42" s="75">
        <v>106</v>
      </c>
      <c r="F42" s="75">
        <f>SUM(E42*70/1000)</f>
        <v>7.42</v>
      </c>
      <c r="G42" s="75">
        <v>5803.28</v>
      </c>
      <c r="H42" s="76">
        <f t="shared" si="2"/>
        <v>43.060337599999997</v>
      </c>
      <c r="I42" s="13">
        <f>F42/6*G42</f>
        <v>7176.7229333333325</v>
      </c>
      <c r="J42" s="23"/>
      <c r="L42" s="19"/>
      <c r="M42" s="20"/>
      <c r="N42" s="21"/>
    </row>
    <row r="43" spans="1:14" ht="15.75" customHeight="1">
      <c r="A43" s="29">
        <v>12</v>
      </c>
      <c r="B43" s="73" t="s">
        <v>135</v>
      </c>
      <c r="C43" s="74" t="s">
        <v>126</v>
      </c>
      <c r="D43" s="123" t="s">
        <v>281</v>
      </c>
      <c r="E43" s="125">
        <v>106</v>
      </c>
      <c r="F43" s="126">
        <f>SUM(E43*15/1000)</f>
        <v>1.59</v>
      </c>
      <c r="G43" s="125">
        <v>428.7</v>
      </c>
      <c r="H43" s="127">
        <f t="shared" ref="H43" si="3">SUM(F43*G43/1000)</f>
        <v>0.68163300000000004</v>
      </c>
      <c r="I43" s="13">
        <f>F43/2*G43</f>
        <v>340.81650000000002</v>
      </c>
      <c r="J43" s="23"/>
      <c r="L43" s="19"/>
      <c r="M43" s="20"/>
      <c r="N43" s="21"/>
    </row>
    <row r="44" spans="1:14" ht="15.75" customHeight="1">
      <c r="A44" s="29">
        <v>13</v>
      </c>
      <c r="B44" s="73" t="s">
        <v>75</v>
      </c>
      <c r="C44" s="74" t="s">
        <v>34</v>
      </c>
      <c r="D44" s="73"/>
      <c r="E44" s="48"/>
      <c r="F44" s="75">
        <v>0.9</v>
      </c>
      <c r="G44" s="75">
        <v>798</v>
      </c>
      <c r="H44" s="76">
        <f t="shared" si="2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40" t="s">
        <v>152</v>
      </c>
      <c r="B45" s="141"/>
      <c r="C45" s="141"/>
      <c r="D45" s="141"/>
      <c r="E45" s="141"/>
      <c r="F45" s="141"/>
      <c r="G45" s="141"/>
      <c r="H45" s="141"/>
      <c r="I45" s="142"/>
      <c r="J45" s="23"/>
      <c r="L45" s="19"/>
      <c r="M45" s="20"/>
      <c r="N45" s="21"/>
    </row>
    <row r="46" spans="1:14" ht="15.75" hidden="1" customHeight="1">
      <c r="A46" s="29"/>
      <c r="B46" s="73" t="s">
        <v>184</v>
      </c>
      <c r="C46" s="74" t="s">
        <v>126</v>
      </c>
      <c r="D46" s="73" t="s">
        <v>44</v>
      </c>
      <c r="E46" s="48">
        <v>1150.5999999999999</v>
      </c>
      <c r="F46" s="75">
        <f>SUM(E46*2/1000)</f>
        <v>2.3011999999999997</v>
      </c>
      <c r="G46" s="13">
        <v>849.49</v>
      </c>
      <c r="H46" s="76">
        <f t="shared" ref="H46:H54" si="4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73" t="s">
        <v>37</v>
      </c>
      <c r="C47" s="74" t="s">
        <v>126</v>
      </c>
      <c r="D47" s="73" t="s">
        <v>44</v>
      </c>
      <c r="E47" s="48">
        <v>108.96</v>
      </c>
      <c r="F47" s="75">
        <f>SUM(E47*2/1000)</f>
        <v>0.21791999999999997</v>
      </c>
      <c r="G47" s="13">
        <v>579.48</v>
      </c>
      <c r="H47" s="76">
        <f t="shared" si="4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73" t="s">
        <v>38</v>
      </c>
      <c r="C48" s="74" t="s">
        <v>126</v>
      </c>
      <c r="D48" s="73" t="s">
        <v>44</v>
      </c>
      <c r="E48" s="48">
        <v>4224.3999999999996</v>
      </c>
      <c r="F48" s="75">
        <f>SUM(E48*2/1000)</f>
        <v>8.4487999999999985</v>
      </c>
      <c r="G48" s="13">
        <v>579.48</v>
      </c>
      <c r="H48" s="76">
        <f t="shared" si="4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73" t="s">
        <v>39</v>
      </c>
      <c r="C49" s="74" t="s">
        <v>126</v>
      </c>
      <c r="D49" s="73" t="s">
        <v>44</v>
      </c>
      <c r="E49" s="48">
        <v>3059.7</v>
      </c>
      <c r="F49" s="75">
        <f>SUM(E49*2/1000)</f>
        <v>6.1193999999999997</v>
      </c>
      <c r="G49" s="13">
        <v>606.77</v>
      </c>
      <c r="H49" s="76">
        <f t="shared" si="4"/>
        <v>3.7130683379999998</v>
      </c>
      <c r="I49" s="13">
        <v>0</v>
      </c>
      <c r="J49" s="23"/>
      <c r="L49" s="19"/>
      <c r="M49" s="20"/>
      <c r="N49" s="21"/>
    </row>
    <row r="50" spans="1:22" ht="15.75" hidden="1" customHeight="1">
      <c r="A50" s="29">
        <v>14</v>
      </c>
      <c r="B50" s="73" t="s">
        <v>60</v>
      </c>
      <c r="C50" s="74" t="s">
        <v>126</v>
      </c>
      <c r="D50" s="73" t="s">
        <v>185</v>
      </c>
      <c r="E50" s="48">
        <v>1150.5999999999999</v>
      </c>
      <c r="F50" s="75">
        <f>SUM(E50*5/1000)</f>
        <v>5.7530000000000001</v>
      </c>
      <c r="G50" s="13">
        <v>1213.55</v>
      </c>
      <c r="H50" s="76">
        <f t="shared" si="4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73" t="s">
        <v>136</v>
      </c>
      <c r="C51" s="74" t="s">
        <v>126</v>
      </c>
      <c r="D51" s="73" t="s">
        <v>44</v>
      </c>
      <c r="E51" s="48">
        <v>1150.5999999999999</v>
      </c>
      <c r="F51" s="75">
        <f>SUM(E51*2/1000)</f>
        <v>2.3011999999999997</v>
      </c>
      <c r="G51" s="13">
        <v>1213.55</v>
      </c>
      <c r="H51" s="76">
        <f t="shared" si="4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73" t="s">
        <v>137</v>
      </c>
      <c r="C52" s="74" t="s">
        <v>40</v>
      </c>
      <c r="D52" s="73" t="s">
        <v>44</v>
      </c>
      <c r="E52" s="48">
        <v>30</v>
      </c>
      <c r="F52" s="75">
        <f>SUM(E52*2/100)</f>
        <v>0.6</v>
      </c>
      <c r="G52" s="13">
        <v>2730.49</v>
      </c>
      <c r="H52" s="76">
        <f t="shared" si="4"/>
        <v>1.6382939999999999</v>
      </c>
      <c r="I52" s="13">
        <v>0</v>
      </c>
      <c r="J52" s="23"/>
      <c r="L52" s="19"/>
      <c r="M52" s="20"/>
      <c r="N52" s="21"/>
    </row>
    <row r="53" spans="1:22" ht="15.75" customHeight="1">
      <c r="A53" s="29">
        <v>14</v>
      </c>
      <c r="B53" s="73" t="s">
        <v>41</v>
      </c>
      <c r="C53" s="74" t="s">
        <v>42</v>
      </c>
      <c r="D53" s="73" t="s">
        <v>44</v>
      </c>
      <c r="E53" s="48">
        <v>1</v>
      </c>
      <c r="F53" s="75">
        <v>0.02</v>
      </c>
      <c r="G53" s="13">
        <v>5652.13</v>
      </c>
      <c r="H53" s="76">
        <f t="shared" si="4"/>
        <v>0.11304260000000001</v>
      </c>
      <c r="I53" s="13">
        <f>F53/2*G53</f>
        <v>56.521300000000004</v>
      </c>
      <c r="J53" s="23"/>
      <c r="L53" s="19"/>
      <c r="M53" s="20"/>
      <c r="N53" s="21"/>
    </row>
    <row r="54" spans="1:22" ht="15.75" hidden="1" customHeight="1">
      <c r="A54" s="29">
        <v>15</v>
      </c>
      <c r="B54" s="73" t="s">
        <v>43</v>
      </c>
      <c r="C54" s="74" t="s">
        <v>138</v>
      </c>
      <c r="D54" s="73" t="s">
        <v>76</v>
      </c>
      <c r="E54" s="48">
        <v>158</v>
      </c>
      <c r="F54" s="75">
        <f>SUM(E54)*3</f>
        <v>474</v>
      </c>
      <c r="G54" s="13">
        <v>65.67</v>
      </c>
      <c r="H54" s="76">
        <f t="shared" si="4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140" t="s">
        <v>153</v>
      </c>
      <c r="B55" s="141"/>
      <c r="C55" s="141"/>
      <c r="D55" s="141"/>
      <c r="E55" s="141"/>
      <c r="F55" s="141"/>
      <c r="G55" s="141"/>
      <c r="H55" s="141"/>
      <c r="I55" s="142"/>
      <c r="J55" s="23"/>
      <c r="L55" s="19"/>
      <c r="M55" s="20"/>
      <c r="N55" s="21"/>
    </row>
    <row r="56" spans="1:22" ht="15.75" customHeight="1">
      <c r="A56" s="29"/>
      <c r="B56" s="96" t="s">
        <v>45</v>
      </c>
      <c r="C56" s="74"/>
      <c r="D56" s="73"/>
      <c r="E56" s="48"/>
      <c r="F56" s="75"/>
      <c r="G56" s="75"/>
      <c r="H56" s="76"/>
      <c r="I56" s="13"/>
      <c r="J56" s="23"/>
      <c r="L56" s="19"/>
      <c r="M56" s="20"/>
      <c r="N56" s="21"/>
    </row>
    <row r="57" spans="1:22" ht="31.5" customHeight="1">
      <c r="A57" s="29">
        <v>15</v>
      </c>
      <c r="B57" s="73" t="s">
        <v>186</v>
      </c>
      <c r="C57" s="74" t="s">
        <v>117</v>
      </c>
      <c r="D57" s="73" t="s">
        <v>187</v>
      </c>
      <c r="E57" s="105">
        <v>6</v>
      </c>
      <c r="F57" s="13">
        <f>E57*8/100</f>
        <v>0.48</v>
      </c>
      <c r="G57" s="75">
        <v>1547.28</v>
      </c>
      <c r="H57" s="76">
        <f>SUM(F57*G57/1000)</f>
        <v>0.74269439999999998</v>
      </c>
      <c r="I57" s="13">
        <f>F57/6*G57</f>
        <v>123.7824</v>
      </c>
      <c r="J57" s="23"/>
      <c r="L57" s="19"/>
      <c r="M57" s="20"/>
      <c r="N57" s="21"/>
    </row>
    <row r="58" spans="1:22" ht="15.75" hidden="1" customHeight="1">
      <c r="A58" s="106"/>
      <c r="B58" s="73" t="s">
        <v>109</v>
      </c>
      <c r="C58" s="74" t="s">
        <v>110</v>
      </c>
      <c r="D58" s="73" t="s">
        <v>44</v>
      </c>
      <c r="E58" s="48">
        <v>6</v>
      </c>
      <c r="F58" s="75">
        <v>12</v>
      </c>
      <c r="G58" s="82">
        <v>180.78</v>
      </c>
      <c r="H58" s="76">
        <f t="shared" ref="H58" si="5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97" t="s">
        <v>46</v>
      </c>
      <c r="C59" s="83"/>
      <c r="D59" s="84"/>
      <c r="E59" s="85"/>
      <c r="F59" s="87"/>
      <c r="G59" s="13"/>
      <c r="H59" s="89"/>
      <c r="I59" s="13"/>
      <c r="J59" s="23"/>
      <c r="L59" s="19"/>
      <c r="M59" s="20"/>
      <c r="N59" s="21"/>
    </row>
    <row r="60" spans="1:22" ht="15.75" customHeight="1">
      <c r="A60" s="29">
        <v>16</v>
      </c>
      <c r="B60" s="84" t="s">
        <v>105</v>
      </c>
      <c r="C60" s="83" t="s">
        <v>25</v>
      </c>
      <c r="D60" s="84"/>
      <c r="E60" s="85">
        <v>232.6</v>
      </c>
      <c r="F60" s="86">
        <f>E60*12</f>
        <v>2791.2</v>
      </c>
      <c r="G60" s="107">
        <v>2.5960000000000001</v>
      </c>
      <c r="H60" s="87">
        <f>G60*F60</f>
        <v>7245.9551999999994</v>
      </c>
      <c r="I60" s="13">
        <f>F60/12*G60</f>
        <v>603.82960000000003</v>
      </c>
      <c r="J60" s="23"/>
      <c r="L60" s="19"/>
    </row>
    <row r="61" spans="1:22" ht="15.75" customHeight="1">
      <c r="A61" s="29"/>
      <c r="B61" s="97" t="s">
        <v>48</v>
      </c>
      <c r="C61" s="83"/>
      <c r="D61" s="84"/>
      <c r="E61" s="85"/>
      <c r="F61" s="86"/>
      <c r="G61" s="86"/>
      <c r="H61" s="87" t="s">
        <v>146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29">
        <v>17</v>
      </c>
      <c r="B62" s="14" t="s">
        <v>49</v>
      </c>
      <c r="C62" s="16" t="s">
        <v>138</v>
      </c>
      <c r="D62" s="14" t="s">
        <v>71</v>
      </c>
      <c r="E62" s="18">
        <v>15</v>
      </c>
      <c r="F62" s="75">
        <v>15</v>
      </c>
      <c r="G62" s="13">
        <v>209.41</v>
      </c>
      <c r="H62" s="90">
        <f t="shared" ref="H62:H69" si="6">SUM(F62*G62/1000)</f>
        <v>3.1411500000000001</v>
      </c>
      <c r="I62" s="13">
        <f>G62</f>
        <v>209.41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50</v>
      </c>
      <c r="C63" s="16" t="s">
        <v>138</v>
      </c>
      <c r="D63" s="14" t="s">
        <v>71</v>
      </c>
      <c r="E63" s="18">
        <v>5</v>
      </c>
      <c r="F63" s="75">
        <v>5</v>
      </c>
      <c r="G63" s="13">
        <v>71.790000000000006</v>
      </c>
      <c r="H63" s="90">
        <f t="shared" si="6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51</v>
      </c>
      <c r="C64" s="16" t="s">
        <v>140</v>
      </c>
      <c r="D64" s="14" t="s">
        <v>57</v>
      </c>
      <c r="E64" s="48">
        <v>18281</v>
      </c>
      <c r="F64" s="13">
        <f>SUM(E64/100)</f>
        <v>182.81</v>
      </c>
      <c r="G64" s="13">
        <v>199.77</v>
      </c>
      <c r="H64" s="90">
        <f t="shared" si="6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28"/>
      <c r="S64" s="128"/>
      <c r="T64" s="128"/>
      <c r="U64" s="128"/>
    </row>
    <row r="65" spans="1:9" ht="15.75" hidden="1" customHeight="1">
      <c r="A65" s="29"/>
      <c r="B65" s="14" t="s">
        <v>52</v>
      </c>
      <c r="C65" s="16" t="s">
        <v>141</v>
      </c>
      <c r="D65" s="14"/>
      <c r="E65" s="48">
        <v>18281</v>
      </c>
      <c r="F65" s="13">
        <f>SUM(E65/1000)</f>
        <v>18.280999999999999</v>
      </c>
      <c r="G65" s="13">
        <v>155.57</v>
      </c>
      <c r="H65" s="90">
        <f t="shared" si="6"/>
        <v>2.8439751699999998</v>
      </c>
      <c r="I65" s="13">
        <v>0</v>
      </c>
    </row>
    <row r="66" spans="1:9" ht="15.75" hidden="1" customHeight="1">
      <c r="A66" s="29"/>
      <c r="B66" s="14" t="s">
        <v>53</v>
      </c>
      <c r="C66" s="16" t="s">
        <v>82</v>
      </c>
      <c r="D66" s="14" t="s">
        <v>57</v>
      </c>
      <c r="E66" s="48">
        <v>2730</v>
      </c>
      <c r="F66" s="13">
        <f>SUM(E66/100)</f>
        <v>27.3</v>
      </c>
      <c r="G66" s="13">
        <v>1953.52</v>
      </c>
      <c r="H66" s="90">
        <f t="shared" si="6"/>
        <v>53.331095999999995</v>
      </c>
      <c r="I66" s="13">
        <v>0</v>
      </c>
    </row>
    <row r="67" spans="1:9" ht="15.75" hidden="1" customHeight="1">
      <c r="A67" s="29"/>
      <c r="B67" s="91" t="s">
        <v>142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40.270000000000003</v>
      </c>
      <c r="H67" s="90">
        <f t="shared" si="6"/>
        <v>0.66042800000000002</v>
      </c>
      <c r="I67" s="13">
        <v>0</v>
      </c>
    </row>
    <row r="68" spans="1:9" ht="15.75" hidden="1" customHeight="1">
      <c r="A68" s="29"/>
      <c r="B68" s="91" t="s">
        <v>143</v>
      </c>
      <c r="C68" s="16" t="s">
        <v>34</v>
      </c>
      <c r="D68" s="14"/>
      <c r="E68" s="48">
        <v>16.399999999999999</v>
      </c>
      <c r="F68" s="13">
        <f>SUM(E68)</f>
        <v>16.399999999999999</v>
      </c>
      <c r="G68" s="13">
        <v>37.71</v>
      </c>
      <c r="H68" s="90">
        <f t="shared" si="6"/>
        <v>0.61844399999999999</v>
      </c>
      <c r="I68" s="13">
        <v>0</v>
      </c>
    </row>
    <row r="69" spans="1:9" ht="15.75" hidden="1" customHeight="1">
      <c r="A69" s="29"/>
      <c r="B69" s="14" t="s">
        <v>61</v>
      </c>
      <c r="C69" s="16" t="s">
        <v>62</v>
      </c>
      <c r="D69" s="14" t="s">
        <v>57</v>
      </c>
      <c r="E69" s="18">
        <v>7</v>
      </c>
      <c r="F69" s="75">
        <f>SUM(E69)</f>
        <v>7</v>
      </c>
      <c r="G69" s="13">
        <v>46.97</v>
      </c>
      <c r="H69" s="90">
        <f t="shared" si="6"/>
        <v>0.32878999999999997</v>
      </c>
      <c r="I69" s="13">
        <v>0</v>
      </c>
    </row>
    <row r="70" spans="1:9" ht="15.75" hidden="1" customHeight="1">
      <c r="A70" s="29"/>
      <c r="B70" s="104" t="s">
        <v>78</v>
      </c>
      <c r="C70" s="16"/>
      <c r="D70" s="14"/>
      <c r="E70" s="18"/>
      <c r="F70" s="13"/>
      <c r="G70" s="13"/>
      <c r="H70" s="90" t="s">
        <v>146</v>
      </c>
      <c r="I70" s="13"/>
    </row>
    <row r="71" spans="1:9" ht="15.75" hidden="1" customHeight="1">
      <c r="A71" s="29"/>
      <c r="B71" s="14" t="s">
        <v>96</v>
      </c>
      <c r="C71" s="16" t="s">
        <v>31</v>
      </c>
      <c r="D71" s="14"/>
      <c r="E71" s="18">
        <v>1</v>
      </c>
      <c r="F71" s="75">
        <f>SUM(E71)</f>
        <v>1</v>
      </c>
      <c r="G71" s="13">
        <v>337.58</v>
      </c>
      <c r="H71" s="90">
        <f t="shared" ref="H71" si="7">SUM(F71*G71/1000)</f>
        <v>0.33757999999999999</v>
      </c>
      <c r="I71" s="13">
        <v>0</v>
      </c>
    </row>
    <row r="72" spans="1:9" ht="15.75" hidden="1" customHeight="1">
      <c r="A72" s="29"/>
      <c r="B72" s="14" t="s">
        <v>80</v>
      </c>
      <c r="C72" s="16" t="s">
        <v>31</v>
      </c>
      <c r="D72" s="14"/>
      <c r="E72" s="18">
        <v>2</v>
      </c>
      <c r="F72" s="13">
        <v>2</v>
      </c>
      <c r="G72" s="13">
        <v>803.19</v>
      </c>
      <c r="H72" s="90">
        <f>F72*G72/1000</f>
        <v>1.6063800000000001</v>
      </c>
      <c r="I72" s="13">
        <v>0</v>
      </c>
    </row>
    <row r="73" spans="1:9" ht="15.75" hidden="1" customHeight="1">
      <c r="A73" s="29"/>
      <c r="B73" s="92" t="s">
        <v>81</v>
      </c>
      <c r="C73" s="16"/>
      <c r="D73" s="14"/>
      <c r="E73" s="18"/>
      <c r="F73" s="13"/>
      <c r="G73" s="13" t="s">
        <v>146</v>
      </c>
      <c r="H73" s="90" t="s">
        <v>146</v>
      </c>
      <c r="I73" s="13"/>
    </row>
    <row r="74" spans="1:9" ht="15.75" hidden="1" customHeight="1">
      <c r="A74" s="29"/>
      <c r="B74" s="42" t="s">
        <v>147</v>
      </c>
      <c r="C74" s="16" t="s">
        <v>82</v>
      </c>
      <c r="D74" s="14"/>
      <c r="E74" s="18"/>
      <c r="F74" s="13">
        <v>1.35</v>
      </c>
      <c r="G74" s="13">
        <v>2494</v>
      </c>
      <c r="H74" s="90">
        <f t="shared" ref="H74" si="8">SUM(F74*G74/1000)</f>
        <v>3.3669000000000002</v>
      </c>
      <c r="I74" s="13">
        <v>0</v>
      </c>
    </row>
    <row r="75" spans="1:9" ht="15.75" hidden="1" customHeight="1">
      <c r="A75" s="29"/>
      <c r="B75" s="78" t="s">
        <v>144</v>
      </c>
      <c r="C75" s="92"/>
      <c r="D75" s="31"/>
      <c r="E75" s="32"/>
      <c r="F75" s="79"/>
      <c r="G75" s="79"/>
      <c r="H75" s="93">
        <f>SUM(H57:H74)</f>
        <v>7351.9809012699989</v>
      </c>
      <c r="I75" s="79"/>
    </row>
    <row r="76" spans="1:9" ht="15.75" hidden="1" customHeight="1">
      <c r="A76" s="29"/>
      <c r="B76" s="73" t="s">
        <v>145</v>
      </c>
      <c r="C76" s="16"/>
      <c r="D76" s="14"/>
      <c r="E76" s="67"/>
      <c r="F76" s="13">
        <v>1</v>
      </c>
      <c r="G76" s="13">
        <v>17359.8</v>
      </c>
      <c r="H76" s="90">
        <f>G76*F76/1000</f>
        <v>17.3598</v>
      </c>
      <c r="I76" s="13">
        <v>0</v>
      </c>
    </row>
    <row r="77" spans="1:9" ht="15.75" customHeight="1">
      <c r="A77" s="129" t="s">
        <v>154</v>
      </c>
      <c r="B77" s="130"/>
      <c r="C77" s="130"/>
      <c r="D77" s="130"/>
      <c r="E77" s="130"/>
      <c r="F77" s="130"/>
      <c r="G77" s="130"/>
      <c r="H77" s="130"/>
      <c r="I77" s="131"/>
    </row>
    <row r="78" spans="1:9" ht="15.75" customHeight="1">
      <c r="A78" s="29">
        <v>18</v>
      </c>
      <c r="B78" s="73" t="s">
        <v>148</v>
      </c>
      <c r="C78" s="16" t="s">
        <v>58</v>
      </c>
      <c r="D78" s="94" t="s">
        <v>59</v>
      </c>
      <c r="E78" s="13">
        <v>4224.3999999999996</v>
      </c>
      <c r="F78" s="13">
        <f>SUM(E78*12)</f>
        <v>50692.799999999996</v>
      </c>
      <c r="G78" s="13">
        <v>2.1</v>
      </c>
      <c r="H78" s="90">
        <f>SUM(F78*G78/1000)</f>
        <v>106.45487999999999</v>
      </c>
      <c r="I78" s="13">
        <f>F78/12*G78</f>
        <v>8871.24</v>
      </c>
    </row>
    <row r="79" spans="1:9" ht="31.5" customHeight="1">
      <c r="A79" s="29">
        <v>19</v>
      </c>
      <c r="B79" s="14" t="s">
        <v>83</v>
      </c>
      <c r="C79" s="16"/>
      <c r="D79" s="94" t="s">
        <v>59</v>
      </c>
      <c r="E79" s="48">
        <v>4224.3999999999996</v>
      </c>
      <c r="F79" s="13">
        <f>E79*12</f>
        <v>50692.799999999996</v>
      </c>
      <c r="G79" s="13">
        <v>1.63</v>
      </c>
      <c r="H79" s="90">
        <f>F79*G79/1000</f>
        <v>82.629263999999978</v>
      </c>
      <c r="I79" s="13">
        <f>F79/12*G79</f>
        <v>6885.771999999999</v>
      </c>
    </row>
    <row r="80" spans="1:9" ht="15.75" customHeight="1">
      <c r="A80" s="102"/>
      <c r="B80" s="34" t="s">
        <v>86</v>
      </c>
      <c r="C80" s="35"/>
      <c r="D80" s="15"/>
      <c r="E80" s="15"/>
      <c r="F80" s="15"/>
      <c r="G80" s="18"/>
      <c r="H80" s="18"/>
      <c r="I80" s="32">
        <f>SUM(I16+I17+I18+I20+I21+I26+I27+I38+I39+I41+I42+I43+I44+I53+I57+I60+I62+I78+I79)</f>
        <v>77336.618141333311</v>
      </c>
    </row>
    <row r="81" spans="1:9" ht="15.75" customHeight="1">
      <c r="A81" s="147" t="s">
        <v>64</v>
      </c>
      <c r="B81" s="148"/>
      <c r="C81" s="148"/>
      <c r="D81" s="148"/>
      <c r="E81" s="148"/>
      <c r="F81" s="148"/>
      <c r="G81" s="148"/>
      <c r="H81" s="148"/>
      <c r="I81" s="149"/>
    </row>
    <row r="82" spans="1:9" ht="31.5" customHeight="1">
      <c r="A82" s="29">
        <v>20</v>
      </c>
      <c r="B82" s="46" t="s">
        <v>97</v>
      </c>
      <c r="C82" s="49" t="s">
        <v>101</v>
      </c>
      <c r="D82" s="42"/>
      <c r="E82" s="13"/>
      <c r="F82" s="13">
        <v>11</v>
      </c>
      <c r="G82" s="13">
        <v>589.84</v>
      </c>
      <c r="H82" s="90">
        <f t="shared" ref="H82:H84" si="9">G82*F82/1000</f>
        <v>6.4882400000000011</v>
      </c>
      <c r="I82" s="13">
        <f>G82*2</f>
        <v>1179.68</v>
      </c>
    </row>
    <row r="83" spans="1:9" ht="15.75" customHeight="1">
      <c r="A83" s="29">
        <v>21</v>
      </c>
      <c r="B83" s="46" t="s">
        <v>188</v>
      </c>
      <c r="C83" s="49" t="s">
        <v>101</v>
      </c>
      <c r="D83" s="42"/>
      <c r="E83" s="13"/>
      <c r="F83" s="13">
        <v>5</v>
      </c>
      <c r="G83" s="13">
        <v>721.28</v>
      </c>
      <c r="H83" s="90">
        <f t="shared" si="9"/>
        <v>3.6063999999999998</v>
      </c>
      <c r="I83" s="13">
        <f t="shared" ref="I83:I84" si="10">G83</f>
        <v>721.28</v>
      </c>
    </row>
    <row r="84" spans="1:9" ht="15.75" customHeight="1">
      <c r="A84" s="29">
        <v>22</v>
      </c>
      <c r="B84" s="46" t="s">
        <v>199</v>
      </c>
      <c r="C84" s="49" t="s">
        <v>191</v>
      </c>
      <c r="D84" s="42"/>
      <c r="E84" s="13"/>
      <c r="F84" s="13">
        <v>4</v>
      </c>
      <c r="G84" s="13">
        <v>1046.06</v>
      </c>
      <c r="H84" s="90">
        <f t="shared" si="9"/>
        <v>4.18424</v>
      </c>
      <c r="I84" s="13">
        <f t="shared" si="10"/>
        <v>1046.06</v>
      </c>
    </row>
    <row r="85" spans="1:9" ht="15.75" customHeight="1">
      <c r="A85" s="29">
        <v>23</v>
      </c>
      <c r="B85" s="46" t="s">
        <v>200</v>
      </c>
      <c r="C85" s="49" t="s">
        <v>138</v>
      </c>
      <c r="D85" s="42"/>
      <c r="E85" s="13"/>
      <c r="F85" s="13">
        <v>5</v>
      </c>
      <c r="G85" s="13">
        <v>108</v>
      </c>
      <c r="H85" s="90">
        <f>G85*F85/1000</f>
        <v>0.54</v>
      </c>
      <c r="I85" s="13">
        <f>G85*(1+1)</f>
        <v>216</v>
      </c>
    </row>
    <row r="86" spans="1:9" ht="15.75" customHeight="1">
      <c r="A86" s="29">
        <v>24</v>
      </c>
      <c r="B86" s="57" t="s">
        <v>192</v>
      </c>
      <c r="C86" s="49" t="s">
        <v>138</v>
      </c>
      <c r="D86" s="42"/>
      <c r="E86" s="13"/>
      <c r="F86" s="13">
        <v>3</v>
      </c>
      <c r="G86" s="13">
        <v>118</v>
      </c>
      <c r="H86" s="90">
        <f>G86*F86/1000</f>
        <v>0.35399999999999998</v>
      </c>
      <c r="I86" s="13">
        <f>G86</f>
        <v>118</v>
      </c>
    </row>
    <row r="87" spans="1:9" ht="15.75" customHeight="1">
      <c r="A87" s="29">
        <v>25</v>
      </c>
      <c r="B87" s="46" t="s">
        <v>195</v>
      </c>
      <c r="C87" s="49" t="s">
        <v>196</v>
      </c>
      <c r="D87" s="42"/>
      <c r="E87" s="13"/>
      <c r="F87" s="13">
        <v>2.5</v>
      </c>
      <c r="G87" s="13">
        <v>293.17</v>
      </c>
      <c r="H87" s="90">
        <f t="shared" ref="H87:H91" si="11">G87*F87/1000</f>
        <v>0.73292500000000005</v>
      </c>
      <c r="I87" s="13">
        <f>G87*0.5</f>
        <v>146.58500000000001</v>
      </c>
    </row>
    <row r="88" spans="1:9" ht="15.75" customHeight="1">
      <c r="A88" s="29">
        <v>26</v>
      </c>
      <c r="B88" s="57" t="s">
        <v>197</v>
      </c>
      <c r="C88" s="58" t="s">
        <v>100</v>
      </c>
      <c r="D88" s="42"/>
      <c r="E88" s="13"/>
      <c r="F88" s="13">
        <f>(3*7+5+10+10+10+10+20+20+5+10+20+3)/3</f>
        <v>48</v>
      </c>
      <c r="G88" s="13">
        <v>1120.8900000000001</v>
      </c>
      <c r="H88" s="90">
        <f t="shared" si="11"/>
        <v>53.802720000000001</v>
      </c>
      <c r="I88" s="13">
        <f>G88*(5/3)</f>
        <v>1868.1500000000003</v>
      </c>
    </row>
    <row r="89" spans="1:9" ht="15.75" customHeight="1">
      <c r="A89" s="29">
        <v>27</v>
      </c>
      <c r="B89" s="46" t="s">
        <v>198</v>
      </c>
      <c r="C89" s="49" t="s">
        <v>138</v>
      </c>
      <c r="D89" s="42"/>
      <c r="E89" s="13"/>
      <c r="F89" s="13">
        <v>640</v>
      </c>
      <c r="G89" s="13">
        <v>53.42</v>
      </c>
      <c r="H89" s="90">
        <f t="shared" si="11"/>
        <v>34.188800000000001</v>
      </c>
      <c r="I89" s="13">
        <f>G89*80</f>
        <v>4273.6000000000004</v>
      </c>
    </row>
    <row r="90" spans="1:9" ht="15.75" customHeight="1">
      <c r="A90" s="29">
        <v>28</v>
      </c>
      <c r="B90" s="46" t="s">
        <v>202</v>
      </c>
      <c r="C90" s="49" t="s">
        <v>138</v>
      </c>
      <c r="D90" s="14"/>
      <c r="E90" s="18"/>
      <c r="F90" s="13">
        <v>8</v>
      </c>
      <c r="G90" s="13">
        <v>140</v>
      </c>
      <c r="H90" s="90">
        <f t="shared" si="11"/>
        <v>1.1200000000000001</v>
      </c>
      <c r="I90" s="13">
        <f>G90*(2+2)</f>
        <v>560</v>
      </c>
    </row>
    <row r="91" spans="1:9" ht="15.75" customHeight="1">
      <c r="A91" s="29">
        <v>29</v>
      </c>
      <c r="B91" s="115" t="s">
        <v>203</v>
      </c>
      <c r="C91" s="116" t="s">
        <v>138</v>
      </c>
      <c r="D91" s="117"/>
      <c r="E91" s="118"/>
      <c r="F91" s="118">
        <v>3</v>
      </c>
      <c r="G91" s="118">
        <v>70</v>
      </c>
      <c r="H91" s="119">
        <f t="shared" si="11"/>
        <v>0.21</v>
      </c>
      <c r="I91" s="13">
        <f>G91*2</f>
        <v>140</v>
      </c>
    </row>
    <row r="92" spans="1:9" ht="31.5" customHeight="1">
      <c r="A92" s="29">
        <v>30</v>
      </c>
      <c r="B92" s="46" t="s">
        <v>210</v>
      </c>
      <c r="C92" s="49" t="s">
        <v>87</v>
      </c>
      <c r="D92" s="42"/>
      <c r="E92" s="118"/>
      <c r="F92" s="118">
        <v>20.5</v>
      </c>
      <c r="G92" s="118">
        <v>1272</v>
      </c>
      <c r="H92" s="119">
        <f>G92*F92/1000</f>
        <v>26.076000000000001</v>
      </c>
      <c r="I92" s="13">
        <f>G92*6.5</f>
        <v>8268</v>
      </c>
    </row>
    <row r="93" spans="1:9" ht="15.75" customHeight="1">
      <c r="A93" s="29">
        <v>31</v>
      </c>
      <c r="B93" s="115" t="s">
        <v>211</v>
      </c>
      <c r="C93" s="116" t="s">
        <v>101</v>
      </c>
      <c r="D93" s="117"/>
      <c r="E93" s="118"/>
      <c r="F93" s="118">
        <v>1</v>
      </c>
      <c r="G93" s="118">
        <v>832.06</v>
      </c>
      <c r="H93" s="119">
        <f t="shared" ref="H93:H95" si="12">G93*F93/1000</f>
        <v>0.83205999999999991</v>
      </c>
      <c r="I93" s="13">
        <f>G93*2</f>
        <v>1664.12</v>
      </c>
    </row>
    <row r="94" spans="1:9" ht="15.75" customHeight="1">
      <c r="A94" s="29">
        <v>32</v>
      </c>
      <c r="B94" s="46" t="s">
        <v>212</v>
      </c>
      <c r="C94" s="49" t="s">
        <v>138</v>
      </c>
      <c r="D94" s="117"/>
      <c r="E94" s="118"/>
      <c r="F94" s="118">
        <v>3</v>
      </c>
      <c r="G94" s="118">
        <v>61</v>
      </c>
      <c r="H94" s="119">
        <f t="shared" si="12"/>
        <v>0.183</v>
      </c>
      <c r="I94" s="13">
        <f>G94</f>
        <v>61</v>
      </c>
    </row>
    <row r="95" spans="1:9" ht="31.5" customHeight="1">
      <c r="A95" s="29">
        <v>33</v>
      </c>
      <c r="B95" s="46" t="s">
        <v>213</v>
      </c>
      <c r="C95" s="49" t="s">
        <v>87</v>
      </c>
      <c r="D95" s="117"/>
      <c r="E95" s="118"/>
      <c r="F95" s="118">
        <v>1.5</v>
      </c>
      <c r="G95" s="118">
        <v>823.96</v>
      </c>
      <c r="H95" s="119">
        <f t="shared" si="12"/>
        <v>1.23594</v>
      </c>
      <c r="I95" s="13">
        <f>G95*1.5</f>
        <v>1235.94</v>
      </c>
    </row>
    <row r="96" spans="1:9" ht="15.75" customHeight="1">
      <c r="A96" s="29">
        <v>34</v>
      </c>
      <c r="B96" s="46" t="s">
        <v>79</v>
      </c>
      <c r="C96" s="49" t="s">
        <v>214</v>
      </c>
      <c r="D96" s="117"/>
      <c r="E96" s="118"/>
      <c r="F96" s="118">
        <f>8/10</f>
        <v>0.8</v>
      </c>
      <c r="G96" s="118">
        <v>657.87</v>
      </c>
      <c r="H96" s="119">
        <f>G96*F96/1000</f>
        <v>0.5262960000000001</v>
      </c>
      <c r="I96" s="13">
        <f>G96*0.2</f>
        <v>131.57400000000001</v>
      </c>
    </row>
    <row r="97" spans="1:9" ht="15.75" customHeight="1">
      <c r="A97" s="29"/>
      <c r="B97" s="40" t="s">
        <v>54</v>
      </c>
      <c r="C97" s="36"/>
      <c r="D97" s="44"/>
      <c r="E97" s="36">
        <v>1</v>
      </c>
      <c r="F97" s="36"/>
      <c r="G97" s="36"/>
      <c r="H97" s="36"/>
      <c r="I97" s="32">
        <f>SUM(I82:I96)</f>
        <v>21629.988999999998</v>
      </c>
    </row>
    <row r="98" spans="1:9" ht="15.75" customHeight="1">
      <c r="A98" s="29"/>
      <c r="B98" s="42" t="s">
        <v>84</v>
      </c>
      <c r="C98" s="15"/>
      <c r="D98" s="15"/>
      <c r="E98" s="37"/>
      <c r="F98" s="37"/>
      <c r="G98" s="38"/>
      <c r="H98" s="38"/>
      <c r="I98" s="17">
        <v>0</v>
      </c>
    </row>
    <row r="99" spans="1:9" ht="15.75" customHeight="1">
      <c r="A99" s="45"/>
      <c r="B99" s="41" t="s">
        <v>180</v>
      </c>
      <c r="C99" s="33"/>
      <c r="D99" s="33"/>
      <c r="E99" s="33"/>
      <c r="F99" s="33"/>
      <c r="G99" s="33"/>
      <c r="H99" s="33"/>
      <c r="I99" s="39">
        <f>I80+I97</f>
        <v>98966.607141333312</v>
      </c>
    </row>
    <row r="100" spans="1:9" ht="15.75" customHeight="1">
      <c r="A100" s="143" t="s">
        <v>242</v>
      </c>
      <c r="B100" s="143"/>
      <c r="C100" s="143"/>
      <c r="D100" s="143"/>
      <c r="E100" s="143"/>
      <c r="F100" s="143"/>
      <c r="G100" s="143"/>
      <c r="H100" s="143"/>
      <c r="I100" s="143"/>
    </row>
    <row r="101" spans="1:9" ht="15.75" customHeight="1">
      <c r="A101" s="56"/>
      <c r="B101" s="144" t="s">
        <v>243</v>
      </c>
      <c r="C101" s="144"/>
      <c r="D101" s="144"/>
      <c r="E101" s="144"/>
      <c r="F101" s="144"/>
      <c r="G101" s="144"/>
      <c r="H101" s="71"/>
      <c r="I101" s="3"/>
    </row>
    <row r="102" spans="1:9" ht="15.75" customHeight="1">
      <c r="A102" s="100"/>
      <c r="B102" s="145" t="s">
        <v>6</v>
      </c>
      <c r="C102" s="145"/>
      <c r="D102" s="145"/>
      <c r="E102" s="145"/>
      <c r="F102" s="145"/>
      <c r="G102" s="145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46" t="s">
        <v>7</v>
      </c>
      <c r="B104" s="146"/>
      <c r="C104" s="146"/>
      <c r="D104" s="146"/>
      <c r="E104" s="146"/>
      <c r="F104" s="146"/>
      <c r="G104" s="146"/>
      <c r="H104" s="146"/>
      <c r="I104" s="146"/>
    </row>
    <row r="105" spans="1:9" ht="15.75" customHeight="1">
      <c r="A105" s="146" t="s">
        <v>8</v>
      </c>
      <c r="B105" s="146"/>
      <c r="C105" s="146"/>
      <c r="D105" s="146"/>
      <c r="E105" s="146"/>
      <c r="F105" s="146"/>
      <c r="G105" s="146"/>
      <c r="H105" s="146"/>
      <c r="I105" s="146"/>
    </row>
    <row r="106" spans="1:9" ht="15.75" customHeight="1">
      <c r="A106" s="138" t="s">
        <v>65</v>
      </c>
      <c r="B106" s="138"/>
      <c r="C106" s="138"/>
      <c r="D106" s="138"/>
      <c r="E106" s="138"/>
      <c r="F106" s="138"/>
      <c r="G106" s="138"/>
      <c r="H106" s="138"/>
      <c r="I106" s="138"/>
    </row>
    <row r="107" spans="1:9" ht="15.75" customHeight="1">
      <c r="A107" s="11"/>
    </row>
    <row r="108" spans="1:9" ht="15.75" customHeight="1">
      <c r="A108" s="151" t="s">
        <v>9</v>
      </c>
      <c r="B108" s="151"/>
      <c r="C108" s="151"/>
      <c r="D108" s="151"/>
      <c r="E108" s="151"/>
      <c r="F108" s="151"/>
      <c r="G108" s="151"/>
      <c r="H108" s="151"/>
      <c r="I108" s="151"/>
    </row>
    <row r="109" spans="1:9" ht="15.75" customHeight="1">
      <c r="A109" s="4"/>
    </row>
    <row r="110" spans="1:9" ht="15.75" customHeight="1">
      <c r="B110" s="101" t="s">
        <v>10</v>
      </c>
      <c r="C110" s="152" t="s">
        <v>98</v>
      </c>
      <c r="D110" s="152"/>
      <c r="E110" s="152"/>
      <c r="F110" s="69"/>
      <c r="I110" s="99"/>
    </row>
    <row r="111" spans="1:9" ht="15.75" customHeight="1">
      <c r="A111" s="100"/>
      <c r="C111" s="145" t="s">
        <v>11</v>
      </c>
      <c r="D111" s="145"/>
      <c r="E111" s="145"/>
      <c r="F111" s="24"/>
      <c r="I111" s="98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101" t="s">
        <v>13</v>
      </c>
      <c r="C113" s="153"/>
      <c r="D113" s="153"/>
      <c r="E113" s="153"/>
      <c r="F113" s="70"/>
      <c r="I113" s="99"/>
    </row>
    <row r="114" spans="1:9" ht="15.75" customHeight="1">
      <c r="A114" s="100"/>
      <c r="C114" s="128" t="s">
        <v>11</v>
      </c>
      <c r="D114" s="128"/>
      <c r="E114" s="128"/>
      <c r="F114" s="100"/>
      <c r="I114" s="98" t="s">
        <v>12</v>
      </c>
    </row>
    <row r="115" spans="1:9" ht="15.75" customHeight="1">
      <c r="A115" s="4" t="s">
        <v>14</v>
      </c>
    </row>
    <row r="116" spans="1:9" ht="15.75" customHeight="1">
      <c r="A116" s="154" t="s">
        <v>15</v>
      </c>
      <c r="B116" s="154"/>
      <c r="C116" s="154"/>
      <c r="D116" s="154"/>
      <c r="E116" s="154"/>
      <c r="F116" s="154"/>
      <c r="G116" s="154"/>
      <c r="H116" s="154"/>
      <c r="I116" s="154"/>
    </row>
    <row r="117" spans="1:9" ht="45" customHeight="1">
      <c r="A117" s="150" t="s">
        <v>16</v>
      </c>
      <c r="B117" s="150"/>
      <c r="C117" s="150"/>
      <c r="D117" s="150"/>
      <c r="E117" s="150"/>
      <c r="F117" s="150"/>
      <c r="G117" s="150"/>
      <c r="H117" s="150"/>
      <c r="I117" s="150"/>
    </row>
    <row r="118" spans="1:9" ht="30" customHeight="1">
      <c r="A118" s="150" t="s">
        <v>17</v>
      </c>
      <c r="B118" s="150"/>
      <c r="C118" s="150"/>
      <c r="D118" s="150"/>
      <c r="E118" s="150"/>
      <c r="F118" s="150"/>
      <c r="G118" s="150"/>
      <c r="H118" s="150"/>
      <c r="I118" s="150"/>
    </row>
    <row r="119" spans="1:9" ht="30" customHeight="1">
      <c r="A119" s="150" t="s">
        <v>21</v>
      </c>
      <c r="B119" s="150"/>
      <c r="C119" s="150"/>
      <c r="D119" s="150"/>
      <c r="E119" s="150"/>
      <c r="F119" s="150"/>
      <c r="G119" s="150"/>
      <c r="H119" s="150"/>
      <c r="I119" s="150"/>
    </row>
    <row r="120" spans="1:9" ht="15" customHeight="1">
      <c r="A120" s="150" t="s">
        <v>20</v>
      </c>
      <c r="B120" s="150"/>
      <c r="C120" s="150"/>
      <c r="D120" s="150"/>
      <c r="E120" s="150"/>
      <c r="F120" s="150"/>
      <c r="G120" s="150"/>
      <c r="H120" s="150"/>
      <c r="I120" s="150"/>
    </row>
  </sheetData>
  <autoFilter ref="I12:I60"/>
  <mergeCells count="29">
    <mergeCell ref="A116:I116"/>
    <mergeCell ref="A117:I117"/>
    <mergeCell ref="A118:I118"/>
    <mergeCell ref="A119:I119"/>
    <mergeCell ref="A120:I120"/>
    <mergeCell ref="R64:U64"/>
    <mergeCell ref="C114:E114"/>
    <mergeCell ref="A81:I81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77:I77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215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216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42855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7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3" t="s">
        <v>113</v>
      </c>
      <c r="C25" s="74" t="s">
        <v>56</v>
      </c>
      <c r="D25" s="73" t="s">
        <v>122</v>
      </c>
      <c r="E25" s="48">
        <v>17</v>
      </c>
      <c r="F25" s="75">
        <f>SUM(E25/100)</f>
        <v>0.17</v>
      </c>
      <c r="G25" s="75">
        <v>556.74</v>
      </c>
      <c r="H25" s="76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73" t="s">
        <v>68</v>
      </c>
      <c r="C26" s="74" t="s">
        <v>34</v>
      </c>
      <c r="D26" s="73" t="s">
        <v>157</v>
      </c>
      <c r="E26" s="48">
        <v>0.1</v>
      </c>
      <c r="F26" s="75">
        <f>SUM(E26*365)</f>
        <v>36.5</v>
      </c>
      <c r="G26" s="75">
        <v>147.03</v>
      </c>
      <c r="H26" s="76">
        <f t="shared" si="0"/>
        <v>5.3665950000000002</v>
      </c>
      <c r="I26" s="13">
        <f>F26/12*G26</f>
        <v>447.21625</v>
      </c>
      <c r="J26" s="23"/>
    </row>
    <row r="27" spans="1:13" ht="15.75" customHeight="1">
      <c r="A27" s="29">
        <v>7</v>
      </c>
      <c r="B27" s="81" t="s">
        <v>23</v>
      </c>
      <c r="C27" s="74" t="s">
        <v>24</v>
      </c>
      <c r="D27" s="81" t="s">
        <v>157</v>
      </c>
      <c r="E27" s="48">
        <v>4224.3999999999996</v>
      </c>
      <c r="F27" s="75">
        <f>SUM(E27*12)</f>
        <v>50692.799999999996</v>
      </c>
      <c r="G27" s="75">
        <v>4.59</v>
      </c>
      <c r="H27" s="76">
        <f t="shared" si="0"/>
        <v>232.67995199999996</v>
      </c>
      <c r="I27" s="13">
        <f>F27/12*G27</f>
        <v>19389.995999999999</v>
      </c>
      <c r="J27" s="23"/>
    </row>
    <row r="28" spans="1:13" ht="15.75" customHeight="1">
      <c r="A28" s="139" t="s">
        <v>92</v>
      </c>
      <c r="B28" s="139"/>
      <c r="C28" s="139"/>
      <c r="D28" s="139"/>
      <c r="E28" s="139"/>
      <c r="F28" s="139"/>
      <c r="G28" s="139"/>
      <c r="H28" s="139"/>
      <c r="I28" s="139"/>
      <c r="J28" s="22"/>
      <c r="K28" s="8"/>
      <c r="L28" s="8"/>
      <c r="M28" s="8"/>
    </row>
    <row r="29" spans="1:13" ht="15.75" hidden="1" customHeight="1">
      <c r="A29" s="29"/>
      <c r="B29" s="96" t="s">
        <v>28</v>
      </c>
      <c r="C29" s="74"/>
      <c r="D29" s="73"/>
      <c r="E29" s="48"/>
      <c r="F29" s="75"/>
      <c r="G29" s="75"/>
      <c r="H29" s="76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73" t="s">
        <v>125</v>
      </c>
      <c r="C30" s="74" t="s">
        <v>126</v>
      </c>
      <c r="D30" s="73" t="s">
        <v>127</v>
      </c>
      <c r="E30" s="75">
        <v>1414.6</v>
      </c>
      <c r="F30" s="75">
        <f>SUM(E30*52/1000)</f>
        <v>73.559200000000004</v>
      </c>
      <c r="G30" s="75">
        <v>155.88999999999999</v>
      </c>
      <c r="H30" s="76">
        <f t="shared" ref="H30:H36" si="1">SUM(F30*G30/1000)</f>
        <v>11.467143688</v>
      </c>
      <c r="I30" s="13">
        <v>0</v>
      </c>
      <c r="J30" s="22"/>
      <c r="K30" s="8"/>
      <c r="L30" s="8"/>
      <c r="M30" s="8"/>
    </row>
    <row r="31" spans="1:13" ht="31.5" hidden="1" customHeight="1">
      <c r="A31" s="29">
        <v>8</v>
      </c>
      <c r="B31" s="73" t="s">
        <v>166</v>
      </c>
      <c r="C31" s="74" t="s">
        <v>126</v>
      </c>
      <c r="D31" s="73" t="s">
        <v>128</v>
      </c>
      <c r="E31" s="75">
        <v>632.4</v>
      </c>
      <c r="F31" s="75">
        <f>SUM(E31*78/1000)</f>
        <v>49.327199999999998</v>
      </c>
      <c r="G31" s="75">
        <v>258.63</v>
      </c>
      <c r="H31" s="76">
        <f t="shared" si="1"/>
        <v>12.757493735999999</v>
      </c>
      <c r="I31" s="13">
        <v>0</v>
      </c>
      <c r="J31" s="22"/>
      <c r="K31" s="8"/>
      <c r="L31" s="8"/>
      <c r="M31" s="8"/>
    </row>
    <row r="32" spans="1:13" ht="15.75" hidden="1" customHeight="1">
      <c r="A32" s="29"/>
      <c r="B32" s="73" t="s">
        <v>181</v>
      </c>
      <c r="C32" s="74" t="s">
        <v>126</v>
      </c>
      <c r="D32" s="73" t="s">
        <v>99</v>
      </c>
      <c r="E32" s="48">
        <v>143.20000000000002</v>
      </c>
      <c r="F32" s="75">
        <v>0</v>
      </c>
      <c r="G32" s="75">
        <v>293.27999999999997</v>
      </c>
      <c r="H32" s="76">
        <f t="shared" si="1"/>
        <v>0</v>
      </c>
      <c r="I32" s="13"/>
      <c r="J32" s="22"/>
      <c r="K32" s="8"/>
      <c r="L32" s="8"/>
      <c r="M32" s="8"/>
    </row>
    <row r="33" spans="1:14" ht="15.75" hidden="1" customHeight="1">
      <c r="A33" s="29">
        <v>9</v>
      </c>
      <c r="B33" s="73" t="s">
        <v>27</v>
      </c>
      <c r="C33" s="74" t="s">
        <v>126</v>
      </c>
      <c r="D33" s="73" t="s">
        <v>57</v>
      </c>
      <c r="E33" s="75">
        <v>1414.6</v>
      </c>
      <c r="F33" s="75">
        <f>SUM(E33/1000)</f>
        <v>1.4145999999999999</v>
      </c>
      <c r="G33" s="75">
        <v>3020.33</v>
      </c>
      <c r="H33" s="76">
        <f t="shared" si="1"/>
        <v>4.2725588179999994</v>
      </c>
      <c r="I33" s="13">
        <v>0</v>
      </c>
      <c r="J33" s="22"/>
      <c r="K33" s="8"/>
      <c r="L33" s="8"/>
      <c r="M33" s="8"/>
    </row>
    <row r="34" spans="1:14" ht="15.75" hidden="1" customHeight="1">
      <c r="A34" s="29">
        <v>10</v>
      </c>
      <c r="B34" s="73" t="s">
        <v>129</v>
      </c>
      <c r="C34" s="74" t="s">
        <v>42</v>
      </c>
      <c r="D34" s="73" t="s">
        <v>67</v>
      </c>
      <c r="E34" s="75">
        <v>6</v>
      </c>
      <c r="F34" s="75">
        <f>SUM(E34*155/100)</f>
        <v>9.3000000000000007</v>
      </c>
      <c r="G34" s="75">
        <v>1302.02</v>
      </c>
      <c r="H34" s="76">
        <f t="shared" si="1"/>
        <v>12.108786</v>
      </c>
      <c r="I34" s="13">
        <v>0</v>
      </c>
      <c r="J34" s="22"/>
      <c r="K34" s="8"/>
    </row>
    <row r="35" spans="1:14" ht="15.75" hidden="1" customHeight="1">
      <c r="A35" s="29"/>
      <c r="B35" s="73" t="s">
        <v>69</v>
      </c>
      <c r="C35" s="74" t="s">
        <v>34</v>
      </c>
      <c r="D35" s="73" t="s">
        <v>71</v>
      </c>
      <c r="E35" s="48"/>
      <c r="F35" s="75">
        <v>4</v>
      </c>
      <c r="G35" s="75">
        <v>191.32</v>
      </c>
      <c r="H35" s="76">
        <f t="shared" si="1"/>
        <v>0.76527999999999996</v>
      </c>
      <c r="I35" s="13">
        <v>0</v>
      </c>
      <c r="J35" s="23"/>
    </row>
    <row r="36" spans="1:14" ht="15.75" hidden="1" customHeight="1">
      <c r="A36" s="29"/>
      <c r="B36" s="73" t="s">
        <v>70</v>
      </c>
      <c r="C36" s="74" t="s">
        <v>33</v>
      </c>
      <c r="D36" s="73" t="s">
        <v>71</v>
      </c>
      <c r="E36" s="48"/>
      <c r="F36" s="75">
        <v>3</v>
      </c>
      <c r="G36" s="75">
        <v>1136.33</v>
      </c>
      <c r="H36" s="76">
        <f t="shared" si="1"/>
        <v>3.4089899999999997</v>
      </c>
      <c r="I36" s="13">
        <v>0</v>
      </c>
      <c r="J36" s="23"/>
    </row>
    <row r="37" spans="1:14" ht="15.75" customHeight="1">
      <c r="A37" s="29"/>
      <c r="B37" s="96" t="s">
        <v>5</v>
      </c>
      <c r="C37" s="74"/>
      <c r="D37" s="73"/>
      <c r="E37" s="48"/>
      <c r="F37" s="75"/>
      <c r="G37" s="75"/>
      <c r="H37" s="76" t="s">
        <v>146</v>
      </c>
      <c r="I37" s="13"/>
      <c r="J37" s="23"/>
    </row>
    <row r="38" spans="1:14" ht="15.75" customHeight="1">
      <c r="A38" s="29">
        <v>8</v>
      </c>
      <c r="B38" s="73" t="s">
        <v>26</v>
      </c>
      <c r="C38" s="74" t="s">
        <v>33</v>
      </c>
      <c r="D38" s="73"/>
      <c r="E38" s="48"/>
      <c r="F38" s="75">
        <v>20</v>
      </c>
      <c r="G38" s="75">
        <v>1527.22</v>
      </c>
      <c r="H38" s="76">
        <f t="shared" ref="H38:H44" si="2">SUM(F38*G38/1000)</f>
        <v>30.544400000000003</v>
      </c>
      <c r="I38" s="13">
        <f>F38/6*G38</f>
        <v>5090.7333333333336</v>
      </c>
      <c r="J38" s="23"/>
    </row>
    <row r="39" spans="1:14" ht="15.75" customHeight="1">
      <c r="A39" s="29">
        <v>9</v>
      </c>
      <c r="B39" s="73" t="s">
        <v>72</v>
      </c>
      <c r="C39" s="74" t="s">
        <v>29</v>
      </c>
      <c r="D39" s="73" t="s">
        <v>182</v>
      </c>
      <c r="E39" s="75">
        <v>632.4</v>
      </c>
      <c r="F39" s="75">
        <f>SUM(E39*50/1000)</f>
        <v>31.62</v>
      </c>
      <c r="G39" s="75">
        <v>2102.71</v>
      </c>
      <c r="H39" s="76">
        <f t="shared" si="2"/>
        <v>66.487690200000003</v>
      </c>
      <c r="I39" s="13">
        <f>F39/6*G39</f>
        <v>11081.281700000001</v>
      </c>
      <c r="J39" s="23"/>
      <c r="L39" s="19"/>
      <c r="M39" s="20"/>
      <c r="N39" s="21"/>
    </row>
    <row r="40" spans="1:14" ht="15.75" hidden="1" customHeight="1">
      <c r="A40" s="29"/>
      <c r="B40" s="73" t="s">
        <v>104</v>
      </c>
      <c r="C40" s="74" t="s">
        <v>132</v>
      </c>
      <c r="D40" s="73" t="s">
        <v>71</v>
      </c>
      <c r="E40" s="48"/>
      <c r="F40" s="75">
        <v>30</v>
      </c>
      <c r="G40" s="75">
        <v>213.2</v>
      </c>
      <c r="H40" s="76">
        <f t="shared" si="2"/>
        <v>6.3959999999999999</v>
      </c>
      <c r="I40" s="13">
        <f>0</f>
        <v>0</v>
      </c>
      <c r="J40" s="23"/>
      <c r="L40" s="19"/>
      <c r="M40" s="20"/>
      <c r="N40" s="21"/>
    </row>
    <row r="41" spans="1:14" ht="15.75" customHeight="1">
      <c r="A41" s="29">
        <v>10</v>
      </c>
      <c r="B41" s="73" t="s">
        <v>73</v>
      </c>
      <c r="C41" s="74" t="s">
        <v>29</v>
      </c>
      <c r="D41" s="73" t="s">
        <v>133</v>
      </c>
      <c r="E41" s="75">
        <v>106</v>
      </c>
      <c r="F41" s="75">
        <f>SUM(E41*155/1000)</f>
        <v>16.43</v>
      </c>
      <c r="G41" s="75">
        <v>350.75</v>
      </c>
      <c r="H41" s="76">
        <f t="shared" si="2"/>
        <v>5.7628225000000004</v>
      </c>
      <c r="I41" s="13">
        <f>F41/6*G41</f>
        <v>960.47041666666667</v>
      </c>
      <c r="J41" s="23"/>
      <c r="L41" s="19"/>
      <c r="M41" s="20"/>
      <c r="N41" s="21"/>
    </row>
    <row r="42" spans="1:14" ht="47.25" customHeight="1">
      <c r="A42" s="29">
        <v>11</v>
      </c>
      <c r="B42" s="73" t="s">
        <v>89</v>
      </c>
      <c r="C42" s="74" t="s">
        <v>126</v>
      </c>
      <c r="D42" s="73" t="s">
        <v>183</v>
      </c>
      <c r="E42" s="75">
        <v>106</v>
      </c>
      <c r="F42" s="75">
        <f>SUM(E42*70/1000)</f>
        <v>7.42</v>
      </c>
      <c r="G42" s="75">
        <v>5803.28</v>
      </c>
      <c r="H42" s="76">
        <f t="shared" si="2"/>
        <v>43.060337599999997</v>
      </c>
      <c r="I42" s="13">
        <f>F42/6*G42</f>
        <v>7176.7229333333325</v>
      </c>
      <c r="J42" s="23"/>
      <c r="L42" s="19"/>
      <c r="M42" s="20"/>
      <c r="N42" s="21"/>
    </row>
    <row r="43" spans="1:14" ht="15.75" customHeight="1">
      <c r="A43" s="29">
        <v>12</v>
      </c>
      <c r="B43" s="73" t="s">
        <v>135</v>
      </c>
      <c r="C43" s="74" t="s">
        <v>126</v>
      </c>
      <c r="D43" s="123" t="s">
        <v>281</v>
      </c>
      <c r="E43" s="125">
        <v>106</v>
      </c>
      <c r="F43" s="126">
        <f>SUM(E43*15/1000)</f>
        <v>1.59</v>
      </c>
      <c r="G43" s="125">
        <v>428.7</v>
      </c>
      <c r="H43" s="127">
        <f t="shared" si="2"/>
        <v>0.68163300000000004</v>
      </c>
      <c r="I43" s="13">
        <f>F43/2*G43</f>
        <v>340.81650000000002</v>
      </c>
      <c r="J43" s="23"/>
      <c r="L43" s="19"/>
      <c r="M43" s="20"/>
      <c r="N43" s="21"/>
    </row>
    <row r="44" spans="1:14" ht="15.75" customHeight="1">
      <c r="A44" s="29">
        <v>13</v>
      </c>
      <c r="B44" s="73" t="s">
        <v>75</v>
      </c>
      <c r="C44" s="74" t="s">
        <v>34</v>
      </c>
      <c r="D44" s="73"/>
      <c r="E44" s="48"/>
      <c r="F44" s="75">
        <v>0.9</v>
      </c>
      <c r="G44" s="75">
        <v>798</v>
      </c>
      <c r="H44" s="76">
        <f t="shared" si="2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40" t="s">
        <v>152</v>
      </c>
      <c r="B45" s="141"/>
      <c r="C45" s="141"/>
      <c r="D45" s="141"/>
      <c r="E45" s="141"/>
      <c r="F45" s="141"/>
      <c r="G45" s="141"/>
      <c r="H45" s="141"/>
      <c r="I45" s="142"/>
      <c r="J45" s="23"/>
      <c r="L45" s="19"/>
      <c r="M45" s="20"/>
      <c r="N45" s="21"/>
    </row>
    <row r="46" spans="1:14" ht="15.75" hidden="1" customHeight="1">
      <c r="A46" s="29"/>
      <c r="B46" s="73" t="s">
        <v>184</v>
      </c>
      <c r="C46" s="74" t="s">
        <v>126</v>
      </c>
      <c r="D46" s="73" t="s">
        <v>44</v>
      </c>
      <c r="E46" s="48">
        <v>1150.5999999999999</v>
      </c>
      <c r="F46" s="75">
        <f>SUM(E46*2/1000)</f>
        <v>2.3011999999999997</v>
      </c>
      <c r="G46" s="13">
        <v>849.49</v>
      </c>
      <c r="H46" s="76">
        <f t="shared" ref="H46:H54" si="3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73" t="s">
        <v>37</v>
      </c>
      <c r="C47" s="74" t="s">
        <v>126</v>
      </c>
      <c r="D47" s="73" t="s">
        <v>44</v>
      </c>
      <c r="E47" s="48">
        <v>108.96</v>
      </c>
      <c r="F47" s="75">
        <f>SUM(E47*2/1000)</f>
        <v>0.21791999999999997</v>
      </c>
      <c r="G47" s="13">
        <v>579.48</v>
      </c>
      <c r="H47" s="76">
        <f t="shared" si="3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73" t="s">
        <v>38</v>
      </c>
      <c r="C48" s="74" t="s">
        <v>126</v>
      </c>
      <c r="D48" s="73" t="s">
        <v>44</v>
      </c>
      <c r="E48" s="48">
        <v>4224.3999999999996</v>
      </c>
      <c r="F48" s="75">
        <f>SUM(E48*2/1000)</f>
        <v>8.4487999999999985</v>
      </c>
      <c r="G48" s="13">
        <v>579.48</v>
      </c>
      <c r="H48" s="76">
        <f t="shared" si="3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73" t="s">
        <v>39</v>
      </c>
      <c r="C49" s="74" t="s">
        <v>126</v>
      </c>
      <c r="D49" s="73" t="s">
        <v>44</v>
      </c>
      <c r="E49" s="48">
        <v>3059.7</v>
      </c>
      <c r="F49" s="75">
        <f>SUM(E49*2/1000)</f>
        <v>6.1193999999999997</v>
      </c>
      <c r="G49" s="13">
        <v>606.77</v>
      </c>
      <c r="H49" s="76">
        <f t="shared" si="3"/>
        <v>3.7130683379999998</v>
      </c>
      <c r="I49" s="13">
        <v>0</v>
      </c>
      <c r="J49" s="23"/>
      <c r="L49" s="19"/>
      <c r="M49" s="20"/>
      <c r="N49" s="21"/>
    </row>
    <row r="50" spans="1:22" ht="15.75" hidden="1" customHeight="1">
      <c r="A50" s="29">
        <v>14</v>
      </c>
      <c r="B50" s="73" t="s">
        <v>60</v>
      </c>
      <c r="C50" s="74" t="s">
        <v>126</v>
      </c>
      <c r="D50" s="73" t="s">
        <v>185</v>
      </c>
      <c r="E50" s="48">
        <v>1150.5999999999999</v>
      </c>
      <c r="F50" s="75">
        <f>SUM(E50*5/1000)</f>
        <v>5.7530000000000001</v>
      </c>
      <c r="G50" s="13">
        <v>1213.55</v>
      </c>
      <c r="H50" s="76">
        <f t="shared" si="3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customHeight="1">
      <c r="A51" s="29">
        <v>14</v>
      </c>
      <c r="B51" s="73" t="s">
        <v>136</v>
      </c>
      <c r="C51" s="74" t="s">
        <v>126</v>
      </c>
      <c r="D51" s="73" t="s">
        <v>44</v>
      </c>
      <c r="E51" s="48">
        <v>1150.5999999999999</v>
      </c>
      <c r="F51" s="75">
        <f>SUM(E51*2/1000)</f>
        <v>2.3011999999999997</v>
      </c>
      <c r="G51" s="13">
        <v>1213.55</v>
      </c>
      <c r="H51" s="76">
        <f t="shared" si="3"/>
        <v>2.7926212599999993</v>
      </c>
      <c r="I51" s="13">
        <f>F51/2*G51</f>
        <v>1396.3106299999997</v>
      </c>
      <c r="J51" s="23"/>
      <c r="L51" s="19"/>
      <c r="M51" s="20"/>
      <c r="N51" s="21"/>
    </row>
    <row r="52" spans="1:22" ht="31.5" customHeight="1">
      <c r="A52" s="29">
        <v>15</v>
      </c>
      <c r="B52" s="73" t="s">
        <v>137</v>
      </c>
      <c r="C52" s="74" t="s">
        <v>40</v>
      </c>
      <c r="D52" s="73" t="s">
        <v>44</v>
      </c>
      <c r="E52" s="48">
        <v>30</v>
      </c>
      <c r="F52" s="75">
        <f>SUM(E52*2/100)</f>
        <v>0.6</v>
      </c>
      <c r="G52" s="13">
        <v>2730.49</v>
      </c>
      <c r="H52" s="76">
        <f t="shared" si="3"/>
        <v>1.6382939999999999</v>
      </c>
      <c r="I52" s="13">
        <f>F52/2*G52</f>
        <v>819.14699999999993</v>
      </c>
      <c r="J52" s="23"/>
      <c r="L52" s="19"/>
      <c r="M52" s="20"/>
      <c r="N52" s="21"/>
    </row>
    <row r="53" spans="1:22" ht="15.75" hidden="1" customHeight="1">
      <c r="A53" s="29">
        <v>14</v>
      </c>
      <c r="B53" s="73" t="s">
        <v>41</v>
      </c>
      <c r="C53" s="74" t="s">
        <v>42</v>
      </c>
      <c r="D53" s="73" t="s">
        <v>44</v>
      </c>
      <c r="E53" s="48">
        <v>1</v>
      </c>
      <c r="F53" s="75">
        <v>0.02</v>
      </c>
      <c r="G53" s="13">
        <v>5652.13</v>
      </c>
      <c r="H53" s="76">
        <f t="shared" si="3"/>
        <v>0.11304260000000001</v>
      </c>
      <c r="I53" s="13">
        <f>F53/2*G53</f>
        <v>56.521300000000004</v>
      </c>
      <c r="J53" s="23"/>
      <c r="L53" s="19"/>
      <c r="M53" s="20"/>
      <c r="N53" s="21"/>
    </row>
    <row r="54" spans="1:22" ht="15.75" hidden="1" customHeight="1">
      <c r="A54" s="29">
        <v>15</v>
      </c>
      <c r="B54" s="73" t="s">
        <v>43</v>
      </c>
      <c r="C54" s="74" t="s">
        <v>138</v>
      </c>
      <c r="D54" s="73" t="s">
        <v>76</v>
      </c>
      <c r="E54" s="48">
        <v>158</v>
      </c>
      <c r="F54" s="75">
        <f>SUM(E54)*3</f>
        <v>474</v>
      </c>
      <c r="G54" s="13">
        <v>65.67</v>
      </c>
      <c r="H54" s="76">
        <f t="shared" si="3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140" t="s">
        <v>153</v>
      </c>
      <c r="B55" s="141"/>
      <c r="C55" s="141"/>
      <c r="D55" s="141"/>
      <c r="E55" s="141"/>
      <c r="F55" s="141"/>
      <c r="G55" s="141"/>
      <c r="H55" s="141"/>
      <c r="I55" s="142"/>
      <c r="J55" s="23"/>
      <c r="L55" s="19"/>
      <c r="M55" s="20"/>
      <c r="N55" s="21"/>
    </row>
    <row r="56" spans="1:22" ht="15.75" customHeight="1">
      <c r="A56" s="29"/>
      <c r="B56" s="96" t="s">
        <v>45</v>
      </c>
      <c r="C56" s="74"/>
      <c r="D56" s="73"/>
      <c r="E56" s="48"/>
      <c r="F56" s="75"/>
      <c r="G56" s="75"/>
      <c r="H56" s="76"/>
      <c r="I56" s="13"/>
      <c r="J56" s="23"/>
      <c r="L56" s="19"/>
      <c r="M56" s="20"/>
      <c r="N56" s="21"/>
    </row>
    <row r="57" spans="1:22" ht="31.5" customHeight="1">
      <c r="A57" s="29">
        <v>16</v>
      </c>
      <c r="B57" s="73" t="s">
        <v>186</v>
      </c>
      <c r="C57" s="74" t="s">
        <v>117</v>
      </c>
      <c r="D57" s="73" t="s">
        <v>187</v>
      </c>
      <c r="E57" s="105">
        <v>6</v>
      </c>
      <c r="F57" s="13">
        <f>E57*8/100</f>
        <v>0.48</v>
      </c>
      <c r="G57" s="75">
        <v>1547.28</v>
      </c>
      <c r="H57" s="76">
        <f>SUM(F57*G57/1000)</f>
        <v>0.74269439999999998</v>
      </c>
      <c r="I57" s="13">
        <f>F57/6*G57</f>
        <v>123.7824</v>
      </c>
      <c r="J57" s="23"/>
      <c r="L57" s="19"/>
      <c r="M57" s="20"/>
      <c r="N57" s="21"/>
    </row>
    <row r="58" spans="1:22" ht="15.75" hidden="1" customHeight="1">
      <c r="A58" s="106"/>
      <c r="B58" s="73" t="s">
        <v>109</v>
      </c>
      <c r="C58" s="74" t="s">
        <v>110</v>
      </c>
      <c r="D58" s="73" t="s">
        <v>44</v>
      </c>
      <c r="E58" s="48">
        <v>6</v>
      </c>
      <c r="F58" s="75">
        <v>12</v>
      </c>
      <c r="G58" s="82">
        <v>180.78</v>
      </c>
      <c r="H58" s="76">
        <f t="shared" ref="H58" si="4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97" t="s">
        <v>46</v>
      </c>
      <c r="C59" s="83"/>
      <c r="D59" s="84"/>
      <c r="E59" s="85"/>
      <c r="F59" s="87"/>
      <c r="G59" s="13"/>
      <c r="H59" s="89"/>
      <c r="I59" s="13"/>
      <c r="J59" s="23"/>
      <c r="L59" s="19"/>
      <c r="M59" s="20"/>
      <c r="N59" s="21"/>
    </row>
    <row r="60" spans="1:22" ht="15.75" customHeight="1">
      <c r="A60" s="29">
        <v>17</v>
      </c>
      <c r="B60" s="84" t="s">
        <v>105</v>
      </c>
      <c r="C60" s="83" t="s">
        <v>25</v>
      </c>
      <c r="D60" s="84"/>
      <c r="E60" s="85">
        <v>232.6</v>
      </c>
      <c r="F60" s="86">
        <f>E60*12</f>
        <v>2791.2</v>
      </c>
      <c r="G60" s="107">
        <v>2.5960000000000001</v>
      </c>
      <c r="H60" s="87">
        <f>G60*F60</f>
        <v>7245.9551999999994</v>
      </c>
      <c r="I60" s="13">
        <f>F60/12*G60</f>
        <v>603.82960000000003</v>
      </c>
      <c r="J60" s="23"/>
      <c r="L60" s="19"/>
    </row>
    <row r="61" spans="1:22" ht="15.75" hidden="1" customHeight="1">
      <c r="A61" s="29"/>
      <c r="B61" s="97" t="s">
        <v>48</v>
      </c>
      <c r="C61" s="83"/>
      <c r="D61" s="84"/>
      <c r="E61" s="85"/>
      <c r="F61" s="86"/>
      <c r="G61" s="86"/>
      <c r="H61" s="87" t="s">
        <v>146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17</v>
      </c>
      <c r="B62" s="14" t="s">
        <v>49</v>
      </c>
      <c r="C62" s="16" t="s">
        <v>138</v>
      </c>
      <c r="D62" s="14" t="s">
        <v>71</v>
      </c>
      <c r="E62" s="18">
        <v>15</v>
      </c>
      <c r="F62" s="75">
        <v>15</v>
      </c>
      <c r="G62" s="13">
        <v>209.41</v>
      </c>
      <c r="H62" s="90">
        <f t="shared" ref="H62:H69" si="5">SUM(F62*G62/1000)</f>
        <v>3.1411500000000001</v>
      </c>
      <c r="I62" s="13">
        <f>G62</f>
        <v>209.41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50</v>
      </c>
      <c r="C63" s="16" t="s">
        <v>138</v>
      </c>
      <c r="D63" s="14" t="s">
        <v>71</v>
      </c>
      <c r="E63" s="18">
        <v>5</v>
      </c>
      <c r="F63" s="75">
        <v>5</v>
      </c>
      <c r="G63" s="13">
        <v>71.790000000000006</v>
      </c>
      <c r="H63" s="90">
        <f t="shared" si="5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51</v>
      </c>
      <c r="C64" s="16" t="s">
        <v>140</v>
      </c>
      <c r="D64" s="14" t="s">
        <v>57</v>
      </c>
      <c r="E64" s="48">
        <v>18281</v>
      </c>
      <c r="F64" s="13">
        <f>SUM(E64/100)</f>
        <v>182.81</v>
      </c>
      <c r="G64" s="13">
        <v>199.77</v>
      </c>
      <c r="H64" s="90">
        <f t="shared" si="5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28"/>
      <c r="S64" s="128"/>
      <c r="T64" s="128"/>
      <c r="U64" s="128"/>
    </row>
    <row r="65" spans="1:9" ht="15.75" hidden="1" customHeight="1">
      <c r="A65" s="29"/>
      <c r="B65" s="14" t="s">
        <v>52</v>
      </c>
      <c r="C65" s="16" t="s">
        <v>141</v>
      </c>
      <c r="D65" s="14"/>
      <c r="E65" s="48">
        <v>18281</v>
      </c>
      <c r="F65" s="13">
        <f>SUM(E65/1000)</f>
        <v>18.280999999999999</v>
      </c>
      <c r="G65" s="13">
        <v>155.57</v>
      </c>
      <c r="H65" s="90">
        <f t="shared" si="5"/>
        <v>2.8439751699999998</v>
      </c>
      <c r="I65" s="13">
        <v>0</v>
      </c>
    </row>
    <row r="66" spans="1:9" ht="15.75" hidden="1" customHeight="1">
      <c r="A66" s="29"/>
      <c r="B66" s="14" t="s">
        <v>53</v>
      </c>
      <c r="C66" s="16" t="s">
        <v>82</v>
      </c>
      <c r="D66" s="14" t="s">
        <v>57</v>
      </c>
      <c r="E66" s="48">
        <v>2730</v>
      </c>
      <c r="F66" s="13">
        <f>SUM(E66/100)</f>
        <v>27.3</v>
      </c>
      <c r="G66" s="13">
        <v>1953.52</v>
      </c>
      <c r="H66" s="90">
        <f t="shared" si="5"/>
        <v>53.331095999999995</v>
      </c>
      <c r="I66" s="13">
        <v>0</v>
      </c>
    </row>
    <row r="67" spans="1:9" ht="15.75" hidden="1" customHeight="1">
      <c r="A67" s="29"/>
      <c r="B67" s="91" t="s">
        <v>142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40.270000000000003</v>
      </c>
      <c r="H67" s="90">
        <f t="shared" si="5"/>
        <v>0.66042800000000002</v>
      </c>
      <c r="I67" s="13">
        <v>0</v>
      </c>
    </row>
    <row r="68" spans="1:9" ht="15.75" hidden="1" customHeight="1">
      <c r="A68" s="29"/>
      <c r="B68" s="91" t="s">
        <v>143</v>
      </c>
      <c r="C68" s="16" t="s">
        <v>34</v>
      </c>
      <c r="D68" s="14"/>
      <c r="E68" s="48">
        <v>16.399999999999999</v>
      </c>
      <c r="F68" s="13">
        <f>SUM(E68)</f>
        <v>16.399999999999999</v>
      </c>
      <c r="G68" s="13">
        <v>37.71</v>
      </c>
      <c r="H68" s="90">
        <f t="shared" si="5"/>
        <v>0.61844399999999999</v>
      </c>
      <c r="I68" s="13">
        <v>0</v>
      </c>
    </row>
    <row r="69" spans="1:9" ht="15.75" hidden="1" customHeight="1">
      <c r="A69" s="29"/>
      <c r="B69" s="14" t="s">
        <v>61</v>
      </c>
      <c r="C69" s="16" t="s">
        <v>62</v>
      </c>
      <c r="D69" s="14" t="s">
        <v>57</v>
      </c>
      <c r="E69" s="18">
        <v>7</v>
      </c>
      <c r="F69" s="75">
        <f>SUM(E69)</f>
        <v>7</v>
      </c>
      <c r="G69" s="13">
        <v>46.97</v>
      </c>
      <c r="H69" s="90">
        <f t="shared" si="5"/>
        <v>0.32878999999999997</v>
      </c>
      <c r="I69" s="13">
        <v>0</v>
      </c>
    </row>
    <row r="70" spans="1:9" ht="15.75" hidden="1" customHeight="1">
      <c r="A70" s="29"/>
      <c r="B70" s="104" t="s">
        <v>78</v>
      </c>
      <c r="C70" s="16"/>
      <c r="D70" s="14"/>
      <c r="E70" s="18"/>
      <c r="F70" s="13"/>
      <c r="G70" s="13"/>
      <c r="H70" s="90" t="s">
        <v>146</v>
      </c>
      <c r="I70" s="13"/>
    </row>
    <row r="71" spans="1:9" ht="15.75" hidden="1" customHeight="1">
      <c r="A71" s="29"/>
      <c r="B71" s="14" t="s">
        <v>96</v>
      </c>
      <c r="C71" s="16" t="s">
        <v>31</v>
      </c>
      <c r="D71" s="14"/>
      <c r="E71" s="18">
        <v>1</v>
      </c>
      <c r="F71" s="75">
        <f>SUM(E71)</f>
        <v>1</v>
      </c>
      <c r="G71" s="13">
        <v>337.58</v>
      </c>
      <c r="H71" s="90">
        <f t="shared" ref="H71" si="6">SUM(F71*G71/1000)</f>
        <v>0.33757999999999999</v>
      </c>
      <c r="I71" s="13">
        <v>0</v>
      </c>
    </row>
    <row r="72" spans="1:9" ht="15.75" hidden="1" customHeight="1">
      <c r="A72" s="29"/>
      <c r="B72" s="14" t="s">
        <v>80</v>
      </c>
      <c r="C72" s="16" t="s">
        <v>31</v>
      </c>
      <c r="D72" s="14"/>
      <c r="E72" s="18">
        <v>2</v>
      </c>
      <c r="F72" s="13">
        <v>2</v>
      </c>
      <c r="G72" s="13">
        <v>803.19</v>
      </c>
      <c r="H72" s="90">
        <f>F72*G72/1000</f>
        <v>1.6063800000000001</v>
      </c>
      <c r="I72" s="13">
        <v>0</v>
      </c>
    </row>
    <row r="73" spans="1:9" ht="15.75" hidden="1" customHeight="1">
      <c r="A73" s="29"/>
      <c r="B73" s="92" t="s">
        <v>81</v>
      </c>
      <c r="C73" s="16"/>
      <c r="D73" s="14"/>
      <c r="E73" s="18"/>
      <c r="F73" s="13"/>
      <c r="G73" s="13" t="s">
        <v>146</v>
      </c>
      <c r="H73" s="90" t="s">
        <v>146</v>
      </c>
      <c r="I73" s="13"/>
    </row>
    <row r="74" spans="1:9" ht="15.75" hidden="1" customHeight="1">
      <c r="A74" s="29"/>
      <c r="B74" s="42" t="s">
        <v>147</v>
      </c>
      <c r="C74" s="16" t="s">
        <v>82</v>
      </c>
      <c r="D74" s="14"/>
      <c r="E74" s="18"/>
      <c r="F74" s="13">
        <v>1.35</v>
      </c>
      <c r="G74" s="13">
        <v>2494</v>
      </c>
      <c r="H74" s="90">
        <f t="shared" ref="H74" si="7">SUM(F74*G74/1000)</f>
        <v>3.3669000000000002</v>
      </c>
      <c r="I74" s="13">
        <v>0</v>
      </c>
    </row>
    <row r="75" spans="1:9" ht="15.75" hidden="1" customHeight="1">
      <c r="A75" s="29"/>
      <c r="B75" s="78" t="s">
        <v>144</v>
      </c>
      <c r="C75" s="92"/>
      <c r="D75" s="31"/>
      <c r="E75" s="32"/>
      <c r="F75" s="79"/>
      <c r="G75" s="79"/>
      <c r="H75" s="93">
        <f>SUM(H57:H74)</f>
        <v>7351.9809012699989</v>
      </c>
      <c r="I75" s="79"/>
    </row>
    <row r="76" spans="1:9" ht="15.75" hidden="1" customHeight="1">
      <c r="A76" s="29"/>
      <c r="B76" s="73" t="s">
        <v>145</v>
      </c>
      <c r="C76" s="16"/>
      <c r="D76" s="14"/>
      <c r="E76" s="67"/>
      <c r="F76" s="13">
        <v>1</v>
      </c>
      <c r="G76" s="13">
        <v>17359.8</v>
      </c>
      <c r="H76" s="90">
        <f>G76*F76/1000</f>
        <v>17.3598</v>
      </c>
      <c r="I76" s="13">
        <v>0</v>
      </c>
    </row>
    <row r="77" spans="1:9" ht="15.75" customHeight="1">
      <c r="A77" s="129" t="s">
        <v>154</v>
      </c>
      <c r="B77" s="130"/>
      <c r="C77" s="130"/>
      <c r="D77" s="130"/>
      <c r="E77" s="130"/>
      <c r="F77" s="130"/>
      <c r="G77" s="130"/>
      <c r="H77" s="130"/>
      <c r="I77" s="131"/>
    </row>
    <row r="78" spans="1:9" ht="15.75" customHeight="1">
      <c r="A78" s="29">
        <v>18</v>
      </c>
      <c r="B78" s="73" t="s">
        <v>148</v>
      </c>
      <c r="C78" s="16" t="s">
        <v>58</v>
      </c>
      <c r="D78" s="94" t="s">
        <v>59</v>
      </c>
      <c r="E78" s="13">
        <v>4224.3999999999996</v>
      </c>
      <c r="F78" s="13">
        <f>SUM(E78*12)</f>
        <v>50692.799999999996</v>
      </c>
      <c r="G78" s="13">
        <v>2.1</v>
      </c>
      <c r="H78" s="90">
        <f>SUM(F78*G78/1000)</f>
        <v>106.45487999999999</v>
      </c>
      <c r="I78" s="13">
        <f>F78/12*G78</f>
        <v>8871.24</v>
      </c>
    </row>
    <row r="79" spans="1:9" ht="31.5" customHeight="1">
      <c r="A79" s="29">
        <v>19</v>
      </c>
      <c r="B79" s="14" t="s">
        <v>83</v>
      </c>
      <c r="C79" s="16"/>
      <c r="D79" s="94" t="s">
        <v>59</v>
      </c>
      <c r="E79" s="48">
        <v>4224.3999999999996</v>
      </c>
      <c r="F79" s="13">
        <f>E79*12</f>
        <v>50692.799999999996</v>
      </c>
      <c r="G79" s="13">
        <v>1.63</v>
      </c>
      <c r="H79" s="90">
        <f>F79*G79/1000</f>
        <v>82.629263999999978</v>
      </c>
      <c r="I79" s="13">
        <f>F79/12*G79</f>
        <v>6885.771999999999</v>
      </c>
    </row>
    <row r="80" spans="1:9" ht="15.75" customHeight="1">
      <c r="A80" s="102"/>
      <c r="B80" s="34" t="s">
        <v>86</v>
      </c>
      <c r="C80" s="35"/>
      <c r="D80" s="15"/>
      <c r="E80" s="15"/>
      <c r="F80" s="15"/>
      <c r="G80" s="18"/>
      <c r="H80" s="18"/>
      <c r="I80" s="32">
        <f>SUM(I16+I17+I18+I20+I21+I26+I27+I38+I39+I41+I42+I43+I44+I51+I52+I57+I60+I78+I79)</f>
        <v>79286.144471333304</v>
      </c>
    </row>
    <row r="81" spans="1:9" ht="15.75" customHeight="1">
      <c r="A81" s="147" t="s">
        <v>64</v>
      </c>
      <c r="B81" s="148"/>
      <c r="C81" s="148"/>
      <c r="D81" s="148"/>
      <c r="E81" s="148"/>
      <c r="F81" s="148"/>
      <c r="G81" s="148"/>
      <c r="H81" s="148"/>
      <c r="I81" s="149"/>
    </row>
    <row r="82" spans="1:9" ht="15.75" customHeight="1">
      <c r="A82" s="29">
        <v>20</v>
      </c>
      <c r="B82" s="57" t="s">
        <v>197</v>
      </c>
      <c r="C82" s="58" t="s">
        <v>100</v>
      </c>
      <c r="D82" s="42"/>
      <c r="E82" s="13"/>
      <c r="F82" s="13">
        <f>(3*7+5+10+10+10+10+20+20+5+10+20+3)/3</f>
        <v>48</v>
      </c>
      <c r="G82" s="13">
        <v>1120.8900000000001</v>
      </c>
      <c r="H82" s="90">
        <f t="shared" ref="H82:H84" si="8">G82*F82/1000</f>
        <v>53.802720000000001</v>
      </c>
      <c r="I82" s="13">
        <f>G82*((10+10)/3)</f>
        <v>7472.6000000000013</v>
      </c>
    </row>
    <row r="83" spans="1:9" ht="15.75" customHeight="1">
      <c r="A83" s="29">
        <v>21</v>
      </c>
      <c r="B83" s="46" t="s">
        <v>198</v>
      </c>
      <c r="C83" s="49" t="s">
        <v>138</v>
      </c>
      <c r="D83" s="42"/>
      <c r="E83" s="13"/>
      <c r="F83" s="13">
        <v>640</v>
      </c>
      <c r="G83" s="13">
        <v>53.42</v>
      </c>
      <c r="H83" s="90">
        <f t="shared" si="8"/>
        <v>34.188800000000001</v>
      </c>
      <c r="I83" s="13">
        <f>G83*80</f>
        <v>4273.6000000000004</v>
      </c>
    </row>
    <row r="84" spans="1:9" ht="32.25" customHeight="1">
      <c r="A84" s="29">
        <v>22</v>
      </c>
      <c r="B84" s="72" t="s">
        <v>159</v>
      </c>
      <c r="C84" s="29" t="s">
        <v>160</v>
      </c>
      <c r="D84" s="42"/>
      <c r="E84" s="13"/>
      <c r="F84" s="13">
        <v>4</v>
      </c>
      <c r="G84" s="13">
        <v>1934.94</v>
      </c>
      <c r="H84" s="90">
        <f t="shared" si="8"/>
        <v>7.7397600000000004</v>
      </c>
      <c r="I84" s="13">
        <f t="shared" ref="I84" si="9">G84</f>
        <v>1934.94</v>
      </c>
    </row>
    <row r="85" spans="1:9" ht="15.75" customHeight="1">
      <c r="A85" s="29">
        <v>23</v>
      </c>
      <c r="B85" s="46" t="s">
        <v>217</v>
      </c>
      <c r="C85" s="49" t="s">
        <v>90</v>
      </c>
      <c r="D85" s="42"/>
      <c r="E85" s="13"/>
      <c r="F85" s="13">
        <v>4</v>
      </c>
      <c r="G85" s="13">
        <v>195.85</v>
      </c>
      <c r="H85" s="90">
        <f>G85*F85/1000</f>
        <v>0.78339999999999999</v>
      </c>
      <c r="I85" s="13">
        <f>G85</f>
        <v>195.85</v>
      </c>
    </row>
    <row r="86" spans="1:9" ht="15.75" customHeight="1">
      <c r="A86" s="29"/>
      <c r="B86" s="40" t="s">
        <v>54</v>
      </c>
      <c r="C86" s="36"/>
      <c r="D86" s="44"/>
      <c r="E86" s="36">
        <v>1</v>
      </c>
      <c r="F86" s="36"/>
      <c r="G86" s="36"/>
      <c r="H86" s="36"/>
      <c r="I86" s="32">
        <f>SUM(I82:I85)</f>
        <v>13876.990000000002</v>
      </c>
    </row>
    <row r="87" spans="1:9" ht="15.75" customHeight="1">
      <c r="A87" s="29"/>
      <c r="B87" s="42" t="s">
        <v>84</v>
      </c>
      <c r="C87" s="15"/>
      <c r="D87" s="15"/>
      <c r="E87" s="37"/>
      <c r="F87" s="37"/>
      <c r="G87" s="38"/>
      <c r="H87" s="38"/>
      <c r="I87" s="17">
        <v>0</v>
      </c>
    </row>
    <row r="88" spans="1:9" ht="15.75" customHeight="1">
      <c r="A88" s="45"/>
      <c r="B88" s="41" t="s">
        <v>180</v>
      </c>
      <c r="C88" s="33"/>
      <c r="D88" s="33"/>
      <c r="E88" s="33"/>
      <c r="F88" s="33"/>
      <c r="G88" s="33"/>
      <c r="H88" s="33"/>
      <c r="I88" s="39">
        <f>I80+I86</f>
        <v>93163.134471333309</v>
      </c>
    </row>
    <row r="89" spans="1:9" ht="15.75" customHeight="1">
      <c r="A89" s="143" t="s">
        <v>218</v>
      </c>
      <c r="B89" s="143"/>
      <c r="C89" s="143"/>
      <c r="D89" s="143"/>
      <c r="E89" s="143"/>
      <c r="F89" s="143"/>
      <c r="G89" s="143"/>
      <c r="H89" s="143"/>
      <c r="I89" s="143"/>
    </row>
    <row r="90" spans="1:9" ht="15.75" customHeight="1">
      <c r="A90" s="56"/>
      <c r="B90" s="144" t="s">
        <v>219</v>
      </c>
      <c r="C90" s="144"/>
      <c r="D90" s="144"/>
      <c r="E90" s="144"/>
      <c r="F90" s="144"/>
      <c r="G90" s="144"/>
      <c r="H90" s="71"/>
      <c r="I90" s="3"/>
    </row>
    <row r="91" spans="1:9" ht="15.75" customHeight="1">
      <c r="A91" s="100"/>
      <c r="B91" s="145" t="s">
        <v>6</v>
      </c>
      <c r="C91" s="145"/>
      <c r="D91" s="145"/>
      <c r="E91" s="145"/>
      <c r="F91" s="145"/>
      <c r="G91" s="145"/>
      <c r="H91" s="24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 customHeight="1">
      <c r="A93" s="146" t="s">
        <v>7</v>
      </c>
      <c r="B93" s="146"/>
      <c r="C93" s="146"/>
      <c r="D93" s="146"/>
      <c r="E93" s="146"/>
      <c r="F93" s="146"/>
      <c r="G93" s="146"/>
      <c r="H93" s="146"/>
      <c r="I93" s="146"/>
    </row>
    <row r="94" spans="1:9" ht="15.75" customHeight="1">
      <c r="A94" s="146" t="s">
        <v>8</v>
      </c>
      <c r="B94" s="146"/>
      <c r="C94" s="146"/>
      <c r="D94" s="146"/>
      <c r="E94" s="146"/>
      <c r="F94" s="146"/>
      <c r="G94" s="146"/>
      <c r="H94" s="146"/>
      <c r="I94" s="146"/>
    </row>
    <row r="95" spans="1:9" ht="15.75" customHeight="1">
      <c r="A95" s="138" t="s">
        <v>65</v>
      </c>
      <c r="B95" s="138"/>
      <c r="C95" s="138"/>
      <c r="D95" s="138"/>
      <c r="E95" s="138"/>
      <c r="F95" s="138"/>
      <c r="G95" s="138"/>
      <c r="H95" s="138"/>
      <c r="I95" s="138"/>
    </row>
    <row r="96" spans="1:9" ht="15.75" customHeight="1">
      <c r="A96" s="11"/>
    </row>
    <row r="97" spans="1:9" ht="15.75" customHeight="1">
      <c r="A97" s="151" t="s">
        <v>9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4"/>
    </row>
    <row r="99" spans="1:9" ht="15.75" customHeight="1">
      <c r="B99" s="101" t="s">
        <v>10</v>
      </c>
      <c r="C99" s="152" t="s">
        <v>98</v>
      </c>
      <c r="D99" s="152"/>
      <c r="E99" s="152"/>
      <c r="F99" s="69"/>
      <c r="I99" s="99"/>
    </row>
    <row r="100" spans="1:9" ht="15.75" customHeight="1">
      <c r="A100" s="100"/>
      <c r="C100" s="145" t="s">
        <v>11</v>
      </c>
      <c r="D100" s="145"/>
      <c r="E100" s="145"/>
      <c r="F100" s="24"/>
      <c r="I100" s="98" t="s">
        <v>12</v>
      </c>
    </row>
    <row r="101" spans="1:9" ht="15.75" customHeight="1">
      <c r="A101" s="25"/>
      <c r="C101" s="12"/>
      <c r="D101" s="12"/>
      <c r="G101" s="12"/>
      <c r="H101" s="12"/>
    </row>
    <row r="102" spans="1:9" ht="15.75" customHeight="1">
      <c r="B102" s="101" t="s">
        <v>13</v>
      </c>
      <c r="C102" s="153"/>
      <c r="D102" s="153"/>
      <c r="E102" s="153"/>
      <c r="F102" s="70"/>
      <c r="I102" s="99"/>
    </row>
    <row r="103" spans="1:9" ht="15.75" customHeight="1">
      <c r="A103" s="100"/>
      <c r="C103" s="128" t="s">
        <v>11</v>
      </c>
      <c r="D103" s="128"/>
      <c r="E103" s="128"/>
      <c r="F103" s="100"/>
      <c r="I103" s="98" t="s">
        <v>12</v>
      </c>
    </row>
    <row r="104" spans="1:9" ht="15.75" customHeight="1">
      <c r="A104" s="4" t="s">
        <v>14</v>
      </c>
    </row>
    <row r="105" spans="1:9" ht="15.75" customHeight="1">
      <c r="A105" s="154" t="s">
        <v>15</v>
      </c>
      <c r="B105" s="154"/>
      <c r="C105" s="154"/>
      <c r="D105" s="154"/>
      <c r="E105" s="154"/>
      <c r="F105" s="154"/>
      <c r="G105" s="154"/>
      <c r="H105" s="154"/>
      <c r="I105" s="154"/>
    </row>
    <row r="106" spans="1:9" ht="45" customHeight="1">
      <c r="A106" s="150" t="s">
        <v>16</v>
      </c>
      <c r="B106" s="150"/>
      <c r="C106" s="150"/>
      <c r="D106" s="150"/>
      <c r="E106" s="150"/>
      <c r="F106" s="150"/>
      <c r="G106" s="150"/>
      <c r="H106" s="150"/>
      <c r="I106" s="150"/>
    </row>
    <row r="107" spans="1:9" ht="30" customHeight="1">
      <c r="A107" s="150" t="s">
        <v>17</v>
      </c>
      <c r="B107" s="150"/>
      <c r="C107" s="150"/>
      <c r="D107" s="150"/>
      <c r="E107" s="150"/>
      <c r="F107" s="150"/>
      <c r="G107" s="150"/>
      <c r="H107" s="150"/>
      <c r="I107" s="150"/>
    </row>
    <row r="108" spans="1:9" ht="30" customHeight="1">
      <c r="A108" s="150" t="s">
        <v>21</v>
      </c>
      <c r="B108" s="150"/>
      <c r="C108" s="150"/>
      <c r="D108" s="150"/>
      <c r="E108" s="150"/>
      <c r="F108" s="150"/>
      <c r="G108" s="150"/>
      <c r="H108" s="150"/>
      <c r="I108" s="150"/>
    </row>
    <row r="109" spans="1:9" ht="15" customHeight="1">
      <c r="A109" s="150" t="s">
        <v>20</v>
      </c>
      <c r="B109" s="150"/>
      <c r="C109" s="150"/>
      <c r="D109" s="150"/>
      <c r="E109" s="150"/>
      <c r="F109" s="150"/>
      <c r="G109" s="150"/>
      <c r="H109" s="150"/>
      <c r="I109" s="150"/>
    </row>
  </sheetData>
  <autoFilter ref="I12:I60"/>
  <mergeCells count="29">
    <mergeCell ref="A105:I105"/>
    <mergeCell ref="A106:I106"/>
    <mergeCell ref="A107:I107"/>
    <mergeCell ref="A108:I108"/>
    <mergeCell ref="A109:I109"/>
    <mergeCell ref="R64:U64"/>
    <mergeCell ref="C103:E103"/>
    <mergeCell ref="A81:I81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77:I77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220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221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42886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customHeight="1">
      <c r="A19" s="29">
        <v>4</v>
      </c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5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6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customHeight="1">
      <c r="A22" s="29">
        <v>7</v>
      </c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customHeight="1">
      <c r="A23" s="29">
        <v>8</v>
      </c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customHeight="1">
      <c r="A24" s="29">
        <v>9</v>
      </c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10</v>
      </c>
      <c r="B25" s="73" t="s">
        <v>68</v>
      </c>
      <c r="C25" s="74" t="s">
        <v>34</v>
      </c>
      <c r="D25" s="73" t="s">
        <v>157</v>
      </c>
      <c r="E25" s="48">
        <v>0.1</v>
      </c>
      <c r="F25" s="75">
        <f>SUM(E25*365)</f>
        <v>36.5</v>
      </c>
      <c r="G25" s="75">
        <v>147.03</v>
      </c>
      <c r="H25" s="76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11</v>
      </c>
      <c r="B26" s="81" t="s">
        <v>23</v>
      </c>
      <c r="C26" s="74" t="s">
        <v>24</v>
      </c>
      <c r="D26" s="81" t="s">
        <v>157</v>
      </c>
      <c r="E26" s="48">
        <v>4224.3999999999996</v>
      </c>
      <c r="F26" s="75">
        <f>SUM(E26*12)</f>
        <v>50692.799999999996</v>
      </c>
      <c r="G26" s="75">
        <v>4.59</v>
      </c>
      <c r="H26" s="76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39" t="s">
        <v>92</v>
      </c>
      <c r="B27" s="139"/>
      <c r="C27" s="139"/>
      <c r="D27" s="139"/>
      <c r="E27" s="139"/>
      <c r="F27" s="139"/>
      <c r="G27" s="139"/>
      <c r="H27" s="139"/>
      <c r="I27" s="139"/>
      <c r="J27" s="22"/>
      <c r="K27" s="8"/>
      <c r="L27" s="8"/>
      <c r="M27" s="8"/>
    </row>
    <row r="28" spans="1:13" ht="15.75" customHeight="1">
      <c r="A28" s="29"/>
      <c r="B28" s="96" t="s">
        <v>28</v>
      </c>
      <c r="C28" s="74"/>
      <c r="D28" s="73"/>
      <c r="E28" s="48"/>
      <c r="F28" s="75"/>
      <c r="G28" s="75"/>
      <c r="H28" s="76"/>
      <c r="I28" s="13"/>
      <c r="J28" s="22"/>
      <c r="K28" s="8"/>
      <c r="L28" s="8"/>
      <c r="M28" s="8"/>
    </row>
    <row r="29" spans="1:13" ht="15.75" customHeight="1">
      <c r="A29" s="29">
        <v>12</v>
      </c>
      <c r="B29" s="73" t="s">
        <v>125</v>
      </c>
      <c r="C29" s="74" t="s">
        <v>126</v>
      </c>
      <c r="D29" s="73" t="s">
        <v>127</v>
      </c>
      <c r="E29" s="75">
        <v>1414.6</v>
      </c>
      <c r="F29" s="75">
        <f>SUM(E29*52/1000)</f>
        <v>73.559200000000004</v>
      </c>
      <c r="G29" s="75">
        <v>155.88999999999999</v>
      </c>
      <c r="H29" s="76">
        <f t="shared" ref="H29:H33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13</v>
      </c>
      <c r="B30" s="73" t="s">
        <v>166</v>
      </c>
      <c r="C30" s="74" t="s">
        <v>126</v>
      </c>
      <c r="D30" s="73" t="s">
        <v>128</v>
      </c>
      <c r="E30" s="75">
        <v>632.4</v>
      </c>
      <c r="F30" s="75">
        <f>SUM(E30*78/1000)</f>
        <v>49.327199999999998</v>
      </c>
      <c r="G30" s="75">
        <v>258.63</v>
      </c>
      <c r="H30" s="76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customHeight="1">
      <c r="A31" s="29">
        <v>14</v>
      </c>
      <c r="B31" s="73" t="s">
        <v>27</v>
      </c>
      <c r="C31" s="74" t="s">
        <v>126</v>
      </c>
      <c r="D31" s="73" t="s">
        <v>57</v>
      </c>
      <c r="E31" s="75">
        <v>1414.6</v>
      </c>
      <c r="F31" s="75">
        <f>SUM(E31/1000)</f>
        <v>1.4145999999999999</v>
      </c>
      <c r="G31" s="75">
        <v>3020.33</v>
      </c>
      <c r="H31" s="76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15</v>
      </c>
      <c r="B32" s="73" t="s">
        <v>129</v>
      </c>
      <c r="C32" s="74" t="s">
        <v>42</v>
      </c>
      <c r="D32" s="73" t="s">
        <v>67</v>
      </c>
      <c r="E32" s="75">
        <v>6</v>
      </c>
      <c r="F32" s="75">
        <f>SUM(E32*155/100)</f>
        <v>9.3000000000000007</v>
      </c>
      <c r="G32" s="75">
        <v>1302.02</v>
      </c>
      <c r="H32" s="76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16</v>
      </c>
      <c r="B33" s="73" t="s">
        <v>130</v>
      </c>
      <c r="C33" s="74" t="s">
        <v>31</v>
      </c>
      <c r="D33" s="73" t="s">
        <v>67</v>
      </c>
      <c r="E33" s="80">
        <v>0.33333333333333331</v>
      </c>
      <c r="F33" s="75">
        <f>155/3</f>
        <v>51.666666666666664</v>
      </c>
      <c r="G33" s="75">
        <v>56.69</v>
      </c>
      <c r="H33" s="76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73" t="s">
        <v>69</v>
      </c>
      <c r="C34" s="74" t="s">
        <v>34</v>
      </c>
      <c r="D34" s="73" t="s">
        <v>71</v>
      </c>
      <c r="E34" s="48"/>
      <c r="F34" s="75">
        <v>4</v>
      </c>
      <c r="G34" s="75">
        <v>191.32</v>
      </c>
      <c r="H34" s="76">
        <f t="shared" ref="H34:H35" si="4">SUM(F34*G34/1000)</f>
        <v>0.76527999999999996</v>
      </c>
      <c r="I34" s="13">
        <v>0</v>
      </c>
      <c r="J34" s="23"/>
    </row>
    <row r="35" spans="1:14" ht="15.75" hidden="1" customHeight="1">
      <c r="A35" s="29"/>
      <c r="B35" s="73" t="s">
        <v>70</v>
      </c>
      <c r="C35" s="74" t="s">
        <v>33</v>
      </c>
      <c r="D35" s="73" t="s">
        <v>71</v>
      </c>
      <c r="E35" s="48"/>
      <c r="F35" s="75">
        <v>3</v>
      </c>
      <c r="G35" s="75">
        <v>1136.33</v>
      </c>
      <c r="H35" s="76">
        <f t="shared" si="4"/>
        <v>3.4089899999999997</v>
      </c>
      <c r="I35" s="13">
        <v>0</v>
      </c>
      <c r="J35" s="23"/>
    </row>
    <row r="36" spans="1:14" ht="15.75" hidden="1" customHeight="1">
      <c r="A36" s="29"/>
      <c r="B36" s="96" t="s">
        <v>5</v>
      </c>
      <c r="C36" s="74"/>
      <c r="D36" s="73"/>
      <c r="E36" s="48"/>
      <c r="F36" s="75"/>
      <c r="G36" s="75"/>
      <c r="H36" s="76" t="s">
        <v>146</v>
      </c>
      <c r="I36" s="13"/>
      <c r="J36" s="23"/>
    </row>
    <row r="37" spans="1:14" ht="15.75" hidden="1" customHeight="1">
      <c r="A37" s="29">
        <v>8</v>
      </c>
      <c r="B37" s="73" t="s">
        <v>26</v>
      </c>
      <c r="C37" s="74" t="s">
        <v>33</v>
      </c>
      <c r="D37" s="73"/>
      <c r="E37" s="48"/>
      <c r="F37" s="75">
        <v>20</v>
      </c>
      <c r="G37" s="75">
        <v>1527.22</v>
      </c>
      <c r="H37" s="76">
        <f t="shared" ref="H37:H43" si="5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73" t="s">
        <v>72</v>
      </c>
      <c r="C38" s="74" t="s">
        <v>29</v>
      </c>
      <c r="D38" s="73" t="s">
        <v>182</v>
      </c>
      <c r="E38" s="75">
        <v>632.4</v>
      </c>
      <c r="F38" s="75">
        <f>SUM(E38*50/1000)</f>
        <v>31.62</v>
      </c>
      <c r="G38" s="75">
        <v>2102.71</v>
      </c>
      <c r="H38" s="76">
        <f t="shared" si="5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73" t="s">
        <v>104</v>
      </c>
      <c r="C39" s="74" t="s">
        <v>132</v>
      </c>
      <c r="D39" s="73" t="s">
        <v>71</v>
      </c>
      <c r="E39" s="48"/>
      <c r="F39" s="75">
        <v>30</v>
      </c>
      <c r="G39" s="75">
        <v>213.2</v>
      </c>
      <c r="H39" s="76">
        <f t="shared" si="5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73" t="s">
        <v>73</v>
      </c>
      <c r="C40" s="74" t="s">
        <v>29</v>
      </c>
      <c r="D40" s="73" t="s">
        <v>133</v>
      </c>
      <c r="E40" s="75">
        <v>106</v>
      </c>
      <c r="F40" s="75">
        <f>SUM(E40*155/1000)</f>
        <v>16.43</v>
      </c>
      <c r="G40" s="75">
        <v>350.75</v>
      </c>
      <c r="H40" s="76">
        <f t="shared" si="5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73" t="s">
        <v>89</v>
      </c>
      <c r="C41" s="74" t="s">
        <v>126</v>
      </c>
      <c r="D41" s="73" t="s">
        <v>183</v>
      </c>
      <c r="E41" s="75">
        <v>106</v>
      </c>
      <c r="F41" s="75">
        <f>SUM(E41*70/1000)</f>
        <v>7.42</v>
      </c>
      <c r="G41" s="75">
        <v>5803.28</v>
      </c>
      <c r="H41" s="76">
        <f t="shared" si="5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73" t="s">
        <v>135</v>
      </c>
      <c r="C42" s="74" t="s">
        <v>126</v>
      </c>
      <c r="D42" s="73" t="s">
        <v>74</v>
      </c>
      <c r="E42" s="75">
        <v>106</v>
      </c>
      <c r="F42" s="75">
        <f>SUM(E42*45/1000)</f>
        <v>4.7699999999999996</v>
      </c>
      <c r="G42" s="75">
        <v>428.7</v>
      </c>
      <c r="H42" s="76">
        <f t="shared" si="5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73" t="s">
        <v>75</v>
      </c>
      <c r="C43" s="74" t="s">
        <v>34</v>
      </c>
      <c r="D43" s="73"/>
      <c r="E43" s="48"/>
      <c r="F43" s="75">
        <v>0.9</v>
      </c>
      <c r="G43" s="75">
        <v>798</v>
      </c>
      <c r="H43" s="76">
        <f t="shared" si="5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0" t="s">
        <v>152</v>
      </c>
      <c r="B44" s="141"/>
      <c r="C44" s="141"/>
      <c r="D44" s="141"/>
      <c r="E44" s="141"/>
      <c r="F44" s="141"/>
      <c r="G44" s="141"/>
      <c r="H44" s="141"/>
      <c r="I44" s="142"/>
      <c r="J44" s="23"/>
      <c r="L44" s="19"/>
      <c r="M44" s="20"/>
      <c r="N44" s="21"/>
    </row>
    <row r="45" spans="1:14" ht="15.75" customHeight="1">
      <c r="A45" s="29">
        <v>17</v>
      </c>
      <c r="B45" s="73" t="s">
        <v>184</v>
      </c>
      <c r="C45" s="74" t="s">
        <v>126</v>
      </c>
      <c r="D45" s="73" t="s">
        <v>44</v>
      </c>
      <c r="E45" s="48">
        <v>1150.5999999999999</v>
      </c>
      <c r="F45" s="75">
        <f>SUM(E45*2/1000)</f>
        <v>2.3011999999999997</v>
      </c>
      <c r="G45" s="13">
        <v>849.49</v>
      </c>
      <c r="H45" s="76">
        <f t="shared" ref="H45:H53" si="6">SUM(F45*G45/1000)</f>
        <v>1.9548463879999998</v>
      </c>
      <c r="I45" s="13">
        <f t="shared" ref="I45:I47" si="7">F45/2*G45</f>
        <v>977.42319399999985</v>
      </c>
      <c r="J45" s="23"/>
      <c r="L45" s="19"/>
      <c r="M45" s="20"/>
      <c r="N45" s="21"/>
    </row>
    <row r="46" spans="1:14" ht="15.75" customHeight="1">
      <c r="A46" s="29">
        <v>18</v>
      </c>
      <c r="B46" s="73" t="s">
        <v>37</v>
      </c>
      <c r="C46" s="74" t="s">
        <v>126</v>
      </c>
      <c r="D46" s="73" t="s">
        <v>44</v>
      </c>
      <c r="E46" s="48">
        <v>108.96</v>
      </c>
      <c r="F46" s="75">
        <f>SUM(E46*2/1000)</f>
        <v>0.21791999999999997</v>
      </c>
      <c r="G46" s="13">
        <v>579.48</v>
      </c>
      <c r="H46" s="76">
        <f t="shared" si="6"/>
        <v>0.12628028159999999</v>
      </c>
      <c r="I46" s="13">
        <f t="shared" si="7"/>
        <v>63.140140799999998</v>
      </c>
      <c r="J46" s="23"/>
      <c r="L46" s="19"/>
      <c r="M46" s="20"/>
      <c r="N46" s="21"/>
    </row>
    <row r="47" spans="1:14" ht="15.75" customHeight="1">
      <c r="A47" s="29">
        <v>19</v>
      </c>
      <c r="B47" s="73" t="s">
        <v>38</v>
      </c>
      <c r="C47" s="74" t="s">
        <v>126</v>
      </c>
      <c r="D47" s="73" t="s">
        <v>44</v>
      </c>
      <c r="E47" s="48">
        <v>4224.3999999999996</v>
      </c>
      <c r="F47" s="75">
        <f>SUM(E47*2/1000)</f>
        <v>8.4487999999999985</v>
      </c>
      <c r="G47" s="13">
        <v>579.48</v>
      </c>
      <c r="H47" s="76">
        <f t="shared" si="6"/>
        <v>4.895910623999999</v>
      </c>
      <c r="I47" s="13">
        <f t="shared" si="7"/>
        <v>2447.9553119999996</v>
      </c>
      <c r="J47" s="23"/>
      <c r="L47" s="19"/>
      <c r="M47" s="20"/>
      <c r="N47" s="21"/>
    </row>
    <row r="48" spans="1:14" ht="15.75" customHeight="1">
      <c r="A48" s="29">
        <v>20</v>
      </c>
      <c r="B48" s="73" t="s">
        <v>39</v>
      </c>
      <c r="C48" s="74" t="s">
        <v>126</v>
      </c>
      <c r="D48" s="73" t="s">
        <v>44</v>
      </c>
      <c r="E48" s="48">
        <v>3059.7</v>
      </c>
      <c r="F48" s="75">
        <f>SUM(E48*2/1000)</f>
        <v>6.1193999999999997</v>
      </c>
      <c r="G48" s="13">
        <v>606.77</v>
      </c>
      <c r="H48" s="76">
        <f t="shared" si="6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customHeight="1">
      <c r="A49" s="29">
        <v>21</v>
      </c>
      <c r="B49" s="73" t="s">
        <v>60</v>
      </c>
      <c r="C49" s="74" t="s">
        <v>126</v>
      </c>
      <c r="D49" s="73" t="s">
        <v>167</v>
      </c>
      <c r="E49" s="48">
        <v>1150.5999999999999</v>
      </c>
      <c r="F49" s="75">
        <f>SUM(E49*5/1000)</f>
        <v>5.7530000000000001</v>
      </c>
      <c r="G49" s="13">
        <v>1213.55</v>
      </c>
      <c r="H49" s="76">
        <f t="shared" si="6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73" t="s">
        <v>136</v>
      </c>
      <c r="C50" s="74" t="s">
        <v>126</v>
      </c>
      <c r="D50" s="73" t="s">
        <v>44</v>
      </c>
      <c r="E50" s="48">
        <v>1150.5999999999999</v>
      </c>
      <c r="F50" s="75">
        <f>SUM(E50*2/1000)</f>
        <v>2.3011999999999997</v>
      </c>
      <c r="G50" s="13">
        <v>1213.55</v>
      </c>
      <c r="H50" s="76">
        <f t="shared" si="6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73" t="s">
        <v>137</v>
      </c>
      <c r="C51" s="74" t="s">
        <v>40</v>
      </c>
      <c r="D51" s="73" t="s">
        <v>44</v>
      </c>
      <c r="E51" s="48">
        <v>30</v>
      </c>
      <c r="F51" s="75">
        <f>SUM(E51*2/100)</f>
        <v>0.6</v>
      </c>
      <c r="G51" s="13">
        <v>2730.49</v>
      </c>
      <c r="H51" s="76">
        <f t="shared" si="6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73" t="s">
        <v>41</v>
      </c>
      <c r="C52" s="74" t="s">
        <v>42</v>
      </c>
      <c r="D52" s="73" t="s">
        <v>44</v>
      </c>
      <c r="E52" s="48">
        <v>1</v>
      </c>
      <c r="F52" s="75">
        <v>0.02</v>
      </c>
      <c r="G52" s="13">
        <v>5652.13</v>
      </c>
      <c r="H52" s="76">
        <f t="shared" si="6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73" t="s">
        <v>43</v>
      </c>
      <c r="C53" s="74" t="s">
        <v>138</v>
      </c>
      <c r="D53" s="73" t="s">
        <v>76</v>
      </c>
      <c r="E53" s="48">
        <v>158</v>
      </c>
      <c r="F53" s="75">
        <f>SUM(E53)*3</f>
        <v>474</v>
      </c>
      <c r="G53" s="13">
        <v>65.67</v>
      </c>
      <c r="H53" s="76">
        <f t="shared" si="6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0" t="s">
        <v>153</v>
      </c>
      <c r="B54" s="141"/>
      <c r="C54" s="141"/>
      <c r="D54" s="141"/>
      <c r="E54" s="141"/>
      <c r="F54" s="141"/>
      <c r="G54" s="141"/>
      <c r="H54" s="141"/>
      <c r="I54" s="142"/>
      <c r="J54" s="23"/>
      <c r="L54" s="19"/>
      <c r="M54" s="20"/>
      <c r="N54" s="21"/>
    </row>
    <row r="55" spans="1:22" ht="15.75" hidden="1" customHeight="1">
      <c r="A55" s="29"/>
      <c r="B55" s="96" t="s">
        <v>45</v>
      </c>
      <c r="C55" s="74"/>
      <c r="D55" s="73"/>
      <c r="E55" s="48"/>
      <c r="F55" s="75"/>
      <c r="G55" s="75"/>
      <c r="H55" s="76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73" t="s">
        <v>186</v>
      </c>
      <c r="C56" s="74" t="s">
        <v>117</v>
      </c>
      <c r="D56" s="73" t="s">
        <v>187</v>
      </c>
      <c r="E56" s="105">
        <v>6</v>
      </c>
      <c r="F56" s="13">
        <f>E56*8/100</f>
        <v>0.48</v>
      </c>
      <c r="G56" s="75">
        <v>1547.28</v>
      </c>
      <c r="H56" s="76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106"/>
      <c r="B57" s="73" t="s">
        <v>109</v>
      </c>
      <c r="C57" s="74" t="s">
        <v>110</v>
      </c>
      <c r="D57" s="73" t="s">
        <v>44</v>
      </c>
      <c r="E57" s="48">
        <v>6</v>
      </c>
      <c r="F57" s="75">
        <v>12</v>
      </c>
      <c r="G57" s="82">
        <v>180.78</v>
      </c>
      <c r="H57" s="76">
        <f t="shared" ref="H57" si="8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97" t="s">
        <v>46</v>
      </c>
      <c r="C58" s="83"/>
      <c r="D58" s="84"/>
      <c r="E58" s="85"/>
      <c r="F58" s="87"/>
      <c r="G58" s="13"/>
      <c r="H58" s="89"/>
      <c r="I58" s="13"/>
      <c r="J58" s="23"/>
      <c r="L58" s="19"/>
      <c r="M58" s="20"/>
      <c r="N58" s="21"/>
    </row>
    <row r="59" spans="1:22" ht="15.75" customHeight="1">
      <c r="A59" s="29">
        <v>22</v>
      </c>
      <c r="B59" s="84" t="s">
        <v>105</v>
      </c>
      <c r="C59" s="83" t="s">
        <v>25</v>
      </c>
      <c r="D59" s="84"/>
      <c r="E59" s="85">
        <v>232.6</v>
      </c>
      <c r="F59" s="86">
        <f>E59*12</f>
        <v>2791.2</v>
      </c>
      <c r="G59" s="107">
        <v>2.5960000000000001</v>
      </c>
      <c r="H59" s="87">
        <f>G59*F59</f>
        <v>7245.9551999999994</v>
      </c>
      <c r="I59" s="13">
        <f>F59/12*G59</f>
        <v>603.82960000000003</v>
      </c>
      <c r="J59" s="23"/>
      <c r="L59" s="19"/>
    </row>
    <row r="60" spans="1:22" ht="15.75" customHeight="1">
      <c r="A60" s="29"/>
      <c r="B60" s="97" t="s">
        <v>48</v>
      </c>
      <c r="C60" s="83"/>
      <c r="D60" s="84"/>
      <c r="E60" s="85"/>
      <c r="F60" s="86"/>
      <c r="G60" s="86"/>
      <c r="H60" s="87" t="s">
        <v>146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23</v>
      </c>
      <c r="B61" s="14" t="s">
        <v>49</v>
      </c>
      <c r="C61" s="16" t="s">
        <v>138</v>
      </c>
      <c r="D61" s="14" t="s">
        <v>71</v>
      </c>
      <c r="E61" s="18">
        <v>15</v>
      </c>
      <c r="F61" s="75">
        <v>15</v>
      </c>
      <c r="G61" s="13">
        <v>209.41</v>
      </c>
      <c r="H61" s="90">
        <f t="shared" ref="H61:H68" si="9">SUM(F61*G61/1000)</f>
        <v>3.1411500000000001</v>
      </c>
      <c r="I61" s="13">
        <f>G61</f>
        <v>209.41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50</v>
      </c>
      <c r="C62" s="16" t="s">
        <v>138</v>
      </c>
      <c r="D62" s="14" t="s">
        <v>71</v>
      </c>
      <c r="E62" s="18">
        <v>5</v>
      </c>
      <c r="F62" s="75">
        <v>5</v>
      </c>
      <c r="G62" s="13">
        <v>71.790000000000006</v>
      </c>
      <c r="H62" s="90">
        <f t="shared" si="9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customHeight="1">
      <c r="A63" s="29">
        <v>24</v>
      </c>
      <c r="B63" s="14" t="s">
        <v>51</v>
      </c>
      <c r="C63" s="16" t="s">
        <v>140</v>
      </c>
      <c r="D63" s="14" t="s">
        <v>57</v>
      </c>
      <c r="E63" s="48">
        <v>18281</v>
      </c>
      <c r="F63" s="13">
        <f>SUM(E63/100)</f>
        <v>182.81</v>
      </c>
      <c r="G63" s="13">
        <v>199.77</v>
      </c>
      <c r="H63" s="90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customHeight="1">
      <c r="A64" s="29">
        <v>25</v>
      </c>
      <c r="B64" s="14" t="s">
        <v>52</v>
      </c>
      <c r="C64" s="16" t="s">
        <v>141</v>
      </c>
      <c r="D64" s="14"/>
      <c r="E64" s="48">
        <v>18281</v>
      </c>
      <c r="F64" s="13">
        <f>SUM(E64/1000)</f>
        <v>18.280999999999999</v>
      </c>
      <c r="G64" s="13">
        <v>155.57</v>
      </c>
      <c r="H64" s="90">
        <f t="shared" si="9"/>
        <v>2.8439751699999998</v>
      </c>
      <c r="I64" s="13">
        <f t="shared" ref="I64:I67" si="10">F64*G64</f>
        <v>2843.9751699999997</v>
      </c>
    </row>
    <row r="65" spans="1:9" ht="15.75" customHeight="1">
      <c r="A65" s="29">
        <v>26</v>
      </c>
      <c r="B65" s="14" t="s">
        <v>53</v>
      </c>
      <c r="C65" s="16" t="s">
        <v>82</v>
      </c>
      <c r="D65" s="14" t="s">
        <v>57</v>
      </c>
      <c r="E65" s="48">
        <v>2730</v>
      </c>
      <c r="F65" s="13">
        <f>SUM(E65/100)</f>
        <v>27.3</v>
      </c>
      <c r="G65" s="13">
        <v>1953.52</v>
      </c>
      <c r="H65" s="90">
        <f t="shared" si="9"/>
        <v>53.331095999999995</v>
      </c>
      <c r="I65" s="13">
        <f t="shared" si="10"/>
        <v>53331.095999999998</v>
      </c>
    </row>
    <row r="66" spans="1:9" ht="15.75" customHeight="1">
      <c r="A66" s="29">
        <v>27</v>
      </c>
      <c r="B66" s="91" t="s">
        <v>142</v>
      </c>
      <c r="C66" s="16" t="s">
        <v>34</v>
      </c>
      <c r="D66" s="14"/>
      <c r="E66" s="48">
        <v>16.399999999999999</v>
      </c>
      <c r="F66" s="13">
        <f>SUM(E66)</f>
        <v>16.399999999999999</v>
      </c>
      <c r="G66" s="13">
        <v>40.270000000000003</v>
      </c>
      <c r="H66" s="90">
        <f t="shared" si="9"/>
        <v>0.66042800000000002</v>
      </c>
      <c r="I66" s="13">
        <f t="shared" si="10"/>
        <v>660.428</v>
      </c>
    </row>
    <row r="67" spans="1:9" ht="15.75" customHeight="1">
      <c r="A67" s="29">
        <v>28</v>
      </c>
      <c r="B67" s="91" t="s">
        <v>143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37.71</v>
      </c>
      <c r="H67" s="90">
        <f t="shared" si="9"/>
        <v>0.61844399999999999</v>
      </c>
      <c r="I67" s="13">
        <f t="shared" si="10"/>
        <v>618.44399999999996</v>
      </c>
    </row>
    <row r="68" spans="1:9" ht="15.75" hidden="1" customHeight="1">
      <c r="A68" s="29"/>
      <c r="B68" s="14" t="s">
        <v>61</v>
      </c>
      <c r="C68" s="16" t="s">
        <v>62</v>
      </c>
      <c r="D68" s="14" t="s">
        <v>57</v>
      </c>
      <c r="E68" s="18">
        <v>7</v>
      </c>
      <c r="F68" s="75">
        <f>SUM(E68)</f>
        <v>7</v>
      </c>
      <c r="G68" s="13">
        <v>46.97</v>
      </c>
      <c r="H68" s="90">
        <f t="shared" si="9"/>
        <v>0.32878999999999997</v>
      </c>
      <c r="I68" s="13">
        <v>0</v>
      </c>
    </row>
    <row r="69" spans="1:9" ht="15.75" hidden="1" customHeight="1">
      <c r="A69" s="29"/>
      <c r="B69" s="104" t="s">
        <v>78</v>
      </c>
      <c r="C69" s="16"/>
      <c r="D69" s="14"/>
      <c r="E69" s="18"/>
      <c r="F69" s="13"/>
      <c r="G69" s="13"/>
      <c r="H69" s="90" t="s">
        <v>146</v>
      </c>
      <c r="I69" s="13"/>
    </row>
    <row r="70" spans="1:9" ht="15.75" hidden="1" customHeight="1">
      <c r="A70" s="29"/>
      <c r="B70" s="14" t="s">
        <v>96</v>
      </c>
      <c r="C70" s="16" t="s">
        <v>31</v>
      </c>
      <c r="D70" s="14"/>
      <c r="E70" s="18">
        <v>1</v>
      </c>
      <c r="F70" s="75">
        <f>SUM(E70)</f>
        <v>1</v>
      </c>
      <c r="G70" s="13">
        <v>337.58</v>
      </c>
      <c r="H70" s="90">
        <f t="shared" ref="H70" si="11">SUM(F70*G70/1000)</f>
        <v>0.33757999999999999</v>
      </c>
      <c r="I70" s="13">
        <v>0</v>
      </c>
    </row>
    <row r="71" spans="1:9" ht="15.75" hidden="1" customHeight="1">
      <c r="A71" s="29"/>
      <c r="B71" s="14" t="s">
        <v>80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90">
        <f>F71*G71/1000</f>
        <v>1.6063800000000001</v>
      </c>
      <c r="I71" s="13">
        <v>0</v>
      </c>
    </row>
    <row r="72" spans="1:9" ht="15.75" hidden="1" customHeight="1">
      <c r="A72" s="29"/>
      <c r="B72" s="92" t="s">
        <v>81</v>
      </c>
      <c r="C72" s="16"/>
      <c r="D72" s="14"/>
      <c r="E72" s="18"/>
      <c r="F72" s="13"/>
      <c r="G72" s="13" t="s">
        <v>146</v>
      </c>
      <c r="H72" s="90" t="s">
        <v>146</v>
      </c>
      <c r="I72" s="13"/>
    </row>
    <row r="73" spans="1:9" ht="15.75" hidden="1" customHeight="1">
      <c r="A73" s="29"/>
      <c r="B73" s="42" t="s">
        <v>147</v>
      </c>
      <c r="C73" s="16" t="s">
        <v>82</v>
      </c>
      <c r="D73" s="14"/>
      <c r="E73" s="18"/>
      <c r="F73" s="13">
        <v>1.35</v>
      </c>
      <c r="G73" s="13">
        <v>2494</v>
      </c>
      <c r="H73" s="90">
        <f t="shared" ref="H73" si="12">SUM(F73*G73/1000)</f>
        <v>3.3669000000000002</v>
      </c>
      <c r="I73" s="13">
        <v>0</v>
      </c>
    </row>
    <row r="74" spans="1:9" ht="15.75" customHeight="1">
      <c r="A74" s="29"/>
      <c r="B74" s="78" t="s">
        <v>144</v>
      </c>
      <c r="C74" s="92"/>
      <c r="D74" s="31"/>
      <c r="E74" s="32"/>
      <c r="F74" s="79"/>
      <c r="G74" s="79"/>
      <c r="H74" s="93">
        <f>SUM(H56:H73)</f>
        <v>7351.9809012699989</v>
      </c>
      <c r="I74" s="79"/>
    </row>
    <row r="75" spans="1:9" ht="15.75" customHeight="1">
      <c r="A75" s="29">
        <v>29</v>
      </c>
      <c r="B75" s="73" t="s">
        <v>145</v>
      </c>
      <c r="C75" s="16"/>
      <c r="D75" s="14"/>
      <c r="E75" s="67"/>
      <c r="F75" s="13">
        <v>1</v>
      </c>
      <c r="G75" s="13">
        <v>17359.8</v>
      </c>
      <c r="H75" s="90">
        <f>G75*F75/1000</f>
        <v>17.3598</v>
      </c>
      <c r="I75" s="13">
        <f>G75</f>
        <v>17359.8</v>
      </c>
    </row>
    <row r="76" spans="1:9" ht="15.75" customHeight="1">
      <c r="A76" s="129" t="s">
        <v>154</v>
      </c>
      <c r="B76" s="130"/>
      <c r="C76" s="130"/>
      <c r="D76" s="130"/>
      <c r="E76" s="130"/>
      <c r="F76" s="130"/>
      <c r="G76" s="130"/>
      <c r="H76" s="130"/>
      <c r="I76" s="131"/>
    </row>
    <row r="77" spans="1:9" ht="15.75" customHeight="1">
      <c r="A77" s="29">
        <v>30</v>
      </c>
      <c r="B77" s="73" t="s">
        <v>148</v>
      </c>
      <c r="C77" s="16" t="s">
        <v>58</v>
      </c>
      <c r="D77" s="94" t="s">
        <v>59</v>
      </c>
      <c r="E77" s="13">
        <v>4224.3999999999996</v>
      </c>
      <c r="F77" s="13">
        <f>SUM(E77*12)</f>
        <v>50692.799999999996</v>
      </c>
      <c r="G77" s="13">
        <v>2.1</v>
      </c>
      <c r="H77" s="90">
        <f>SUM(F77*G77/1000)</f>
        <v>106.45487999999999</v>
      </c>
      <c r="I77" s="13">
        <f>F77/12*G77</f>
        <v>8871.24</v>
      </c>
    </row>
    <row r="78" spans="1:9" ht="31.5" customHeight="1">
      <c r="A78" s="29">
        <v>31</v>
      </c>
      <c r="B78" s="14" t="s">
        <v>83</v>
      </c>
      <c r="C78" s="16"/>
      <c r="D78" s="94" t="s">
        <v>59</v>
      </c>
      <c r="E78" s="48">
        <v>4224.3999999999996</v>
      </c>
      <c r="F78" s="13">
        <f>E78*12</f>
        <v>50692.799999999996</v>
      </c>
      <c r="G78" s="13">
        <v>1.63</v>
      </c>
      <c r="H78" s="90">
        <f>F78*G78/1000</f>
        <v>82.629263999999978</v>
      </c>
      <c r="I78" s="13">
        <f>F78/12*G78</f>
        <v>6885.771999999999</v>
      </c>
    </row>
    <row r="79" spans="1:9" ht="15.75" customHeight="1">
      <c r="A79" s="102"/>
      <c r="B79" s="34" t="s">
        <v>86</v>
      </c>
      <c r="C79" s="35"/>
      <c r="D79" s="15"/>
      <c r="E79" s="15"/>
      <c r="F79" s="15"/>
      <c r="G79" s="18"/>
      <c r="H79" s="18"/>
      <c r="I79" s="32">
        <f>SUM(I16+I17+I18+I19+I20+I21+I22+I23+I24+I25+I26+I29+I30+I31+I32+I33+I45+I46+I47+I48+I49+I59+I61+I63+I64+I65+I66+I67+I75+I77+I78)</f>
        <v>183859.18884735554</v>
      </c>
    </row>
    <row r="80" spans="1:9" ht="15.75" customHeight="1">
      <c r="A80" s="147" t="s">
        <v>64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29">
        <v>20</v>
      </c>
      <c r="B81" s="57" t="s">
        <v>197</v>
      </c>
      <c r="C81" s="58" t="s">
        <v>100</v>
      </c>
      <c r="D81" s="117"/>
      <c r="E81" s="118"/>
      <c r="F81" s="118">
        <f>(3*7+5+10+10+10+10+20+20+5+10+20+3)/3</f>
        <v>48</v>
      </c>
      <c r="G81" s="118">
        <v>1120.8900000000001</v>
      </c>
      <c r="H81" s="119">
        <f t="shared" ref="H81:H82" si="13">G81*F81/1000</f>
        <v>53.802720000000001</v>
      </c>
      <c r="I81" s="13">
        <f>G81*(10/3)</f>
        <v>3736.3000000000006</v>
      </c>
    </row>
    <row r="82" spans="1:9" ht="15.75" customHeight="1">
      <c r="A82" s="29">
        <v>21</v>
      </c>
      <c r="B82" s="115" t="s">
        <v>198</v>
      </c>
      <c r="C82" s="116" t="s">
        <v>138</v>
      </c>
      <c r="D82" s="42"/>
      <c r="E82" s="118"/>
      <c r="F82" s="118">
        <v>640</v>
      </c>
      <c r="G82" s="118">
        <v>53.42</v>
      </c>
      <c r="H82" s="119">
        <f t="shared" si="13"/>
        <v>34.188800000000001</v>
      </c>
      <c r="I82" s="13">
        <f>G82*80</f>
        <v>4273.6000000000004</v>
      </c>
    </row>
    <row r="83" spans="1:9" ht="31.5" customHeight="1">
      <c r="A83" s="29">
        <v>22</v>
      </c>
      <c r="B83" s="46" t="s">
        <v>210</v>
      </c>
      <c r="C83" s="49" t="s">
        <v>87</v>
      </c>
      <c r="D83" s="42"/>
      <c r="E83" s="118"/>
      <c r="F83" s="118">
        <v>20.5</v>
      </c>
      <c r="G83" s="118">
        <v>1272</v>
      </c>
      <c r="H83" s="119">
        <f>G83*F83/1000</f>
        <v>26.076000000000001</v>
      </c>
      <c r="I83" s="13">
        <f t="shared" ref="I83" si="14">G83</f>
        <v>1272</v>
      </c>
    </row>
    <row r="84" spans="1:9" ht="15.75" customHeight="1">
      <c r="A84" s="29">
        <v>23</v>
      </c>
      <c r="B84" s="46" t="s">
        <v>217</v>
      </c>
      <c r="C84" s="49" t="s">
        <v>90</v>
      </c>
      <c r="D84" s="42"/>
      <c r="E84" s="13"/>
      <c r="F84" s="13">
        <v>4</v>
      </c>
      <c r="G84" s="13">
        <v>195.85</v>
      </c>
      <c r="H84" s="90">
        <f>G84*F84/1000</f>
        <v>0.78339999999999999</v>
      </c>
      <c r="I84" s="13">
        <f>G84*2</f>
        <v>391.7</v>
      </c>
    </row>
    <row r="85" spans="1:9" ht="15.75" customHeight="1">
      <c r="A85" s="29">
        <v>24</v>
      </c>
      <c r="B85" s="46" t="s">
        <v>115</v>
      </c>
      <c r="C85" s="49" t="s">
        <v>116</v>
      </c>
      <c r="D85" s="42"/>
      <c r="E85" s="13"/>
      <c r="F85" s="13">
        <v>1</v>
      </c>
      <c r="G85" s="13">
        <v>206.54</v>
      </c>
      <c r="H85" s="90">
        <f>G85*F85/1000</f>
        <v>0.20654</v>
      </c>
      <c r="I85" s="13">
        <f t="shared" ref="I85:I86" si="15">G85</f>
        <v>206.54</v>
      </c>
    </row>
    <row r="86" spans="1:9" ht="31.5" customHeight="1">
      <c r="A86" s="29">
        <v>25</v>
      </c>
      <c r="B86" s="46" t="s">
        <v>222</v>
      </c>
      <c r="C86" s="49" t="s">
        <v>223</v>
      </c>
      <c r="D86" s="42"/>
      <c r="E86" s="13"/>
      <c r="F86" s="13">
        <v>1</v>
      </c>
      <c r="G86" s="13">
        <v>54.17</v>
      </c>
      <c r="H86" s="90">
        <f t="shared" ref="H86:H88" si="16">G86*F86/1000</f>
        <v>5.4170000000000003E-2</v>
      </c>
      <c r="I86" s="13">
        <f t="shared" si="15"/>
        <v>54.17</v>
      </c>
    </row>
    <row r="87" spans="1:9" ht="15.75" customHeight="1">
      <c r="A87" s="29">
        <v>26</v>
      </c>
      <c r="B87" s="72" t="s">
        <v>224</v>
      </c>
      <c r="C87" s="29" t="s">
        <v>121</v>
      </c>
      <c r="D87" s="42"/>
      <c r="E87" s="13"/>
      <c r="F87" s="13">
        <f>0.5/10</f>
        <v>0.05</v>
      </c>
      <c r="G87" s="13">
        <v>3282.12</v>
      </c>
      <c r="H87" s="90">
        <f t="shared" si="16"/>
        <v>0.164106</v>
      </c>
      <c r="I87" s="13">
        <f>G87*F87</f>
        <v>164.10599999999999</v>
      </c>
    </row>
    <row r="88" spans="1:9" ht="15.75" customHeight="1">
      <c r="A88" s="29">
        <v>27</v>
      </c>
      <c r="B88" s="46" t="s">
        <v>225</v>
      </c>
      <c r="C88" s="95" t="s">
        <v>226</v>
      </c>
      <c r="D88" s="42"/>
      <c r="E88" s="13"/>
      <c r="F88" s="13">
        <f>1/10</f>
        <v>0.1</v>
      </c>
      <c r="G88" s="13">
        <v>10294.950000000001</v>
      </c>
      <c r="H88" s="90">
        <f t="shared" si="16"/>
        <v>1.029495</v>
      </c>
      <c r="I88" s="13">
        <f>G88*0.1</f>
        <v>1029.4950000000001</v>
      </c>
    </row>
    <row r="89" spans="1:9" ht="15.75" customHeight="1">
      <c r="A89" s="29"/>
      <c r="B89" s="40" t="s">
        <v>54</v>
      </c>
      <c r="C89" s="36"/>
      <c r="D89" s="44"/>
      <c r="E89" s="36">
        <v>1</v>
      </c>
      <c r="F89" s="36"/>
      <c r="G89" s="36"/>
      <c r="H89" s="36"/>
      <c r="I89" s="32">
        <f>SUM(I81:I88)</f>
        <v>11127.911000000004</v>
      </c>
    </row>
    <row r="90" spans="1:9" ht="15.75" customHeight="1">
      <c r="A90" s="29"/>
      <c r="B90" s="42" t="s">
        <v>84</v>
      </c>
      <c r="C90" s="15"/>
      <c r="D90" s="15"/>
      <c r="E90" s="37"/>
      <c r="F90" s="37"/>
      <c r="G90" s="38"/>
      <c r="H90" s="38"/>
      <c r="I90" s="17">
        <v>0</v>
      </c>
    </row>
    <row r="91" spans="1:9" ht="15.75" customHeight="1">
      <c r="A91" s="45"/>
      <c r="B91" s="41" t="s">
        <v>180</v>
      </c>
      <c r="C91" s="33"/>
      <c r="D91" s="33"/>
      <c r="E91" s="33"/>
      <c r="F91" s="33"/>
      <c r="G91" s="33"/>
      <c r="H91" s="33"/>
      <c r="I91" s="39">
        <f>I79+I89</f>
        <v>194987.09984735554</v>
      </c>
    </row>
    <row r="92" spans="1:9" ht="15.75" customHeight="1">
      <c r="A92" s="143" t="s">
        <v>227</v>
      </c>
      <c r="B92" s="143"/>
      <c r="C92" s="143"/>
      <c r="D92" s="143"/>
      <c r="E92" s="143"/>
      <c r="F92" s="143"/>
      <c r="G92" s="143"/>
      <c r="H92" s="143"/>
      <c r="I92" s="143"/>
    </row>
    <row r="93" spans="1:9" ht="15.75" customHeight="1">
      <c r="A93" s="56"/>
      <c r="B93" s="144" t="s">
        <v>228</v>
      </c>
      <c r="C93" s="144"/>
      <c r="D93" s="144"/>
      <c r="E93" s="144"/>
      <c r="F93" s="144"/>
      <c r="G93" s="144"/>
      <c r="H93" s="71"/>
      <c r="I93" s="3"/>
    </row>
    <row r="94" spans="1:9" ht="15.75" customHeight="1">
      <c r="A94" s="100"/>
      <c r="B94" s="145" t="s">
        <v>6</v>
      </c>
      <c r="C94" s="145"/>
      <c r="D94" s="145"/>
      <c r="E94" s="145"/>
      <c r="F94" s="145"/>
      <c r="G94" s="145"/>
      <c r="H94" s="24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46" t="s">
        <v>7</v>
      </c>
      <c r="B96" s="146"/>
      <c r="C96" s="146"/>
      <c r="D96" s="146"/>
      <c r="E96" s="146"/>
      <c r="F96" s="146"/>
      <c r="G96" s="146"/>
      <c r="H96" s="146"/>
      <c r="I96" s="146"/>
    </row>
    <row r="97" spans="1:9" ht="15.75" customHeight="1">
      <c r="A97" s="146" t="s">
        <v>8</v>
      </c>
      <c r="B97" s="146"/>
      <c r="C97" s="146"/>
      <c r="D97" s="146"/>
      <c r="E97" s="146"/>
      <c r="F97" s="146"/>
      <c r="G97" s="146"/>
      <c r="H97" s="146"/>
      <c r="I97" s="146"/>
    </row>
    <row r="98" spans="1:9" ht="15.75" customHeight="1">
      <c r="A98" s="138" t="s">
        <v>65</v>
      </c>
      <c r="B98" s="138"/>
      <c r="C98" s="138"/>
      <c r="D98" s="138"/>
      <c r="E98" s="138"/>
      <c r="F98" s="138"/>
      <c r="G98" s="138"/>
      <c r="H98" s="138"/>
      <c r="I98" s="138"/>
    </row>
    <row r="99" spans="1:9" ht="15.75" customHeight="1">
      <c r="A99" s="11"/>
    </row>
    <row r="100" spans="1:9" ht="15.75" customHeight="1">
      <c r="A100" s="151" t="s">
        <v>9</v>
      </c>
      <c r="B100" s="151"/>
      <c r="C100" s="151"/>
      <c r="D100" s="151"/>
      <c r="E100" s="151"/>
      <c r="F100" s="151"/>
      <c r="G100" s="151"/>
      <c r="H100" s="151"/>
      <c r="I100" s="151"/>
    </row>
    <row r="101" spans="1:9" ht="15.75" customHeight="1">
      <c r="A101" s="4"/>
    </row>
    <row r="102" spans="1:9" ht="15.75" customHeight="1">
      <c r="B102" s="101" t="s">
        <v>10</v>
      </c>
      <c r="C102" s="152" t="s">
        <v>98</v>
      </c>
      <c r="D102" s="152"/>
      <c r="E102" s="152"/>
      <c r="F102" s="69"/>
      <c r="I102" s="99"/>
    </row>
    <row r="103" spans="1:9" ht="15.75" customHeight="1">
      <c r="A103" s="100"/>
      <c r="C103" s="145" t="s">
        <v>11</v>
      </c>
      <c r="D103" s="145"/>
      <c r="E103" s="145"/>
      <c r="F103" s="24"/>
      <c r="I103" s="98" t="s">
        <v>12</v>
      </c>
    </row>
    <row r="104" spans="1:9" ht="15.75" customHeight="1">
      <c r="A104" s="25"/>
      <c r="C104" s="12"/>
      <c r="D104" s="12"/>
      <c r="G104" s="12"/>
      <c r="H104" s="12"/>
    </row>
    <row r="105" spans="1:9" ht="15.75" customHeight="1">
      <c r="B105" s="101" t="s">
        <v>13</v>
      </c>
      <c r="C105" s="153"/>
      <c r="D105" s="153"/>
      <c r="E105" s="153"/>
      <c r="F105" s="70"/>
      <c r="I105" s="99"/>
    </row>
    <row r="106" spans="1:9" ht="15.75" customHeight="1">
      <c r="A106" s="100"/>
      <c r="C106" s="128" t="s">
        <v>11</v>
      </c>
      <c r="D106" s="128"/>
      <c r="E106" s="128"/>
      <c r="F106" s="100"/>
      <c r="I106" s="98" t="s">
        <v>12</v>
      </c>
    </row>
    <row r="107" spans="1:9" ht="15.75" customHeight="1">
      <c r="A107" s="4" t="s">
        <v>14</v>
      </c>
    </row>
    <row r="108" spans="1:9" ht="15.75" customHeight="1">
      <c r="A108" s="154" t="s">
        <v>15</v>
      </c>
      <c r="B108" s="154"/>
      <c r="C108" s="154"/>
      <c r="D108" s="154"/>
      <c r="E108" s="154"/>
      <c r="F108" s="154"/>
      <c r="G108" s="154"/>
      <c r="H108" s="154"/>
      <c r="I108" s="154"/>
    </row>
    <row r="109" spans="1:9" ht="45" customHeight="1">
      <c r="A109" s="150" t="s">
        <v>16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30" customHeight="1">
      <c r="A110" s="150" t="s">
        <v>17</v>
      </c>
      <c r="B110" s="150"/>
      <c r="C110" s="150"/>
      <c r="D110" s="150"/>
      <c r="E110" s="150"/>
      <c r="F110" s="150"/>
      <c r="G110" s="150"/>
      <c r="H110" s="150"/>
      <c r="I110" s="150"/>
    </row>
    <row r="111" spans="1:9" ht="30" customHeight="1">
      <c r="A111" s="150" t="s">
        <v>21</v>
      </c>
      <c r="B111" s="150"/>
      <c r="C111" s="150"/>
      <c r="D111" s="150"/>
      <c r="E111" s="150"/>
      <c r="F111" s="150"/>
      <c r="G111" s="150"/>
      <c r="H111" s="150"/>
      <c r="I111" s="150"/>
    </row>
    <row r="112" spans="1:9" ht="15" customHeight="1">
      <c r="A112" s="150" t="s">
        <v>20</v>
      </c>
      <c r="B112" s="150"/>
      <c r="C112" s="150"/>
      <c r="D112" s="150"/>
      <c r="E112" s="150"/>
      <c r="F112" s="150"/>
      <c r="G112" s="150"/>
      <c r="H112" s="150"/>
      <c r="I112" s="150"/>
    </row>
  </sheetData>
  <autoFilter ref="I12:I59"/>
  <mergeCells count="29">
    <mergeCell ref="A108:I108"/>
    <mergeCell ref="A109:I109"/>
    <mergeCell ref="A110:I110"/>
    <mergeCell ref="A111:I111"/>
    <mergeCell ref="A112:I112"/>
    <mergeCell ref="R63:U63"/>
    <mergeCell ref="C106:E106"/>
    <mergeCell ref="A80:I80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229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230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42916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73" t="s">
        <v>68</v>
      </c>
      <c r="C25" s="74" t="s">
        <v>34</v>
      </c>
      <c r="D25" s="73" t="s">
        <v>157</v>
      </c>
      <c r="E25" s="48">
        <v>0.1</v>
      </c>
      <c r="F25" s="75">
        <f>SUM(E25*365)</f>
        <v>36.5</v>
      </c>
      <c r="G25" s="75">
        <v>147.03</v>
      </c>
      <c r="H25" s="76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81" t="s">
        <v>23</v>
      </c>
      <c r="C26" s="74" t="s">
        <v>24</v>
      </c>
      <c r="D26" s="81" t="s">
        <v>157</v>
      </c>
      <c r="E26" s="48">
        <v>4224.3999999999996</v>
      </c>
      <c r="F26" s="75">
        <f>SUM(E26*12)</f>
        <v>50692.799999999996</v>
      </c>
      <c r="G26" s="75">
        <v>4.59</v>
      </c>
      <c r="H26" s="76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39" t="s">
        <v>92</v>
      </c>
      <c r="B27" s="139"/>
      <c r="C27" s="139"/>
      <c r="D27" s="139"/>
      <c r="E27" s="139"/>
      <c r="F27" s="139"/>
      <c r="G27" s="139"/>
      <c r="H27" s="139"/>
      <c r="I27" s="139"/>
      <c r="J27" s="22"/>
      <c r="K27" s="8"/>
      <c r="L27" s="8"/>
      <c r="M27" s="8"/>
    </row>
    <row r="28" spans="1:13" ht="15.75" customHeight="1">
      <c r="A28" s="29"/>
      <c r="B28" s="96" t="s">
        <v>28</v>
      </c>
      <c r="C28" s="74"/>
      <c r="D28" s="73"/>
      <c r="E28" s="48"/>
      <c r="F28" s="75"/>
      <c r="G28" s="75"/>
      <c r="H28" s="76"/>
      <c r="I28" s="13"/>
      <c r="J28" s="22"/>
      <c r="K28" s="8"/>
      <c r="L28" s="8"/>
      <c r="M28" s="8"/>
    </row>
    <row r="29" spans="1:13" ht="15.75" customHeight="1">
      <c r="A29" s="29">
        <v>8</v>
      </c>
      <c r="B29" s="73" t="s">
        <v>125</v>
      </c>
      <c r="C29" s="74" t="s">
        <v>126</v>
      </c>
      <c r="D29" s="73" t="s">
        <v>127</v>
      </c>
      <c r="E29" s="75">
        <v>1414.6</v>
      </c>
      <c r="F29" s="75">
        <f>SUM(E29*52/1000)</f>
        <v>73.559200000000004</v>
      </c>
      <c r="G29" s="75">
        <v>155.88999999999999</v>
      </c>
      <c r="H29" s="76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73" t="s">
        <v>166</v>
      </c>
      <c r="C30" s="74" t="s">
        <v>126</v>
      </c>
      <c r="D30" s="73" t="s">
        <v>128</v>
      </c>
      <c r="E30" s="75">
        <v>632.4</v>
      </c>
      <c r="F30" s="75">
        <f>SUM(E30*78/1000)</f>
        <v>49.327199999999998</v>
      </c>
      <c r="G30" s="75">
        <v>258.63</v>
      </c>
      <c r="H30" s="76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73" t="s">
        <v>27</v>
      </c>
      <c r="C31" s="74" t="s">
        <v>126</v>
      </c>
      <c r="D31" s="73" t="s">
        <v>57</v>
      </c>
      <c r="E31" s="75">
        <v>1414.6</v>
      </c>
      <c r="F31" s="75">
        <f>SUM(E31/1000)</f>
        <v>1.4145999999999999</v>
      </c>
      <c r="G31" s="75">
        <v>3020.33</v>
      </c>
      <c r="H31" s="76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73" t="s">
        <v>129</v>
      </c>
      <c r="C32" s="74" t="s">
        <v>42</v>
      </c>
      <c r="D32" s="73" t="s">
        <v>67</v>
      </c>
      <c r="E32" s="75">
        <v>6</v>
      </c>
      <c r="F32" s="75">
        <f>SUM(E32*155/100)</f>
        <v>9.3000000000000007</v>
      </c>
      <c r="G32" s="75">
        <v>1302.02</v>
      </c>
      <c r="H32" s="76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73" t="s">
        <v>130</v>
      </c>
      <c r="C33" s="74" t="s">
        <v>31</v>
      </c>
      <c r="D33" s="73" t="s">
        <v>67</v>
      </c>
      <c r="E33" s="80">
        <v>0.33333333333333331</v>
      </c>
      <c r="F33" s="75">
        <f>155/3</f>
        <v>51.666666666666664</v>
      </c>
      <c r="G33" s="75">
        <v>56.69</v>
      </c>
      <c r="H33" s="76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73" t="s">
        <v>69</v>
      </c>
      <c r="C34" s="74" t="s">
        <v>34</v>
      </c>
      <c r="D34" s="73" t="s">
        <v>71</v>
      </c>
      <c r="E34" s="48"/>
      <c r="F34" s="75">
        <v>4</v>
      </c>
      <c r="G34" s="75">
        <v>191.32</v>
      </c>
      <c r="H34" s="76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73" t="s">
        <v>70</v>
      </c>
      <c r="C35" s="74" t="s">
        <v>33</v>
      </c>
      <c r="D35" s="73" t="s">
        <v>71</v>
      </c>
      <c r="E35" s="48"/>
      <c r="F35" s="75">
        <v>3</v>
      </c>
      <c r="G35" s="75">
        <v>1136.33</v>
      </c>
      <c r="H35" s="76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96" t="s">
        <v>5</v>
      </c>
      <c r="C36" s="74"/>
      <c r="D36" s="73"/>
      <c r="E36" s="48"/>
      <c r="F36" s="75"/>
      <c r="G36" s="75"/>
      <c r="H36" s="76" t="s">
        <v>146</v>
      </c>
      <c r="I36" s="13"/>
      <c r="J36" s="23"/>
    </row>
    <row r="37" spans="1:14" ht="15.75" hidden="1" customHeight="1">
      <c r="A37" s="29">
        <v>8</v>
      </c>
      <c r="B37" s="73" t="s">
        <v>26</v>
      </c>
      <c r="C37" s="74" t="s">
        <v>33</v>
      </c>
      <c r="D37" s="73"/>
      <c r="E37" s="48"/>
      <c r="F37" s="75">
        <v>20</v>
      </c>
      <c r="G37" s="75">
        <v>1527.22</v>
      </c>
      <c r="H37" s="76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73" t="s">
        <v>72</v>
      </c>
      <c r="C38" s="74" t="s">
        <v>29</v>
      </c>
      <c r="D38" s="73" t="s">
        <v>182</v>
      </c>
      <c r="E38" s="75">
        <v>632.4</v>
      </c>
      <c r="F38" s="75">
        <f>SUM(E38*50/1000)</f>
        <v>31.62</v>
      </c>
      <c r="G38" s="75">
        <v>2102.71</v>
      </c>
      <c r="H38" s="76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73" t="s">
        <v>104</v>
      </c>
      <c r="C39" s="74" t="s">
        <v>132</v>
      </c>
      <c r="D39" s="73" t="s">
        <v>71</v>
      </c>
      <c r="E39" s="48"/>
      <c r="F39" s="75">
        <v>30</v>
      </c>
      <c r="G39" s="75">
        <v>213.2</v>
      </c>
      <c r="H39" s="76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73" t="s">
        <v>73</v>
      </c>
      <c r="C40" s="74" t="s">
        <v>29</v>
      </c>
      <c r="D40" s="73" t="s">
        <v>133</v>
      </c>
      <c r="E40" s="75">
        <v>106</v>
      </c>
      <c r="F40" s="75">
        <f>SUM(E40*155/1000)</f>
        <v>16.43</v>
      </c>
      <c r="G40" s="75">
        <v>350.75</v>
      </c>
      <c r="H40" s="76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73" t="s">
        <v>89</v>
      </c>
      <c r="C41" s="74" t="s">
        <v>126</v>
      </c>
      <c r="D41" s="73" t="s">
        <v>183</v>
      </c>
      <c r="E41" s="75">
        <v>106</v>
      </c>
      <c r="F41" s="75">
        <f>SUM(E41*70/1000)</f>
        <v>7.42</v>
      </c>
      <c r="G41" s="75">
        <v>5803.28</v>
      </c>
      <c r="H41" s="76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73" t="s">
        <v>135</v>
      </c>
      <c r="C42" s="74" t="s">
        <v>126</v>
      </c>
      <c r="D42" s="73" t="s">
        <v>74</v>
      </c>
      <c r="E42" s="75">
        <v>106</v>
      </c>
      <c r="F42" s="75">
        <f>SUM(E42*45/1000)</f>
        <v>4.7699999999999996</v>
      </c>
      <c r="G42" s="75">
        <v>428.7</v>
      </c>
      <c r="H42" s="76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73" t="s">
        <v>75</v>
      </c>
      <c r="C43" s="74" t="s">
        <v>34</v>
      </c>
      <c r="D43" s="73"/>
      <c r="E43" s="48"/>
      <c r="F43" s="75">
        <v>0.9</v>
      </c>
      <c r="G43" s="75">
        <v>798</v>
      </c>
      <c r="H43" s="76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0" t="s">
        <v>152</v>
      </c>
      <c r="B44" s="141"/>
      <c r="C44" s="141"/>
      <c r="D44" s="141"/>
      <c r="E44" s="141"/>
      <c r="F44" s="141"/>
      <c r="G44" s="141"/>
      <c r="H44" s="141"/>
      <c r="I44" s="142"/>
      <c r="J44" s="23"/>
      <c r="L44" s="19"/>
      <c r="M44" s="20"/>
      <c r="N44" s="21"/>
    </row>
    <row r="45" spans="1:14" ht="15.75" hidden="1" customHeight="1">
      <c r="A45" s="29">
        <v>17</v>
      </c>
      <c r="B45" s="73" t="s">
        <v>184</v>
      </c>
      <c r="C45" s="74" t="s">
        <v>126</v>
      </c>
      <c r="D45" s="73" t="s">
        <v>44</v>
      </c>
      <c r="E45" s="48">
        <v>1150.5999999999999</v>
      </c>
      <c r="F45" s="75">
        <f>SUM(E45*2/1000)</f>
        <v>2.3011999999999997</v>
      </c>
      <c r="G45" s="13">
        <v>849.49</v>
      </c>
      <c r="H45" s="76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18</v>
      </c>
      <c r="B46" s="73" t="s">
        <v>37</v>
      </c>
      <c r="C46" s="74" t="s">
        <v>126</v>
      </c>
      <c r="D46" s="73" t="s">
        <v>44</v>
      </c>
      <c r="E46" s="48">
        <v>108.96</v>
      </c>
      <c r="F46" s="75">
        <f>SUM(E46*2/1000)</f>
        <v>0.21791999999999997</v>
      </c>
      <c r="G46" s="13">
        <v>579.48</v>
      </c>
      <c r="H46" s="76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19</v>
      </c>
      <c r="B47" s="73" t="s">
        <v>38</v>
      </c>
      <c r="C47" s="74" t="s">
        <v>126</v>
      </c>
      <c r="D47" s="73" t="s">
        <v>44</v>
      </c>
      <c r="E47" s="48">
        <v>4224.3999999999996</v>
      </c>
      <c r="F47" s="75">
        <f>SUM(E47*2/1000)</f>
        <v>8.4487999999999985</v>
      </c>
      <c r="G47" s="13">
        <v>579.48</v>
      </c>
      <c r="H47" s="76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20</v>
      </c>
      <c r="B48" s="73" t="s">
        <v>39</v>
      </c>
      <c r="C48" s="74" t="s">
        <v>126</v>
      </c>
      <c r="D48" s="73" t="s">
        <v>44</v>
      </c>
      <c r="E48" s="48">
        <v>3059.7</v>
      </c>
      <c r="F48" s="75">
        <f>SUM(E48*2/1000)</f>
        <v>6.1193999999999997</v>
      </c>
      <c r="G48" s="13">
        <v>606.77</v>
      </c>
      <c r="H48" s="76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21</v>
      </c>
      <c r="B49" s="73" t="s">
        <v>60</v>
      </c>
      <c r="C49" s="74" t="s">
        <v>126</v>
      </c>
      <c r="D49" s="73" t="s">
        <v>167</v>
      </c>
      <c r="E49" s="48">
        <v>1150.5999999999999</v>
      </c>
      <c r="F49" s="75">
        <f>SUM(E49*5/1000)</f>
        <v>5.7530000000000001</v>
      </c>
      <c r="G49" s="13">
        <v>1213.55</v>
      </c>
      <c r="H49" s="76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73" t="s">
        <v>136</v>
      </c>
      <c r="C50" s="74" t="s">
        <v>126</v>
      </c>
      <c r="D50" s="73" t="s">
        <v>44</v>
      </c>
      <c r="E50" s="48">
        <v>1150.5999999999999</v>
      </c>
      <c r="F50" s="75">
        <f>SUM(E50*2/1000)</f>
        <v>2.3011999999999997</v>
      </c>
      <c r="G50" s="13">
        <v>1213.55</v>
      </c>
      <c r="H50" s="76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73" t="s">
        <v>137</v>
      </c>
      <c r="C51" s="74" t="s">
        <v>40</v>
      </c>
      <c r="D51" s="73" t="s">
        <v>44</v>
      </c>
      <c r="E51" s="48">
        <v>30</v>
      </c>
      <c r="F51" s="75">
        <f>SUM(E51*2/100)</f>
        <v>0.6</v>
      </c>
      <c r="G51" s="13">
        <v>2730.49</v>
      </c>
      <c r="H51" s="76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73" t="s">
        <v>41</v>
      </c>
      <c r="C52" s="74" t="s">
        <v>42</v>
      </c>
      <c r="D52" s="73" t="s">
        <v>44</v>
      </c>
      <c r="E52" s="48">
        <v>1</v>
      </c>
      <c r="F52" s="75">
        <v>0.02</v>
      </c>
      <c r="G52" s="13">
        <v>5652.13</v>
      </c>
      <c r="H52" s="76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customHeight="1">
      <c r="A53" s="29">
        <v>12</v>
      </c>
      <c r="B53" s="73" t="s">
        <v>43</v>
      </c>
      <c r="C53" s="74" t="s">
        <v>138</v>
      </c>
      <c r="D53" s="73" t="s">
        <v>76</v>
      </c>
      <c r="E53" s="48">
        <v>158</v>
      </c>
      <c r="F53" s="75">
        <f>SUM(E53)*3</f>
        <v>474</v>
      </c>
      <c r="G53" s="13">
        <v>65.67</v>
      </c>
      <c r="H53" s="76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0" t="s">
        <v>153</v>
      </c>
      <c r="B54" s="141"/>
      <c r="C54" s="141"/>
      <c r="D54" s="141"/>
      <c r="E54" s="141"/>
      <c r="F54" s="141"/>
      <c r="G54" s="141"/>
      <c r="H54" s="141"/>
      <c r="I54" s="142"/>
      <c r="J54" s="23"/>
      <c r="L54" s="19"/>
      <c r="M54" s="20"/>
      <c r="N54" s="21"/>
    </row>
    <row r="55" spans="1:22" ht="15.75" hidden="1" customHeight="1">
      <c r="A55" s="29"/>
      <c r="B55" s="96" t="s">
        <v>45</v>
      </c>
      <c r="C55" s="74"/>
      <c r="D55" s="73"/>
      <c r="E55" s="48"/>
      <c r="F55" s="75"/>
      <c r="G55" s="75"/>
      <c r="H55" s="76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73" t="s">
        <v>186</v>
      </c>
      <c r="C56" s="74" t="s">
        <v>117</v>
      </c>
      <c r="D56" s="73" t="s">
        <v>187</v>
      </c>
      <c r="E56" s="105">
        <v>6</v>
      </c>
      <c r="F56" s="13">
        <f>E56*8/100</f>
        <v>0.48</v>
      </c>
      <c r="G56" s="75">
        <v>1547.28</v>
      </c>
      <c r="H56" s="76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106"/>
      <c r="B57" s="73" t="s">
        <v>109</v>
      </c>
      <c r="C57" s="74" t="s">
        <v>110</v>
      </c>
      <c r="D57" s="73" t="s">
        <v>44</v>
      </c>
      <c r="E57" s="48">
        <v>6</v>
      </c>
      <c r="F57" s="75">
        <v>12</v>
      </c>
      <c r="G57" s="82">
        <v>180.78</v>
      </c>
      <c r="H57" s="76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97" t="s">
        <v>46</v>
      </c>
      <c r="C58" s="83"/>
      <c r="D58" s="84"/>
      <c r="E58" s="85"/>
      <c r="F58" s="87"/>
      <c r="G58" s="13"/>
      <c r="H58" s="89"/>
      <c r="I58" s="13"/>
      <c r="J58" s="23"/>
      <c r="L58" s="19"/>
      <c r="M58" s="20"/>
      <c r="N58" s="21"/>
    </row>
    <row r="59" spans="1:22" ht="15.75" customHeight="1">
      <c r="A59" s="29">
        <v>13</v>
      </c>
      <c r="B59" s="84" t="s">
        <v>105</v>
      </c>
      <c r="C59" s="83" t="s">
        <v>25</v>
      </c>
      <c r="D59" s="84"/>
      <c r="E59" s="85">
        <v>232.6</v>
      </c>
      <c r="F59" s="86">
        <f>E59*12</f>
        <v>2791.2</v>
      </c>
      <c r="G59" s="107">
        <v>2.5960000000000001</v>
      </c>
      <c r="H59" s="87">
        <f>G59*F59</f>
        <v>7245.9551999999994</v>
      </c>
      <c r="I59" s="13">
        <f>F59/12*G59</f>
        <v>603.82960000000003</v>
      </c>
      <c r="J59" s="23"/>
      <c r="L59" s="19"/>
    </row>
    <row r="60" spans="1:22" ht="15.75" customHeight="1">
      <c r="A60" s="29"/>
      <c r="B60" s="97" t="s">
        <v>48</v>
      </c>
      <c r="C60" s="83"/>
      <c r="D60" s="84"/>
      <c r="E60" s="85"/>
      <c r="F60" s="86"/>
      <c r="G60" s="86"/>
      <c r="H60" s="87" t="s">
        <v>146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14</v>
      </c>
      <c r="B61" s="14" t="s">
        <v>49</v>
      </c>
      <c r="C61" s="16" t="s">
        <v>138</v>
      </c>
      <c r="D61" s="14" t="s">
        <v>71</v>
      </c>
      <c r="E61" s="18">
        <v>15</v>
      </c>
      <c r="F61" s="75">
        <v>15</v>
      </c>
      <c r="G61" s="13">
        <v>209.41</v>
      </c>
      <c r="H61" s="90">
        <f t="shared" ref="H61:H68" si="8">SUM(F61*G61/1000)</f>
        <v>3.1411500000000001</v>
      </c>
      <c r="I61" s="13">
        <f>G61*6</f>
        <v>1256.46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50</v>
      </c>
      <c r="C62" s="16" t="s">
        <v>138</v>
      </c>
      <c r="D62" s="14" t="s">
        <v>71</v>
      </c>
      <c r="E62" s="18">
        <v>5</v>
      </c>
      <c r="F62" s="75">
        <v>5</v>
      </c>
      <c r="G62" s="13">
        <v>71.790000000000006</v>
      </c>
      <c r="H62" s="90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51</v>
      </c>
      <c r="C63" s="16" t="s">
        <v>140</v>
      </c>
      <c r="D63" s="14" t="s">
        <v>57</v>
      </c>
      <c r="E63" s="48">
        <v>18281</v>
      </c>
      <c r="F63" s="13">
        <f>SUM(E63/100)</f>
        <v>182.81</v>
      </c>
      <c r="G63" s="13">
        <v>199.77</v>
      </c>
      <c r="H63" s="90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>
        <v>25</v>
      </c>
      <c r="B64" s="14" t="s">
        <v>52</v>
      </c>
      <c r="C64" s="16" t="s">
        <v>141</v>
      </c>
      <c r="D64" s="14"/>
      <c r="E64" s="48">
        <v>18281</v>
      </c>
      <c r="F64" s="13">
        <f>SUM(E64/1000)</f>
        <v>18.280999999999999</v>
      </c>
      <c r="G64" s="13">
        <v>155.57</v>
      </c>
      <c r="H64" s="90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53</v>
      </c>
      <c r="C65" s="16" t="s">
        <v>82</v>
      </c>
      <c r="D65" s="14" t="s">
        <v>57</v>
      </c>
      <c r="E65" s="48">
        <v>2730</v>
      </c>
      <c r="F65" s="13">
        <f>SUM(E65/100)</f>
        <v>27.3</v>
      </c>
      <c r="G65" s="13">
        <v>1953.52</v>
      </c>
      <c r="H65" s="90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91" t="s">
        <v>142</v>
      </c>
      <c r="C66" s="16" t="s">
        <v>34</v>
      </c>
      <c r="D66" s="14"/>
      <c r="E66" s="48">
        <v>16.399999999999999</v>
      </c>
      <c r="F66" s="13">
        <f>SUM(E66)</f>
        <v>16.399999999999999</v>
      </c>
      <c r="G66" s="13">
        <v>40.270000000000003</v>
      </c>
      <c r="H66" s="90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91" t="s">
        <v>143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37.71</v>
      </c>
      <c r="H67" s="90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/>
      <c r="B68" s="14" t="s">
        <v>61</v>
      </c>
      <c r="C68" s="16" t="s">
        <v>62</v>
      </c>
      <c r="D68" s="14" t="s">
        <v>57</v>
      </c>
      <c r="E68" s="18">
        <v>7</v>
      </c>
      <c r="F68" s="75">
        <f>SUM(E68)</f>
        <v>7</v>
      </c>
      <c r="G68" s="13">
        <v>46.97</v>
      </c>
      <c r="H68" s="90">
        <f t="shared" si="8"/>
        <v>0.32878999999999997</v>
      </c>
      <c r="I68" s="13">
        <v>0</v>
      </c>
    </row>
    <row r="69" spans="1:9" ht="15.75" hidden="1" customHeight="1">
      <c r="A69" s="29"/>
      <c r="B69" s="104" t="s">
        <v>78</v>
      </c>
      <c r="C69" s="16"/>
      <c r="D69" s="14"/>
      <c r="E69" s="18"/>
      <c r="F69" s="13"/>
      <c r="G69" s="13"/>
      <c r="H69" s="90" t="s">
        <v>146</v>
      </c>
      <c r="I69" s="13"/>
    </row>
    <row r="70" spans="1:9" ht="15.75" hidden="1" customHeight="1">
      <c r="A70" s="29"/>
      <c r="B70" s="14" t="s">
        <v>96</v>
      </c>
      <c r="C70" s="16" t="s">
        <v>31</v>
      </c>
      <c r="D70" s="14"/>
      <c r="E70" s="18">
        <v>1</v>
      </c>
      <c r="F70" s="75">
        <f>SUM(E70)</f>
        <v>1</v>
      </c>
      <c r="G70" s="13">
        <v>337.58</v>
      </c>
      <c r="H70" s="90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80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90">
        <f>F71*G71/1000</f>
        <v>1.6063800000000001</v>
      </c>
      <c r="I71" s="13">
        <v>0</v>
      </c>
    </row>
    <row r="72" spans="1:9" ht="15.75" hidden="1" customHeight="1">
      <c r="A72" s="29"/>
      <c r="B72" s="92" t="s">
        <v>81</v>
      </c>
      <c r="C72" s="16"/>
      <c r="D72" s="14"/>
      <c r="E72" s="18"/>
      <c r="F72" s="13"/>
      <c r="G72" s="13" t="s">
        <v>146</v>
      </c>
      <c r="H72" s="90" t="s">
        <v>146</v>
      </c>
      <c r="I72" s="13"/>
    </row>
    <row r="73" spans="1:9" ht="15.75" hidden="1" customHeight="1">
      <c r="A73" s="29"/>
      <c r="B73" s="42" t="s">
        <v>147</v>
      </c>
      <c r="C73" s="16" t="s">
        <v>82</v>
      </c>
      <c r="D73" s="14"/>
      <c r="E73" s="18"/>
      <c r="F73" s="13">
        <v>1.35</v>
      </c>
      <c r="G73" s="13">
        <v>2494</v>
      </c>
      <c r="H73" s="90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78" t="s">
        <v>144</v>
      </c>
      <c r="C74" s="92"/>
      <c r="D74" s="31"/>
      <c r="E74" s="32"/>
      <c r="F74" s="79"/>
      <c r="G74" s="79"/>
      <c r="H74" s="93">
        <f>SUM(H56:H73)</f>
        <v>7351.9809012699989</v>
      </c>
      <c r="I74" s="79"/>
    </row>
    <row r="75" spans="1:9" ht="15.75" hidden="1" customHeight="1">
      <c r="A75" s="29">
        <v>29</v>
      </c>
      <c r="B75" s="73" t="s">
        <v>145</v>
      </c>
      <c r="C75" s="16"/>
      <c r="D75" s="14"/>
      <c r="E75" s="67"/>
      <c r="F75" s="13">
        <v>1</v>
      </c>
      <c r="G75" s="13">
        <v>17359.8</v>
      </c>
      <c r="H75" s="90">
        <f>G75*F75/1000</f>
        <v>17.3598</v>
      </c>
      <c r="I75" s="13">
        <f>G75</f>
        <v>17359.8</v>
      </c>
    </row>
    <row r="76" spans="1:9" ht="15.75" customHeight="1">
      <c r="A76" s="129" t="s">
        <v>154</v>
      </c>
      <c r="B76" s="130"/>
      <c r="C76" s="130"/>
      <c r="D76" s="130"/>
      <c r="E76" s="130"/>
      <c r="F76" s="130"/>
      <c r="G76" s="130"/>
      <c r="H76" s="130"/>
      <c r="I76" s="131"/>
    </row>
    <row r="77" spans="1:9" ht="15.75" customHeight="1">
      <c r="A77" s="29">
        <v>15</v>
      </c>
      <c r="B77" s="73" t="s">
        <v>148</v>
      </c>
      <c r="C77" s="16" t="s">
        <v>58</v>
      </c>
      <c r="D77" s="94" t="s">
        <v>59</v>
      </c>
      <c r="E77" s="13">
        <v>4224.3999999999996</v>
      </c>
      <c r="F77" s="13">
        <f>SUM(E77*12)</f>
        <v>50692.799999999996</v>
      </c>
      <c r="G77" s="13">
        <v>2.1</v>
      </c>
      <c r="H77" s="90">
        <f>SUM(F77*G77/1000)</f>
        <v>106.45487999999999</v>
      </c>
      <c r="I77" s="13">
        <f>F77/12*G77</f>
        <v>8871.24</v>
      </c>
    </row>
    <row r="78" spans="1:9" ht="31.5" customHeight="1">
      <c r="A78" s="29">
        <v>16</v>
      </c>
      <c r="B78" s="14" t="s">
        <v>83</v>
      </c>
      <c r="C78" s="16"/>
      <c r="D78" s="94" t="s">
        <v>59</v>
      </c>
      <c r="E78" s="48">
        <v>4224.3999999999996</v>
      </c>
      <c r="F78" s="13">
        <f>E78*12</f>
        <v>50692.799999999996</v>
      </c>
      <c r="G78" s="13">
        <v>1.63</v>
      </c>
      <c r="H78" s="90">
        <f>F78*G78/1000</f>
        <v>82.629263999999978</v>
      </c>
      <c r="I78" s="13">
        <f>F78/12*G78</f>
        <v>6885.771999999999</v>
      </c>
    </row>
    <row r="79" spans="1:9" ht="15.75" customHeight="1">
      <c r="A79" s="102"/>
      <c r="B79" s="34" t="s">
        <v>86</v>
      </c>
      <c r="C79" s="35"/>
      <c r="D79" s="15"/>
      <c r="E79" s="15"/>
      <c r="F79" s="15"/>
      <c r="G79" s="18"/>
      <c r="H79" s="18"/>
      <c r="I79" s="32">
        <f>SUM(I16+I17+I18+I20+I21+I25+I26+I29+I30+I32+I33+I53+I59+I61+I77+I78)</f>
        <v>70353.234017555558</v>
      </c>
    </row>
    <row r="80" spans="1:9" ht="15.75" customHeight="1">
      <c r="A80" s="147" t="s">
        <v>64</v>
      </c>
      <c r="B80" s="148"/>
      <c r="C80" s="148"/>
      <c r="D80" s="148"/>
      <c r="E80" s="148"/>
      <c r="F80" s="148"/>
      <c r="G80" s="148"/>
      <c r="H80" s="148"/>
      <c r="I80" s="149"/>
    </row>
    <row r="81" spans="1:9" ht="31.5" customHeight="1">
      <c r="A81" s="29">
        <v>17</v>
      </c>
      <c r="B81" s="46" t="s">
        <v>97</v>
      </c>
      <c r="C81" s="49" t="s">
        <v>101</v>
      </c>
      <c r="D81" s="42"/>
      <c r="E81" s="13"/>
      <c r="F81" s="13">
        <v>11</v>
      </c>
      <c r="G81" s="13">
        <v>589.84</v>
      </c>
      <c r="H81" s="90">
        <f t="shared" ref="H81:H84" si="12">G81*F81/1000</f>
        <v>6.4882400000000011</v>
      </c>
      <c r="I81" s="13">
        <f>G81*2</f>
        <v>1179.68</v>
      </c>
    </row>
    <row r="82" spans="1:9" ht="15.75" customHeight="1">
      <c r="A82" s="29">
        <v>18</v>
      </c>
      <c r="B82" s="46" t="s">
        <v>198</v>
      </c>
      <c r="C82" s="49" t="s">
        <v>138</v>
      </c>
      <c r="D82" s="42"/>
      <c r="E82" s="13"/>
      <c r="F82" s="13">
        <v>640</v>
      </c>
      <c r="G82" s="13">
        <v>53.42</v>
      </c>
      <c r="H82" s="90">
        <f t="shared" si="12"/>
        <v>34.188800000000001</v>
      </c>
      <c r="I82" s="13">
        <f>G82*80</f>
        <v>4273.6000000000004</v>
      </c>
    </row>
    <row r="83" spans="1:9" ht="15.75" customHeight="1">
      <c r="A83" s="29">
        <v>19</v>
      </c>
      <c r="B83" s="46" t="s">
        <v>88</v>
      </c>
      <c r="C83" s="49" t="s">
        <v>138</v>
      </c>
      <c r="D83" s="42"/>
      <c r="E83" s="13"/>
      <c r="F83" s="13">
        <v>6</v>
      </c>
      <c r="G83" s="13">
        <v>189.88</v>
      </c>
      <c r="H83" s="90">
        <f t="shared" si="12"/>
        <v>1.1392800000000001</v>
      </c>
      <c r="I83" s="13">
        <f t="shared" ref="I83" si="13">G83</f>
        <v>189.88</v>
      </c>
    </row>
    <row r="84" spans="1:9" ht="31.5" customHeight="1">
      <c r="A84" s="29">
        <v>20</v>
      </c>
      <c r="B84" s="72" t="s">
        <v>159</v>
      </c>
      <c r="C84" s="29" t="s">
        <v>160</v>
      </c>
      <c r="D84" s="42"/>
      <c r="E84" s="13"/>
      <c r="F84" s="13">
        <v>4</v>
      </c>
      <c r="G84" s="13">
        <v>1934.94</v>
      </c>
      <c r="H84" s="90">
        <f t="shared" si="12"/>
        <v>7.7397600000000004</v>
      </c>
      <c r="I84" s="13">
        <f>G84</f>
        <v>1934.94</v>
      </c>
    </row>
    <row r="85" spans="1:9" ht="15.75" customHeight="1">
      <c r="A85" s="29">
        <v>21</v>
      </c>
      <c r="B85" s="46" t="s">
        <v>205</v>
      </c>
      <c r="C85" s="49" t="s">
        <v>138</v>
      </c>
      <c r="D85" s="42"/>
      <c r="E85" s="13"/>
      <c r="F85" s="13">
        <v>2</v>
      </c>
      <c r="G85" s="13">
        <v>1241.75</v>
      </c>
      <c r="H85" s="90">
        <f>G85*F85/1000</f>
        <v>2.4834999999999998</v>
      </c>
      <c r="I85" s="13">
        <f t="shared" ref="I85" si="14">G85</f>
        <v>1241.75</v>
      </c>
    </row>
    <row r="86" spans="1:9" ht="31.5" customHeight="1">
      <c r="A86" s="29">
        <v>22</v>
      </c>
      <c r="B86" s="46" t="s">
        <v>210</v>
      </c>
      <c r="C86" s="49" t="s">
        <v>87</v>
      </c>
      <c r="D86" s="42"/>
      <c r="E86" s="13"/>
      <c r="F86" s="13">
        <v>20.5</v>
      </c>
      <c r="G86" s="13">
        <v>1272</v>
      </c>
      <c r="H86" s="90">
        <f>G86*F86/1000</f>
        <v>26.076000000000001</v>
      </c>
      <c r="I86" s="13">
        <f>G86*(7+4)</f>
        <v>13992</v>
      </c>
    </row>
    <row r="87" spans="1:9" ht="15.75" customHeight="1">
      <c r="A87" s="29">
        <v>23</v>
      </c>
      <c r="B87" s="46" t="s">
        <v>217</v>
      </c>
      <c r="C87" s="49" t="s">
        <v>90</v>
      </c>
      <c r="D87" s="42"/>
      <c r="E87" s="13"/>
      <c r="F87" s="13">
        <v>4</v>
      </c>
      <c r="G87" s="13">
        <v>195.85</v>
      </c>
      <c r="H87" s="90">
        <f>G87*F87/1000</f>
        <v>0.78339999999999999</v>
      </c>
      <c r="I87" s="13">
        <f>G87</f>
        <v>195.85</v>
      </c>
    </row>
    <row r="88" spans="1:9" ht="31.5" customHeight="1">
      <c r="A88" s="29">
        <v>24</v>
      </c>
      <c r="B88" s="46" t="s">
        <v>222</v>
      </c>
      <c r="C88" s="49" t="s">
        <v>223</v>
      </c>
      <c r="D88" s="117"/>
      <c r="E88" s="118"/>
      <c r="F88" s="118">
        <v>2</v>
      </c>
      <c r="G88" s="118">
        <v>54.17</v>
      </c>
      <c r="H88" s="119">
        <f t="shared" ref="H88" si="15">G88*F88/1000</f>
        <v>0.10834000000000001</v>
      </c>
      <c r="I88" s="13">
        <f>G88</f>
        <v>54.17</v>
      </c>
    </row>
    <row r="89" spans="1:9" ht="31.5" customHeight="1">
      <c r="A89" s="29">
        <v>25</v>
      </c>
      <c r="B89" s="46" t="s">
        <v>231</v>
      </c>
      <c r="C89" s="49" t="s">
        <v>87</v>
      </c>
      <c r="D89" s="42"/>
      <c r="E89" s="118"/>
      <c r="F89" s="118">
        <v>2</v>
      </c>
      <c r="G89" s="118">
        <f>1187</f>
        <v>1187</v>
      </c>
      <c r="H89" s="119">
        <f>G89*F89/1000</f>
        <v>2.3740000000000001</v>
      </c>
      <c r="I89" s="13">
        <f>G89*2</f>
        <v>2374</v>
      </c>
    </row>
    <row r="90" spans="1:9" ht="15.75" customHeight="1">
      <c r="A90" s="29"/>
      <c r="B90" s="40" t="s">
        <v>54</v>
      </c>
      <c r="C90" s="36"/>
      <c r="D90" s="44"/>
      <c r="E90" s="36">
        <v>1</v>
      </c>
      <c r="F90" s="36"/>
      <c r="G90" s="36"/>
      <c r="H90" s="36"/>
      <c r="I90" s="32">
        <f>SUM(I81:I89)</f>
        <v>25435.869999999995</v>
      </c>
    </row>
    <row r="91" spans="1:9" ht="15.75" customHeight="1">
      <c r="A91" s="29"/>
      <c r="B91" s="42" t="s">
        <v>84</v>
      </c>
      <c r="C91" s="15"/>
      <c r="D91" s="15"/>
      <c r="E91" s="37"/>
      <c r="F91" s="37"/>
      <c r="G91" s="38"/>
      <c r="H91" s="38"/>
      <c r="I91" s="17">
        <v>0</v>
      </c>
    </row>
    <row r="92" spans="1:9" ht="15.75" customHeight="1">
      <c r="A92" s="45"/>
      <c r="B92" s="41" t="s">
        <v>180</v>
      </c>
      <c r="C92" s="33"/>
      <c r="D92" s="33"/>
      <c r="E92" s="33"/>
      <c r="F92" s="33"/>
      <c r="G92" s="33"/>
      <c r="H92" s="33"/>
      <c r="I92" s="39">
        <f>I79+I90</f>
        <v>95789.104017555554</v>
      </c>
    </row>
    <row r="93" spans="1:9" ht="15.75" customHeight="1">
      <c r="A93" s="143" t="s">
        <v>257</v>
      </c>
      <c r="B93" s="143"/>
      <c r="C93" s="143"/>
      <c r="D93" s="143"/>
      <c r="E93" s="143"/>
      <c r="F93" s="143"/>
      <c r="G93" s="143"/>
      <c r="H93" s="143"/>
      <c r="I93" s="143"/>
    </row>
    <row r="94" spans="1:9" ht="15.75" customHeight="1">
      <c r="A94" s="56"/>
      <c r="B94" s="144" t="s">
        <v>258</v>
      </c>
      <c r="C94" s="144"/>
      <c r="D94" s="144"/>
      <c r="E94" s="144"/>
      <c r="F94" s="144"/>
      <c r="G94" s="144"/>
      <c r="H94" s="71"/>
      <c r="I94" s="3"/>
    </row>
    <row r="95" spans="1:9" ht="15.75" customHeight="1">
      <c r="A95" s="100"/>
      <c r="B95" s="145" t="s">
        <v>6</v>
      </c>
      <c r="C95" s="145"/>
      <c r="D95" s="145"/>
      <c r="E95" s="145"/>
      <c r="F95" s="145"/>
      <c r="G95" s="145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46" t="s">
        <v>7</v>
      </c>
      <c r="B97" s="146"/>
      <c r="C97" s="146"/>
      <c r="D97" s="146"/>
      <c r="E97" s="146"/>
      <c r="F97" s="146"/>
      <c r="G97" s="146"/>
      <c r="H97" s="146"/>
      <c r="I97" s="146"/>
    </row>
    <row r="98" spans="1:9" ht="15.75" customHeight="1">
      <c r="A98" s="146" t="s">
        <v>8</v>
      </c>
      <c r="B98" s="146"/>
      <c r="C98" s="146"/>
      <c r="D98" s="146"/>
      <c r="E98" s="146"/>
      <c r="F98" s="146"/>
      <c r="G98" s="146"/>
      <c r="H98" s="146"/>
      <c r="I98" s="146"/>
    </row>
    <row r="99" spans="1:9" ht="15.75" customHeight="1">
      <c r="A99" s="138" t="s">
        <v>65</v>
      </c>
      <c r="B99" s="138"/>
      <c r="C99" s="138"/>
      <c r="D99" s="138"/>
      <c r="E99" s="138"/>
      <c r="F99" s="138"/>
      <c r="G99" s="138"/>
      <c r="H99" s="138"/>
      <c r="I99" s="138"/>
    </row>
    <row r="100" spans="1:9" ht="15.75" customHeight="1">
      <c r="A100" s="11"/>
    </row>
    <row r="101" spans="1:9" ht="15.75" customHeight="1">
      <c r="A101" s="151" t="s">
        <v>9</v>
      </c>
      <c r="B101" s="151"/>
      <c r="C101" s="151"/>
      <c r="D101" s="151"/>
      <c r="E101" s="151"/>
      <c r="F101" s="151"/>
      <c r="G101" s="151"/>
      <c r="H101" s="151"/>
      <c r="I101" s="151"/>
    </row>
    <row r="102" spans="1:9" ht="15.75" customHeight="1">
      <c r="A102" s="4"/>
    </row>
    <row r="103" spans="1:9" ht="15.75" customHeight="1">
      <c r="B103" s="101" t="s">
        <v>10</v>
      </c>
      <c r="C103" s="152" t="s">
        <v>98</v>
      </c>
      <c r="D103" s="152"/>
      <c r="E103" s="152"/>
      <c r="F103" s="69"/>
      <c r="I103" s="99"/>
    </row>
    <row r="104" spans="1:9" ht="15.75" customHeight="1">
      <c r="A104" s="100"/>
      <c r="C104" s="145" t="s">
        <v>11</v>
      </c>
      <c r="D104" s="145"/>
      <c r="E104" s="145"/>
      <c r="F104" s="24"/>
      <c r="I104" s="98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101" t="s">
        <v>13</v>
      </c>
      <c r="C106" s="153"/>
      <c r="D106" s="153"/>
      <c r="E106" s="153"/>
      <c r="F106" s="70"/>
      <c r="I106" s="99"/>
    </row>
    <row r="107" spans="1:9" ht="15.75" customHeight="1">
      <c r="A107" s="100"/>
      <c r="C107" s="128" t="s">
        <v>11</v>
      </c>
      <c r="D107" s="128"/>
      <c r="E107" s="128"/>
      <c r="F107" s="100"/>
      <c r="I107" s="98" t="s">
        <v>12</v>
      </c>
    </row>
    <row r="108" spans="1:9" ht="15.75" customHeight="1">
      <c r="A108" s="4" t="s">
        <v>14</v>
      </c>
    </row>
    <row r="109" spans="1:9" ht="15.75" customHeight="1">
      <c r="A109" s="154" t="s">
        <v>15</v>
      </c>
      <c r="B109" s="154"/>
      <c r="C109" s="154"/>
      <c r="D109" s="154"/>
      <c r="E109" s="154"/>
      <c r="F109" s="154"/>
      <c r="G109" s="154"/>
      <c r="H109" s="154"/>
      <c r="I109" s="154"/>
    </row>
    <row r="110" spans="1:9" ht="45" customHeight="1">
      <c r="A110" s="150" t="s">
        <v>16</v>
      </c>
      <c r="B110" s="150"/>
      <c r="C110" s="150"/>
      <c r="D110" s="150"/>
      <c r="E110" s="150"/>
      <c r="F110" s="150"/>
      <c r="G110" s="150"/>
      <c r="H110" s="150"/>
      <c r="I110" s="150"/>
    </row>
    <row r="111" spans="1:9" ht="30" customHeight="1">
      <c r="A111" s="150" t="s">
        <v>17</v>
      </c>
      <c r="B111" s="150"/>
      <c r="C111" s="150"/>
      <c r="D111" s="150"/>
      <c r="E111" s="150"/>
      <c r="F111" s="150"/>
      <c r="G111" s="150"/>
      <c r="H111" s="150"/>
      <c r="I111" s="150"/>
    </row>
    <row r="112" spans="1:9" ht="30" customHeight="1">
      <c r="A112" s="150" t="s">
        <v>21</v>
      </c>
      <c r="B112" s="150"/>
      <c r="C112" s="150"/>
      <c r="D112" s="150"/>
      <c r="E112" s="150"/>
      <c r="F112" s="150"/>
      <c r="G112" s="150"/>
      <c r="H112" s="150"/>
      <c r="I112" s="150"/>
    </row>
    <row r="113" spans="1:9" ht="15" customHeight="1">
      <c r="A113" s="150" t="s">
        <v>20</v>
      </c>
      <c r="B113" s="150"/>
      <c r="C113" s="150"/>
      <c r="D113" s="150"/>
      <c r="E113" s="150"/>
      <c r="F113" s="150"/>
      <c r="G113" s="150"/>
      <c r="H113" s="150"/>
      <c r="I113" s="150"/>
    </row>
  </sheetData>
  <autoFilter ref="I12:I59"/>
  <mergeCells count="29">
    <mergeCell ref="A109:I109"/>
    <mergeCell ref="A110:I110"/>
    <mergeCell ref="A111:I111"/>
    <mergeCell ref="A112:I112"/>
    <mergeCell ref="A113:I113"/>
    <mergeCell ref="R63:U63"/>
    <mergeCell ref="C107:E107"/>
    <mergeCell ref="A80:I80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232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233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42947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73" t="s">
        <v>68</v>
      </c>
      <c r="C25" s="74" t="s">
        <v>34</v>
      </c>
      <c r="D25" s="73" t="s">
        <v>157</v>
      </c>
      <c r="E25" s="48">
        <v>0.1</v>
      </c>
      <c r="F25" s="75">
        <f>SUM(E25*365)</f>
        <v>36.5</v>
      </c>
      <c r="G25" s="75">
        <v>147.03</v>
      </c>
      <c r="H25" s="76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81" t="s">
        <v>23</v>
      </c>
      <c r="C26" s="74" t="s">
        <v>24</v>
      </c>
      <c r="D26" s="81" t="s">
        <v>157</v>
      </c>
      <c r="E26" s="48">
        <v>4224.3999999999996</v>
      </c>
      <c r="F26" s="75">
        <f>SUM(E26*12)</f>
        <v>50692.799999999996</v>
      </c>
      <c r="G26" s="75">
        <v>4.59</v>
      </c>
      <c r="H26" s="76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39" t="s">
        <v>92</v>
      </c>
      <c r="B27" s="139"/>
      <c r="C27" s="139"/>
      <c r="D27" s="139"/>
      <c r="E27" s="139"/>
      <c r="F27" s="139"/>
      <c r="G27" s="139"/>
      <c r="H27" s="139"/>
      <c r="I27" s="139"/>
      <c r="J27" s="22"/>
      <c r="K27" s="8"/>
      <c r="L27" s="8"/>
      <c r="M27" s="8"/>
    </row>
    <row r="28" spans="1:13" ht="15.75" customHeight="1">
      <c r="A28" s="29"/>
      <c r="B28" s="96" t="s">
        <v>28</v>
      </c>
      <c r="C28" s="74"/>
      <c r="D28" s="73"/>
      <c r="E28" s="48"/>
      <c r="F28" s="75"/>
      <c r="G28" s="75"/>
      <c r="H28" s="76"/>
      <c r="I28" s="13"/>
      <c r="J28" s="22"/>
      <c r="K28" s="8"/>
      <c r="L28" s="8"/>
      <c r="M28" s="8"/>
    </row>
    <row r="29" spans="1:13" ht="15.75" customHeight="1">
      <c r="A29" s="29">
        <v>8</v>
      </c>
      <c r="B29" s="73" t="s">
        <v>125</v>
      </c>
      <c r="C29" s="74" t="s">
        <v>126</v>
      </c>
      <c r="D29" s="73" t="s">
        <v>127</v>
      </c>
      <c r="E29" s="75">
        <v>1414.6</v>
      </c>
      <c r="F29" s="75">
        <f>SUM(E29*52/1000)</f>
        <v>73.559200000000004</v>
      </c>
      <c r="G29" s="75">
        <v>155.88999999999999</v>
      </c>
      <c r="H29" s="76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73" t="s">
        <v>166</v>
      </c>
      <c r="C30" s="74" t="s">
        <v>126</v>
      </c>
      <c r="D30" s="73" t="s">
        <v>128</v>
      </c>
      <c r="E30" s="75">
        <v>632.4</v>
      </c>
      <c r="F30" s="75">
        <f>SUM(E30*78/1000)</f>
        <v>49.327199999999998</v>
      </c>
      <c r="G30" s="75">
        <v>258.63</v>
      </c>
      <c r="H30" s="76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73" t="s">
        <v>27</v>
      </c>
      <c r="C31" s="74" t="s">
        <v>126</v>
      </c>
      <c r="D31" s="73" t="s">
        <v>57</v>
      </c>
      <c r="E31" s="75">
        <v>1414.6</v>
      </c>
      <c r="F31" s="75">
        <f>SUM(E31/1000)</f>
        <v>1.4145999999999999</v>
      </c>
      <c r="G31" s="75">
        <v>3020.33</v>
      </c>
      <c r="H31" s="76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73" t="s">
        <v>129</v>
      </c>
      <c r="C32" s="74" t="s">
        <v>42</v>
      </c>
      <c r="D32" s="73" t="s">
        <v>67</v>
      </c>
      <c r="E32" s="75">
        <v>6</v>
      </c>
      <c r="F32" s="75">
        <f>SUM(E32*155/100)</f>
        <v>9.3000000000000007</v>
      </c>
      <c r="G32" s="75">
        <v>1302.02</v>
      </c>
      <c r="H32" s="76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73" t="s">
        <v>130</v>
      </c>
      <c r="C33" s="74" t="s">
        <v>31</v>
      </c>
      <c r="D33" s="73" t="s">
        <v>67</v>
      </c>
      <c r="E33" s="80">
        <v>0.33333333333333331</v>
      </c>
      <c r="F33" s="75">
        <f>155/3</f>
        <v>51.666666666666664</v>
      </c>
      <c r="G33" s="75">
        <v>56.69</v>
      </c>
      <c r="H33" s="76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73" t="s">
        <v>69</v>
      </c>
      <c r="C34" s="74" t="s">
        <v>34</v>
      </c>
      <c r="D34" s="73" t="s">
        <v>71</v>
      </c>
      <c r="E34" s="48"/>
      <c r="F34" s="75">
        <v>4</v>
      </c>
      <c r="G34" s="75">
        <v>191.32</v>
      </c>
      <c r="H34" s="76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73" t="s">
        <v>70</v>
      </c>
      <c r="C35" s="74" t="s">
        <v>33</v>
      </c>
      <c r="D35" s="73" t="s">
        <v>71</v>
      </c>
      <c r="E35" s="48"/>
      <c r="F35" s="75">
        <v>3</v>
      </c>
      <c r="G35" s="75">
        <v>1136.33</v>
      </c>
      <c r="H35" s="76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96" t="s">
        <v>5</v>
      </c>
      <c r="C36" s="74"/>
      <c r="D36" s="73"/>
      <c r="E36" s="48"/>
      <c r="F36" s="75"/>
      <c r="G36" s="75"/>
      <c r="H36" s="76" t="s">
        <v>146</v>
      </c>
      <c r="I36" s="13"/>
      <c r="J36" s="23"/>
    </row>
    <row r="37" spans="1:14" ht="15.75" hidden="1" customHeight="1">
      <c r="A37" s="29">
        <v>8</v>
      </c>
      <c r="B37" s="73" t="s">
        <v>26</v>
      </c>
      <c r="C37" s="74" t="s">
        <v>33</v>
      </c>
      <c r="D37" s="73"/>
      <c r="E37" s="48"/>
      <c r="F37" s="75">
        <v>20</v>
      </c>
      <c r="G37" s="75">
        <v>1527.22</v>
      </c>
      <c r="H37" s="76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73" t="s">
        <v>72</v>
      </c>
      <c r="C38" s="74" t="s">
        <v>29</v>
      </c>
      <c r="D38" s="73" t="s">
        <v>182</v>
      </c>
      <c r="E38" s="75">
        <v>632.4</v>
      </c>
      <c r="F38" s="75">
        <f>SUM(E38*50/1000)</f>
        <v>31.62</v>
      </c>
      <c r="G38" s="75">
        <v>2102.71</v>
      </c>
      <c r="H38" s="76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73" t="s">
        <v>104</v>
      </c>
      <c r="C39" s="74" t="s">
        <v>132</v>
      </c>
      <c r="D39" s="73" t="s">
        <v>71</v>
      </c>
      <c r="E39" s="48"/>
      <c r="F39" s="75">
        <v>30</v>
      </c>
      <c r="G39" s="75">
        <v>213.2</v>
      </c>
      <c r="H39" s="76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73" t="s">
        <v>73</v>
      </c>
      <c r="C40" s="74" t="s">
        <v>29</v>
      </c>
      <c r="D40" s="73" t="s">
        <v>133</v>
      </c>
      <c r="E40" s="75">
        <v>106</v>
      </c>
      <c r="F40" s="75">
        <f>SUM(E40*155/1000)</f>
        <v>16.43</v>
      </c>
      <c r="G40" s="75">
        <v>350.75</v>
      </c>
      <c r="H40" s="76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73" t="s">
        <v>89</v>
      </c>
      <c r="C41" s="74" t="s">
        <v>126</v>
      </c>
      <c r="D41" s="73" t="s">
        <v>183</v>
      </c>
      <c r="E41" s="75">
        <v>106</v>
      </c>
      <c r="F41" s="75">
        <f>SUM(E41*70/1000)</f>
        <v>7.42</v>
      </c>
      <c r="G41" s="75">
        <v>5803.28</v>
      </c>
      <c r="H41" s="76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73" t="s">
        <v>135</v>
      </c>
      <c r="C42" s="74" t="s">
        <v>126</v>
      </c>
      <c r="D42" s="73" t="s">
        <v>74</v>
      </c>
      <c r="E42" s="75">
        <v>106</v>
      </c>
      <c r="F42" s="75">
        <f>SUM(E42*45/1000)</f>
        <v>4.7699999999999996</v>
      </c>
      <c r="G42" s="75">
        <v>428.7</v>
      </c>
      <c r="H42" s="76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73" t="s">
        <v>75</v>
      </c>
      <c r="C43" s="74" t="s">
        <v>34</v>
      </c>
      <c r="D43" s="73"/>
      <c r="E43" s="48"/>
      <c r="F43" s="75">
        <v>0.9</v>
      </c>
      <c r="G43" s="75">
        <v>798</v>
      </c>
      <c r="H43" s="76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140" t="s">
        <v>152</v>
      </c>
      <c r="B44" s="141"/>
      <c r="C44" s="141"/>
      <c r="D44" s="141"/>
      <c r="E44" s="141"/>
      <c r="F44" s="141"/>
      <c r="G44" s="141"/>
      <c r="H44" s="141"/>
      <c r="I44" s="142"/>
      <c r="J44" s="23"/>
      <c r="L44" s="19"/>
      <c r="M44" s="20"/>
      <c r="N44" s="21"/>
    </row>
    <row r="45" spans="1:14" ht="15.75" hidden="1" customHeight="1">
      <c r="A45" s="29">
        <v>17</v>
      </c>
      <c r="B45" s="73" t="s">
        <v>184</v>
      </c>
      <c r="C45" s="74" t="s">
        <v>126</v>
      </c>
      <c r="D45" s="73" t="s">
        <v>44</v>
      </c>
      <c r="E45" s="48">
        <v>1150.5999999999999</v>
      </c>
      <c r="F45" s="75">
        <f>SUM(E45*2/1000)</f>
        <v>2.3011999999999997</v>
      </c>
      <c r="G45" s="13">
        <v>849.49</v>
      </c>
      <c r="H45" s="76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18</v>
      </c>
      <c r="B46" s="73" t="s">
        <v>37</v>
      </c>
      <c r="C46" s="74" t="s">
        <v>126</v>
      </c>
      <c r="D46" s="73" t="s">
        <v>44</v>
      </c>
      <c r="E46" s="48">
        <v>108.96</v>
      </c>
      <c r="F46" s="75">
        <f>SUM(E46*2/1000)</f>
        <v>0.21791999999999997</v>
      </c>
      <c r="G46" s="13">
        <v>579.48</v>
      </c>
      <c r="H46" s="76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19</v>
      </c>
      <c r="B47" s="73" t="s">
        <v>38</v>
      </c>
      <c r="C47" s="74" t="s">
        <v>126</v>
      </c>
      <c r="D47" s="73" t="s">
        <v>44</v>
      </c>
      <c r="E47" s="48">
        <v>4224.3999999999996</v>
      </c>
      <c r="F47" s="75">
        <f>SUM(E47*2/1000)</f>
        <v>8.4487999999999985</v>
      </c>
      <c r="G47" s="13">
        <v>579.48</v>
      </c>
      <c r="H47" s="76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20</v>
      </c>
      <c r="B48" s="73" t="s">
        <v>39</v>
      </c>
      <c r="C48" s="74" t="s">
        <v>126</v>
      </c>
      <c r="D48" s="73" t="s">
        <v>44</v>
      </c>
      <c r="E48" s="48">
        <v>3059.7</v>
      </c>
      <c r="F48" s="75">
        <f>SUM(E48*2/1000)</f>
        <v>6.1193999999999997</v>
      </c>
      <c r="G48" s="13">
        <v>606.77</v>
      </c>
      <c r="H48" s="76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21</v>
      </c>
      <c r="B49" s="73" t="s">
        <v>60</v>
      </c>
      <c r="C49" s="74" t="s">
        <v>126</v>
      </c>
      <c r="D49" s="73" t="s">
        <v>167</v>
      </c>
      <c r="E49" s="48">
        <v>1150.5999999999999</v>
      </c>
      <c r="F49" s="75">
        <f>SUM(E49*5/1000)</f>
        <v>5.7530000000000001</v>
      </c>
      <c r="G49" s="13">
        <v>1213.55</v>
      </c>
      <c r="H49" s="76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73" t="s">
        <v>136</v>
      </c>
      <c r="C50" s="74" t="s">
        <v>126</v>
      </c>
      <c r="D50" s="73" t="s">
        <v>44</v>
      </c>
      <c r="E50" s="48">
        <v>1150.5999999999999</v>
      </c>
      <c r="F50" s="75">
        <f>SUM(E50*2/1000)</f>
        <v>2.3011999999999997</v>
      </c>
      <c r="G50" s="13">
        <v>1213.55</v>
      </c>
      <c r="H50" s="76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73" t="s">
        <v>137</v>
      </c>
      <c r="C51" s="74" t="s">
        <v>40</v>
      </c>
      <c r="D51" s="73" t="s">
        <v>44</v>
      </c>
      <c r="E51" s="48">
        <v>30</v>
      </c>
      <c r="F51" s="75">
        <f>SUM(E51*2/100)</f>
        <v>0.6</v>
      </c>
      <c r="G51" s="13">
        <v>2730.49</v>
      </c>
      <c r="H51" s="76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73" t="s">
        <v>41</v>
      </c>
      <c r="C52" s="74" t="s">
        <v>42</v>
      </c>
      <c r="D52" s="73" t="s">
        <v>44</v>
      </c>
      <c r="E52" s="48">
        <v>1</v>
      </c>
      <c r="F52" s="75">
        <v>0.02</v>
      </c>
      <c r="G52" s="13">
        <v>5652.13</v>
      </c>
      <c r="H52" s="76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12</v>
      </c>
      <c r="B53" s="73" t="s">
        <v>43</v>
      </c>
      <c r="C53" s="74" t="s">
        <v>138</v>
      </c>
      <c r="D53" s="73" t="s">
        <v>76</v>
      </c>
      <c r="E53" s="48">
        <v>158</v>
      </c>
      <c r="F53" s="75">
        <f>SUM(E53)*3</f>
        <v>474</v>
      </c>
      <c r="G53" s="13">
        <v>65.67</v>
      </c>
      <c r="H53" s="76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0" t="s">
        <v>234</v>
      </c>
      <c r="B54" s="141"/>
      <c r="C54" s="141"/>
      <c r="D54" s="141"/>
      <c r="E54" s="141"/>
      <c r="F54" s="141"/>
      <c r="G54" s="141"/>
      <c r="H54" s="141"/>
      <c r="I54" s="142"/>
      <c r="J54" s="23"/>
      <c r="L54" s="19"/>
      <c r="M54" s="20"/>
      <c r="N54" s="21"/>
    </row>
    <row r="55" spans="1:22" ht="15.75" hidden="1" customHeight="1">
      <c r="A55" s="29"/>
      <c r="B55" s="96" t="s">
        <v>45</v>
      </c>
      <c r="C55" s="74"/>
      <c r="D55" s="73"/>
      <c r="E55" s="48"/>
      <c r="F55" s="75"/>
      <c r="G55" s="75"/>
      <c r="H55" s="76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73" t="s">
        <v>186</v>
      </c>
      <c r="C56" s="74" t="s">
        <v>117</v>
      </c>
      <c r="D56" s="73" t="s">
        <v>187</v>
      </c>
      <c r="E56" s="105">
        <v>6</v>
      </c>
      <c r="F56" s="13">
        <f>E56*8/100</f>
        <v>0.48</v>
      </c>
      <c r="G56" s="75">
        <v>1547.28</v>
      </c>
      <c r="H56" s="76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106"/>
      <c r="B57" s="73" t="s">
        <v>109</v>
      </c>
      <c r="C57" s="74" t="s">
        <v>110</v>
      </c>
      <c r="D57" s="73" t="s">
        <v>44</v>
      </c>
      <c r="E57" s="48">
        <v>6</v>
      </c>
      <c r="F57" s="75">
        <v>12</v>
      </c>
      <c r="G57" s="82">
        <v>180.78</v>
      </c>
      <c r="H57" s="76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97" t="s">
        <v>46</v>
      </c>
      <c r="C58" s="83"/>
      <c r="D58" s="84"/>
      <c r="E58" s="85"/>
      <c r="F58" s="87"/>
      <c r="G58" s="13"/>
      <c r="H58" s="89"/>
      <c r="I58" s="13"/>
      <c r="J58" s="23"/>
      <c r="L58" s="19"/>
      <c r="M58" s="20"/>
      <c r="N58" s="21"/>
    </row>
    <row r="59" spans="1:22" ht="15.75" customHeight="1">
      <c r="A59" s="29">
        <v>12</v>
      </c>
      <c r="B59" s="84" t="s">
        <v>105</v>
      </c>
      <c r="C59" s="83" t="s">
        <v>25</v>
      </c>
      <c r="D59" s="84"/>
      <c r="E59" s="85">
        <v>232.6</v>
      </c>
      <c r="F59" s="86">
        <f>E59*12</f>
        <v>2791.2</v>
      </c>
      <c r="G59" s="107">
        <v>2.5960000000000001</v>
      </c>
      <c r="H59" s="87">
        <f>G59*F59</f>
        <v>7245.9551999999994</v>
      </c>
      <c r="I59" s="13">
        <f>F59/12*G59</f>
        <v>603.82960000000003</v>
      </c>
      <c r="J59" s="23"/>
      <c r="L59" s="19"/>
    </row>
    <row r="60" spans="1:22" ht="15.75" customHeight="1">
      <c r="A60" s="29"/>
      <c r="B60" s="97" t="s">
        <v>48</v>
      </c>
      <c r="C60" s="83"/>
      <c r="D60" s="84"/>
      <c r="E60" s="85"/>
      <c r="F60" s="86"/>
      <c r="G60" s="86"/>
      <c r="H60" s="87" t="s">
        <v>146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13</v>
      </c>
      <c r="B61" s="14" t="s">
        <v>49</v>
      </c>
      <c r="C61" s="16" t="s">
        <v>138</v>
      </c>
      <c r="D61" s="14" t="s">
        <v>71</v>
      </c>
      <c r="E61" s="18">
        <v>15</v>
      </c>
      <c r="F61" s="75">
        <v>15</v>
      </c>
      <c r="G61" s="13">
        <v>209.41</v>
      </c>
      <c r="H61" s="90">
        <f t="shared" ref="H61:H68" si="8">SUM(F61*G61/1000)</f>
        <v>3.1411500000000001</v>
      </c>
      <c r="I61" s="13">
        <f>G61*9</f>
        <v>1884.69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50</v>
      </c>
      <c r="C62" s="16" t="s">
        <v>138</v>
      </c>
      <c r="D62" s="14" t="s">
        <v>71</v>
      </c>
      <c r="E62" s="18">
        <v>5</v>
      </c>
      <c r="F62" s="75">
        <v>5</v>
      </c>
      <c r="G62" s="13">
        <v>71.790000000000006</v>
      </c>
      <c r="H62" s="90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51</v>
      </c>
      <c r="C63" s="16" t="s">
        <v>140</v>
      </c>
      <c r="D63" s="14" t="s">
        <v>57</v>
      </c>
      <c r="E63" s="48">
        <v>18281</v>
      </c>
      <c r="F63" s="13">
        <f>SUM(E63/100)</f>
        <v>182.81</v>
      </c>
      <c r="G63" s="13">
        <v>199.77</v>
      </c>
      <c r="H63" s="90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>
        <v>25</v>
      </c>
      <c r="B64" s="14" t="s">
        <v>52</v>
      </c>
      <c r="C64" s="16" t="s">
        <v>141</v>
      </c>
      <c r="D64" s="14"/>
      <c r="E64" s="48">
        <v>18281</v>
      </c>
      <c r="F64" s="13">
        <f>SUM(E64/1000)</f>
        <v>18.280999999999999</v>
      </c>
      <c r="G64" s="13">
        <v>155.57</v>
      </c>
      <c r="H64" s="90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53</v>
      </c>
      <c r="C65" s="16" t="s">
        <v>82</v>
      </c>
      <c r="D65" s="14" t="s">
        <v>57</v>
      </c>
      <c r="E65" s="48">
        <v>2730</v>
      </c>
      <c r="F65" s="13">
        <f>SUM(E65/100)</f>
        <v>27.3</v>
      </c>
      <c r="G65" s="13">
        <v>1953.52</v>
      </c>
      <c r="H65" s="90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91" t="s">
        <v>142</v>
      </c>
      <c r="C66" s="16" t="s">
        <v>34</v>
      </c>
      <c r="D66" s="14"/>
      <c r="E66" s="48">
        <v>16.399999999999999</v>
      </c>
      <c r="F66" s="13">
        <f>SUM(E66)</f>
        <v>16.399999999999999</v>
      </c>
      <c r="G66" s="13">
        <v>40.270000000000003</v>
      </c>
      <c r="H66" s="90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91" t="s">
        <v>143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37.71</v>
      </c>
      <c r="H67" s="90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/>
      <c r="B68" s="14" t="s">
        <v>61</v>
      </c>
      <c r="C68" s="16" t="s">
        <v>62</v>
      </c>
      <c r="D68" s="14" t="s">
        <v>57</v>
      </c>
      <c r="E68" s="18">
        <v>7</v>
      </c>
      <c r="F68" s="75">
        <f>SUM(E68)</f>
        <v>7</v>
      </c>
      <c r="G68" s="13">
        <v>46.97</v>
      </c>
      <c r="H68" s="90">
        <f t="shared" si="8"/>
        <v>0.32878999999999997</v>
      </c>
      <c r="I68" s="13">
        <v>0</v>
      </c>
    </row>
    <row r="69" spans="1:9" ht="15.75" hidden="1" customHeight="1">
      <c r="A69" s="29"/>
      <c r="B69" s="104" t="s">
        <v>78</v>
      </c>
      <c r="C69" s="16"/>
      <c r="D69" s="14"/>
      <c r="E69" s="18"/>
      <c r="F69" s="13"/>
      <c r="G69" s="13"/>
      <c r="H69" s="90" t="s">
        <v>146</v>
      </c>
      <c r="I69" s="13"/>
    </row>
    <row r="70" spans="1:9" ht="15.75" hidden="1" customHeight="1">
      <c r="A70" s="29"/>
      <c r="B70" s="14" t="s">
        <v>96</v>
      </c>
      <c r="C70" s="16" t="s">
        <v>31</v>
      </c>
      <c r="D70" s="14"/>
      <c r="E70" s="18">
        <v>1</v>
      </c>
      <c r="F70" s="75">
        <f>SUM(E70)</f>
        <v>1</v>
      </c>
      <c r="G70" s="13">
        <v>337.58</v>
      </c>
      <c r="H70" s="90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80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90">
        <f>F71*G71/1000</f>
        <v>1.6063800000000001</v>
      </c>
      <c r="I71" s="13">
        <v>0</v>
      </c>
    </row>
    <row r="72" spans="1:9" ht="15.75" hidden="1" customHeight="1">
      <c r="A72" s="29"/>
      <c r="B72" s="92" t="s">
        <v>81</v>
      </c>
      <c r="C72" s="16"/>
      <c r="D72" s="14"/>
      <c r="E72" s="18"/>
      <c r="F72" s="13"/>
      <c r="G72" s="13" t="s">
        <v>146</v>
      </c>
      <c r="H72" s="90" t="s">
        <v>146</v>
      </c>
      <c r="I72" s="13"/>
    </row>
    <row r="73" spans="1:9" ht="15.75" hidden="1" customHeight="1">
      <c r="A73" s="29"/>
      <c r="B73" s="42" t="s">
        <v>147</v>
      </c>
      <c r="C73" s="16" t="s">
        <v>82</v>
      </c>
      <c r="D73" s="14"/>
      <c r="E73" s="18"/>
      <c r="F73" s="13">
        <v>1.35</v>
      </c>
      <c r="G73" s="13">
        <v>2494</v>
      </c>
      <c r="H73" s="90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78" t="s">
        <v>144</v>
      </c>
      <c r="C74" s="92"/>
      <c r="D74" s="31"/>
      <c r="E74" s="32"/>
      <c r="F74" s="79"/>
      <c r="G74" s="79"/>
      <c r="H74" s="93">
        <f>SUM(H56:H73)</f>
        <v>7351.9809012699989</v>
      </c>
      <c r="I74" s="79"/>
    </row>
    <row r="75" spans="1:9" ht="15.75" hidden="1" customHeight="1">
      <c r="A75" s="29">
        <v>29</v>
      </c>
      <c r="B75" s="73" t="s">
        <v>145</v>
      </c>
      <c r="C75" s="16"/>
      <c r="D75" s="14"/>
      <c r="E75" s="67"/>
      <c r="F75" s="13">
        <v>1</v>
      </c>
      <c r="G75" s="13">
        <v>17359.8</v>
      </c>
      <c r="H75" s="90">
        <f>G75*F75/1000</f>
        <v>17.3598</v>
      </c>
      <c r="I75" s="13">
        <f>G75</f>
        <v>17359.8</v>
      </c>
    </row>
    <row r="76" spans="1:9" ht="15.75" customHeight="1">
      <c r="A76" s="129" t="s">
        <v>235</v>
      </c>
      <c r="B76" s="130"/>
      <c r="C76" s="130"/>
      <c r="D76" s="130"/>
      <c r="E76" s="130"/>
      <c r="F76" s="130"/>
      <c r="G76" s="130"/>
      <c r="H76" s="130"/>
      <c r="I76" s="131"/>
    </row>
    <row r="77" spans="1:9" ht="15.75" customHeight="1">
      <c r="A77" s="29">
        <v>14</v>
      </c>
      <c r="B77" s="73" t="s">
        <v>148</v>
      </c>
      <c r="C77" s="16" t="s">
        <v>58</v>
      </c>
      <c r="D77" s="94" t="s">
        <v>59</v>
      </c>
      <c r="E77" s="13">
        <v>4224.3999999999996</v>
      </c>
      <c r="F77" s="13">
        <f>SUM(E77*12)</f>
        <v>50692.799999999996</v>
      </c>
      <c r="G77" s="13">
        <v>2.1</v>
      </c>
      <c r="H77" s="90">
        <f>SUM(F77*G77/1000)</f>
        <v>106.45487999999999</v>
      </c>
      <c r="I77" s="13">
        <f>F77/12*G77</f>
        <v>8871.24</v>
      </c>
    </row>
    <row r="78" spans="1:9" ht="31.5" customHeight="1">
      <c r="A78" s="29">
        <v>15</v>
      </c>
      <c r="B78" s="14" t="s">
        <v>83</v>
      </c>
      <c r="C78" s="16"/>
      <c r="D78" s="94" t="s">
        <v>59</v>
      </c>
      <c r="E78" s="48">
        <v>4224.3999999999996</v>
      </c>
      <c r="F78" s="13">
        <f>E78*12</f>
        <v>50692.799999999996</v>
      </c>
      <c r="G78" s="13">
        <v>1.63</v>
      </c>
      <c r="H78" s="90">
        <f>F78*G78/1000</f>
        <v>82.629263999999978</v>
      </c>
      <c r="I78" s="13">
        <f>F78/12*G78</f>
        <v>6885.771999999999</v>
      </c>
    </row>
    <row r="79" spans="1:9" ht="15.75" customHeight="1">
      <c r="A79" s="102"/>
      <c r="B79" s="34" t="s">
        <v>86</v>
      </c>
      <c r="C79" s="35"/>
      <c r="D79" s="15"/>
      <c r="E79" s="15"/>
      <c r="F79" s="15"/>
      <c r="G79" s="18"/>
      <c r="H79" s="18"/>
      <c r="I79" s="32">
        <f>SUM(I16+I17+I18+I20+I21+I25+I26+I29+I30+I32+I33+I59+I61+I77+I78)</f>
        <v>60605.604017555554</v>
      </c>
    </row>
    <row r="80" spans="1:9" ht="15.75" customHeight="1">
      <c r="A80" s="147" t="s">
        <v>64</v>
      </c>
      <c r="B80" s="148"/>
      <c r="C80" s="148"/>
      <c r="D80" s="148"/>
      <c r="E80" s="148"/>
      <c r="F80" s="148"/>
      <c r="G80" s="148"/>
      <c r="H80" s="148"/>
      <c r="I80" s="149"/>
    </row>
    <row r="81" spans="1:9" ht="31.5" customHeight="1">
      <c r="A81" s="29">
        <v>16</v>
      </c>
      <c r="B81" s="46" t="s">
        <v>97</v>
      </c>
      <c r="C81" s="49" t="s">
        <v>101</v>
      </c>
      <c r="D81" s="42"/>
      <c r="E81" s="13"/>
      <c r="F81" s="13">
        <v>11</v>
      </c>
      <c r="G81" s="13">
        <v>589.84</v>
      </c>
      <c r="H81" s="90">
        <f t="shared" ref="H81" si="12">G81*F81/1000</f>
        <v>6.4882400000000011</v>
      </c>
      <c r="I81" s="13">
        <f>G81</f>
        <v>589.84</v>
      </c>
    </row>
    <row r="82" spans="1:9" ht="15.75" customHeight="1">
      <c r="A82" s="29">
        <v>17</v>
      </c>
      <c r="B82" s="46" t="s">
        <v>200</v>
      </c>
      <c r="C82" s="49" t="s">
        <v>138</v>
      </c>
      <c r="D82" s="42"/>
      <c r="E82" s="13"/>
      <c r="F82" s="13">
        <v>5</v>
      </c>
      <c r="G82" s="13">
        <v>108</v>
      </c>
      <c r="H82" s="90">
        <f>G82*F82/1000</f>
        <v>0.54</v>
      </c>
      <c r="I82" s="13">
        <f>G82*2</f>
        <v>216</v>
      </c>
    </row>
    <row r="83" spans="1:9" ht="15.75" customHeight="1">
      <c r="A83" s="29">
        <v>18</v>
      </c>
      <c r="B83" s="46" t="s">
        <v>198</v>
      </c>
      <c r="C83" s="49" t="s">
        <v>138</v>
      </c>
      <c r="D83" s="42"/>
      <c r="E83" s="13"/>
      <c r="F83" s="13">
        <v>640</v>
      </c>
      <c r="G83" s="13">
        <v>53.42</v>
      </c>
      <c r="H83" s="90">
        <f t="shared" ref="H83:H88" si="13">G83*F83/1000</f>
        <v>34.188800000000001</v>
      </c>
      <c r="I83" s="13">
        <f>G83*80</f>
        <v>4273.6000000000004</v>
      </c>
    </row>
    <row r="84" spans="1:9" ht="15.75" customHeight="1">
      <c r="A84" s="29">
        <v>19</v>
      </c>
      <c r="B84" s="46" t="s">
        <v>88</v>
      </c>
      <c r="C84" s="49" t="s">
        <v>138</v>
      </c>
      <c r="D84" s="42"/>
      <c r="E84" s="13"/>
      <c r="F84" s="13">
        <v>6</v>
      </c>
      <c r="G84" s="13">
        <v>189.88</v>
      </c>
      <c r="H84" s="90">
        <f t="shared" si="13"/>
        <v>1.1392800000000001</v>
      </c>
      <c r="I84" s="13">
        <f>G84*3</f>
        <v>569.64</v>
      </c>
    </row>
    <row r="85" spans="1:9" ht="31.5" customHeight="1">
      <c r="A85" s="29">
        <v>20</v>
      </c>
      <c r="B85" s="46" t="s">
        <v>164</v>
      </c>
      <c r="C85" s="49" t="s">
        <v>40</v>
      </c>
      <c r="D85" s="42"/>
      <c r="E85" s="13"/>
      <c r="F85" s="13">
        <v>0.05</v>
      </c>
      <c r="G85" s="13">
        <v>3581.13</v>
      </c>
      <c r="H85" s="90">
        <f t="shared" si="13"/>
        <v>0.17905650000000004</v>
      </c>
      <c r="I85" s="13">
        <f>G85*0.02</f>
        <v>71.622600000000006</v>
      </c>
    </row>
    <row r="86" spans="1:9" ht="15" customHeight="1">
      <c r="A86" s="29">
        <v>21</v>
      </c>
      <c r="B86" s="46" t="s">
        <v>202</v>
      </c>
      <c r="C86" s="49" t="s">
        <v>138</v>
      </c>
      <c r="D86" s="14"/>
      <c r="E86" s="18"/>
      <c r="F86" s="13">
        <v>8</v>
      </c>
      <c r="G86" s="13">
        <v>140</v>
      </c>
      <c r="H86" s="90">
        <f t="shared" si="13"/>
        <v>1.1200000000000001</v>
      </c>
      <c r="I86" s="13">
        <f>G86*3</f>
        <v>420</v>
      </c>
    </row>
    <row r="87" spans="1:9" ht="15.75" customHeight="1">
      <c r="A87" s="29">
        <v>22</v>
      </c>
      <c r="B87" s="46" t="s">
        <v>211</v>
      </c>
      <c r="C87" s="49" t="s">
        <v>101</v>
      </c>
      <c r="D87" s="42"/>
      <c r="E87" s="13"/>
      <c r="F87" s="13">
        <v>1</v>
      </c>
      <c r="G87" s="13">
        <v>832.06</v>
      </c>
      <c r="H87" s="90">
        <f t="shared" si="13"/>
        <v>0.83205999999999991</v>
      </c>
      <c r="I87" s="13">
        <f>G87</f>
        <v>832.06</v>
      </c>
    </row>
    <row r="88" spans="1:9" ht="15.75" customHeight="1">
      <c r="A88" s="29">
        <v>23</v>
      </c>
      <c r="B88" s="46" t="s">
        <v>212</v>
      </c>
      <c r="C88" s="49" t="s">
        <v>138</v>
      </c>
      <c r="D88" s="42"/>
      <c r="E88" s="13"/>
      <c r="F88" s="13">
        <v>3</v>
      </c>
      <c r="G88" s="13">
        <v>61</v>
      </c>
      <c r="H88" s="90">
        <f t="shared" si="13"/>
        <v>0.183</v>
      </c>
      <c r="I88" s="13">
        <f>G88*2</f>
        <v>122</v>
      </c>
    </row>
    <row r="89" spans="1:9" ht="15.75" customHeight="1">
      <c r="A89" s="29">
        <v>24</v>
      </c>
      <c r="B89" s="46" t="s">
        <v>79</v>
      </c>
      <c r="C89" s="49" t="s">
        <v>214</v>
      </c>
      <c r="D89" s="117"/>
      <c r="E89" s="118"/>
      <c r="F89" s="118">
        <f>8/10</f>
        <v>0.8</v>
      </c>
      <c r="G89" s="118">
        <v>657.87</v>
      </c>
      <c r="H89" s="119">
        <f>G89*F89/1000</f>
        <v>0.5262960000000001</v>
      </c>
      <c r="I89" s="13">
        <f>G89*0.6</f>
        <v>394.72199999999998</v>
      </c>
    </row>
    <row r="90" spans="1:9" ht="15.75" customHeight="1">
      <c r="A90" s="29">
        <v>25</v>
      </c>
      <c r="B90" s="46" t="s">
        <v>239</v>
      </c>
      <c r="C90" s="49" t="s">
        <v>138</v>
      </c>
      <c r="D90" s="42"/>
      <c r="E90" s="13"/>
      <c r="F90" s="13">
        <v>1</v>
      </c>
      <c r="G90" s="13">
        <v>204</v>
      </c>
      <c r="H90" s="90">
        <f>G90*F90/1000</f>
        <v>0.20399999999999999</v>
      </c>
      <c r="I90" s="13">
        <f>G90</f>
        <v>204</v>
      </c>
    </row>
    <row r="91" spans="1:9" ht="15.75" customHeight="1">
      <c r="A91" s="29">
        <v>26</v>
      </c>
      <c r="B91" s="46" t="s">
        <v>236</v>
      </c>
      <c r="C91" s="49" t="s">
        <v>138</v>
      </c>
      <c r="D91" s="42"/>
      <c r="E91" s="13"/>
      <c r="F91" s="13">
        <v>1</v>
      </c>
      <c r="G91" s="13">
        <v>63</v>
      </c>
      <c r="H91" s="90">
        <f t="shared" ref="H91:H96" si="14">G91*F91/1000</f>
        <v>6.3E-2</v>
      </c>
      <c r="I91" s="13">
        <f t="shared" ref="I91" si="15">G91</f>
        <v>63</v>
      </c>
    </row>
    <row r="92" spans="1:9" ht="31.5" customHeight="1">
      <c r="A92" s="29">
        <v>27</v>
      </c>
      <c r="B92" s="46" t="s">
        <v>240</v>
      </c>
      <c r="C92" s="49" t="s">
        <v>101</v>
      </c>
      <c r="D92" s="42"/>
      <c r="E92" s="13"/>
      <c r="F92" s="13">
        <v>3</v>
      </c>
      <c r="G92" s="13">
        <v>727.73</v>
      </c>
      <c r="H92" s="90">
        <f t="shared" si="14"/>
        <v>2.1831900000000002</v>
      </c>
      <c r="I92" s="13">
        <f>G92*2</f>
        <v>1455.46</v>
      </c>
    </row>
    <row r="93" spans="1:9" ht="15.75" customHeight="1">
      <c r="A93" s="29">
        <v>28</v>
      </c>
      <c r="B93" s="46" t="s">
        <v>241</v>
      </c>
      <c r="C93" s="49" t="s">
        <v>138</v>
      </c>
      <c r="D93" s="42"/>
      <c r="E93" s="13"/>
      <c r="F93" s="13">
        <v>2</v>
      </c>
      <c r="G93" s="13">
        <v>22</v>
      </c>
      <c r="H93" s="90">
        <f t="shared" si="14"/>
        <v>4.3999999999999997E-2</v>
      </c>
      <c r="I93" s="13">
        <f>G93*2</f>
        <v>44</v>
      </c>
    </row>
    <row r="94" spans="1:9" ht="15.75" customHeight="1">
      <c r="A94" s="29">
        <v>29</v>
      </c>
      <c r="B94" s="46" t="s">
        <v>237</v>
      </c>
      <c r="C94" s="49" t="s">
        <v>138</v>
      </c>
      <c r="D94" s="42"/>
      <c r="E94" s="13"/>
      <c r="F94" s="13">
        <v>1</v>
      </c>
      <c r="G94" s="13">
        <v>62</v>
      </c>
      <c r="H94" s="90">
        <f t="shared" si="14"/>
        <v>6.2E-2</v>
      </c>
      <c r="I94" s="13">
        <f>G94</f>
        <v>62</v>
      </c>
    </row>
    <row r="95" spans="1:9" ht="15.75" customHeight="1">
      <c r="A95" s="29">
        <v>30</v>
      </c>
      <c r="B95" s="46" t="s">
        <v>162</v>
      </c>
      <c r="C95" s="49" t="s">
        <v>163</v>
      </c>
      <c r="D95" s="42"/>
      <c r="E95" s="13"/>
      <c r="F95" s="13">
        <v>0.01</v>
      </c>
      <c r="G95" s="13">
        <v>7412.92</v>
      </c>
      <c r="H95" s="90">
        <f t="shared" si="14"/>
        <v>7.4129199999999992E-2</v>
      </c>
      <c r="I95" s="13">
        <f>G95*0.01</f>
        <v>74.129199999999997</v>
      </c>
    </row>
    <row r="96" spans="1:9" ht="31.5" customHeight="1">
      <c r="A96" s="29">
        <v>31</v>
      </c>
      <c r="B96" s="46" t="s">
        <v>238</v>
      </c>
      <c r="C96" s="49" t="s">
        <v>106</v>
      </c>
      <c r="D96" s="42"/>
      <c r="E96" s="13"/>
      <c r="F96" s="13">
        <f>97.6/10</f>
        <v>9.76</v>
      </c>
      <c r="G96" s="13">
        <v>2166.5300000000002</v>
      </c>
      <c r="H96" s="90">
        <f t="shared" si="14"/>
        <v>21.145332799999998</v>
      </c>
      <c r="I96" s="13">
        <f>G96*F96</f>
        <v>21145.3328</v>
      </c>
    </row>
    <row r="97" spans="1:9" ht="15.75" customHeight="1">
      <c r="A97" s="29">
        <v>32</v>
      </c>
      <c r="B97" s="42" t="s">
        <v>95</v>
      </c>
      <c r="C97" s="16" t="s">
        <v>111</v>
      </c>
      <c r="D97" s="42"/>
      <c r="E97" s="13"/>
      <c r="F97" s="13">
        <v>4</v>
      </c>
      <c r="G97" s="13">
        <v>1582</v>
      </c>
      <c r="H97" s="90">
        <f>G97*F97/1000</f>
        <v>6.3280000000000003</v>
      </c>
      <c r="I97" s="13">
        <f>G97*4</f>
        <v>6328</v>
      </c>
    </row>
    <row r="98" spans="1:9" ht="15.75" customHeight="1">
      <c r="A98" s="29"/>
      <c r="B98" s="40" t="s">
        <v>54</v>
      </c>
      <c r="C98" s="36"/>
      <c r="D98" s="44"/>
      <c r="E98" s="36">
        <v>1</v>
      </c>
      <c r="F98" s="36"/>
      <c r="G98" s="36"/>
      <c r="H98" s="36"/>
      <c r="I98" s="32">
        <f>SUM(I81:I97)</f>
        <v>36865.406600000002</v>
      </c>
    </row>
    <row r="99" spans="1:9" ht="15.75" customHeight="1">
      <c r="A99" s="29"/>
      <c r="B99" s="42" t="s">
        <v>84</v>
      </c>
      <c r="C99" s="15"/>
      <c r="D99" s="15"/>
      <c r="E99" s="37"/>
      <c r="F99" s="37"/>
      <c r="G99" s="38"/>
      <c r="H99" s="38"/>
      <c r="I99" s="17">
        <v>0</v>
      </c>
    </row>
    <row r="100" spans="1:9" ht="15.75" customHeight="1">
      <c r="A100" s="45"/>
      <c r="B100" s="41" t="s">
        <v>180</v>
      </c>
      <c r="C100" s="33"/>
      <c r="D100" s="33"/>
      <c r="E100" s="33"/>
      <c r="F100" s="33"/>
      <c r="G100" s="33"/>
      <c r="H100" s="33"/>
      <c r="I100" s="39">
        <f>I79+I98</f>
        <v>97471.010617555556</v>
      </c>
    </row>
    <row r="101" spans="1:9" ht="15.75" customHeight="1">
      <c r="A101" s="143" t="s">
        <v>244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 customHeight="1">
      <c r="A102" s="56"/>
      <c r="B102" s="144" t="s">
        <v>245</v>
      </c>
      <c r="C102" s="144"/>
      <c r="D102" s="144"/>
      <c r="E102" s="144"/>
      <c r="F102" s="144"/>
      <c r="G102" s="144"/>
      <c r="H102" s="71"/>
      <c r="I102" s="3"/>
    </row>
    <row r="103" spans="1:9" ht="15.75" customHeight="1">
      <c r="A103" s="100"/>
      <c r="B103" s="145" t="s">
        <v>6</v>
      </c>
      <c r="C103" s="145"/>
      <c r="D103" s="145"/>
      <c r="E103" s="145"/>
      <c r="F103" s="145"/>
      <c r="G103" s="145"/>
      <c r="H103" s="24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46" t="s">
        <v>7</v>
      </c>
      <c r="B105" s="146"/>
      <c r="C105" s="146"/>
      <c r="D105" s="146"/>
      <c r="E105" s="146"/>
      <c r="F105" s="146"/>
      <c r="G105" s="146"/>
      <c r="H105" s="146"/>
      <c r="I105" s="146"/>
    </row>
    <row r="106" spans="1:9" ht="15.75" customHeight="1">
      <c r="A106" s="146" t="s">
        <v>8</v>
      </c>
      <c r="B106" s="146"/>
      <c r="C106" s="146"/>
      <c r="D106" s="146"/>
      <c r="E106" s="146"/>
      <c r="F106" s="146"/>
      <c r="G106" s="146"/>
      <c r="H106" s="146"/>
      <c r="I106" s="146"/>
    </row>
    <row r="107" spans="1:9" ht="15.75" customHeight="1">
      <c r="A107" s="138" t="s">
        <v>65</v>
      </c>
      <c r="B107" s="138"/>
      <c r="C107" s="138"/>
      <c r="D107" s="138"/>
      <c r="E107" s="138"/>
      <c r="F107" s="138"/>
      <c r="G107" s="138"/>
      <c r="H107" s="138"/>
      <c r="I107" s="138"/>
    </row>
    <row r="108" spans="1:9" ht="15.75" customHeight="1">
      <c r="A108" s="11"/>
    </row>
    <row r="109" spans="1:9" ht="15.75" customHeight="1">
      <c r="A109" s="151" t="s">
        <v>9</v>
      </c>
      <c r="B109" s="151"/>
      <c r="C109" s="151"/>
      <c r="D109" s="151"/>
      <c r="E109" s="151"/>
      <c r="F109" s="151"/>
      <c r="G109" s="151"/>
      <c r="H109" s="151"/>
      <c r="I109" s="151"/>
    </row>
    <row r="110" spans="1:9" ht="15.75" customHeight="1">
      <c r="A110" s="4"/>
    </row>
    <row r="111" spans="1:9" ht="15.75" customHeight="1">
      <c r="B111" s="101" t="s">
        <v>10</v>
      </c>
      <c r="C111" s="152" t="s">
        <v>98</v>
      </c>
      <c r="D111" s="152"/>
      <c r="E111" s="152"/>
      <c r="F111" s="69"/>
      <c r="I111" s="99"/>
    </row>
    <row r="112" spans="1:9" ht="15.75" customHeight="1">
      <c r="A112" s="100"/>
      <c r="C112" s="145" t="s">
        <v>11</v>
      </c>
      <c r="D112" s="145"/>
      <c r="E112" s="145"/>
      <c r="F112" s="24"/>
      <c r="I112" s="98" t="s">
        <v>12</v>
      </c>
    </row>
    <row r="113" spans="1:9" ht="15.75" customHeight="1">
      <c r="A113" s="25"/>
      <c r="C113" s="12"/>
      <c r="D113" s="12"/>
      <c r="G113" s="12"/>
      <c r="H113" s="12"/>
    </row>
    <row r="114" spans="1:9" ht="15.75" customHeight="1">
      <c r="B114" s="101" t="s">
        <v>13</v>
      </c>
      <c r="C114" s="153"/>
      <c r="D114" s="153"/>
      <c r="E114" s="153"/>
      <c r="F114" s="70"/>
      <c r="I114" s="99"/>
    </row>
    <row r="115" spans="1:9" ht="15.75" customHeight="1">
      <c r="A115" s="100"/>
      <c r="C115" s="128" t="s">
        <v>11</v>
      </c>
      <c r="D115" s="128"/>
      <c r="E115" s="128"/>
      <c r="F115" s="100"/>
      <c r="I115" s="98" t="s">
        <v>12</v>
      </c>
    </row>
    <row r="116" spans="1:9" ht="15.75" customHeight="1">
      <c r="A116" s="4" t="s">
        <v>14</v>
      </c>
    </row>
    <row r="117" spans="1:9" ht="15.75" customHeight="1">
      <c r="A117" s="154" t="s">
        <v>15</v>
      </c>
      <c r="B117" s="154"/>
      <c r="C117" s="154"/>
      <c r="D117" s="154"/>
      <c r="E117" s="154"/>
      <c r="F117" s="154"/>
      <c r="G117" s="154"/>
      <c r="H117" s="154"/>
      <c r="I117" s="154"/>
    </row>
    <row r="118" spans="1:9" ht="45" customHeight="1">
      <c r="A118" s="150" t="s">
        <v>16</v>
      </c>
      <c r="B118" s="150"/>
      <c r="C118" s="150"/>
      <c r="D118" s="150"/>
      <c r="E118" s="150"/>
      <c r="F118" s="150"/>
      <c r="G118" s="150"/>
      <c r="H118" s="150"/>
      <c r="I118" s="150"/>
    </row>
    <row r="119" spans="1:9" ht="30" customHeight="1">
      <c r="A119" s="150" t="s">
        <v>17</v>
      </c>
      <c r="B119" s="150"/>
      <c r="C119" s="150"/>
      <c r="D119" s="150"/>
      <c r="E119" s="150"/>
      <c r="F119" s="150"/>
      <c r="G119" s="150"/>
      <c r="H119" s="150"/>
      <c r="I119" s="150"/>
    </row>
    <row r="120" spans="1:9" ht="30" customHeight="1">
      <c r="A120" s="150" t="s">
        <v>21</v>
      </c>
      <c r="B120" s="150"/>
      <c r="C120" s="150"/>
      <c r="D120" s="150"/>
      <c r="E120" s="150"/>
      <c r="F120" s="150"/>
      <c r="G120" s="150"/>
      <c r="H120" s="150"/>
      <c r="I120" s="150"/>
    </row>
    <row r="121" spans="1:9" ht="15" customHeight="1">
      <c r="A121" s="150" t="s">
        <v>20</v>
      </c>
      <c r="B121" s="150"/>
      <c r="C121" s="150"/>
      <c r="D121" s="150"/>
      <c r="E121" s="150"/>
      <c r="F121" s="150"/>
      <c r="G121" s="150"/>
      <c r="H121" s="150"/>
      <c r="I121" s="150"/>
    </row>
  </sheetData>
  <autoFilter ref="I12:I59"/>
  <mergeCells count="29">
    <mergeCell ref="A117:I117"/>
    <mergeCell ref="A118:I118"/>
    <mergeCell ref="A119:I119"/>
    <mergeCell ref="A120:I120"/>
    <mergeCell ref="A121:I121"/>
    <mergeCell ref="R63:U63"/>
    <mergeCell ref="C115:E115"/>
    <mergeCell ref="A80:I80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246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247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42978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73" t="s">
        <v>68</v>
      </c>
      <c r="C25" s="74" t="s">
        <v>34</v>
      </c>
      <c r="D25" s="73" t="s">
        <v>157</v>
      </c>
      <c r="E25" s="48">
        <v>0.1</v>
      </c>
      <c r="F25" s="75">
        <f>SUM(E25*365)</f>
        <v>36.5</v>
      </c>
      <c r="G25" s="75">
        <v>147.03</v>
      </c>
      <c r="H25" s="76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81" t="s">
        <v>23</v>
      </c>
      <c r="C26" s="74" t="s">
        <v>24</v>
      </c>
      <c r="D26" s="81" t="s">
        <v>157</v>
      </c>
      <c r="E26" s="48">
        <v>4224.3999999999996</v>
      </c>
      <c r="F26" s="75">
        <f>SUM(E26*12)</f>
        <v>50692.799999999996</v>
      </c>
      <c r="G26" s="75">
        <v>4.59</v>
      </c>
      <c r="H26" s="76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39" t="s">
        <v>92</v>
      </c>
      <c r="B27" s="139"/>
      <c r="C27" s="139"/>
      <c r="D27" s="139"/>
      <c r="E27" s="139"/>
      <c r="F27" s="139"/>
      <c r="G27" s="139"/>
      <c r="H27" s="139"/>
      <c r="I27" s="139"/>
      <c r="J27" s="22"/>
      <c r="K27" s="8"/>
      <c r="L27" s="8"/>
      <c r="M27" s="8"/>
    </row>
    <row r="28" spans="1:13" ht="15.75" customHeight="1">
      <c r="A28" s="29"/>
      <c r="B28" s="96" t="s">
        <v>28</v>
      </c>
      <c r="C28" s="74"/>
      <c r="D28" s="73"/>
      <c r="E28" s="48"/>
      <c r="F28" s="75"/>
      <c r="G28" s="75"/>
      <c r="H28" s="76"/>
      <c r="I28" s="13"/>
      <c r="J28" s="22"/>
      <c r="K28" s="8"/>
      <c r="L28" s="8"/>
      <c r="M28" s="8"/>
    </row>
    <row r="29" spans="1:13" ht="15.75" customHeight="1">
      <c r="A29" s="29">
        <v>8</v>
      </c>
      <c r="B29" s="73" t="s">
        <v>125</v>
      </c>
      <c r="C29" s="74" t="s">
        <v>126</v>
      </c>
      <c r="D29" s="73" t="s">
        <v>127</v>
      </c>
      <c r="E29" s="75">
        <v>1414.6</v>
      </c>
      <c r="F29" s="75">
        <f>SUM(E29*52/1000)</f>
        <v>73.559200000000004</v>
      </c>
      <c r="G29" s="75">
        <v>155.88999999999999</v>
      </c>
      <c r="H29" s="76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73" t="s">
        <v>166</v>
      </c>
      <c r="C30" s="74" t="s">
        <v>126</v>
      </c>
      <c r="D30" s="73" t="s">
        <v>128</v>
      </c>
      <c r="E30" s="75">
        <v>632.4</v>
      </c>
      <c r="F30" s="75">
        <f>SUM(E30*78/1000)</f>
        <v>49.327199999999998</v>
      </c>
      <c r="G30" s="75">
        <v>258.63</v>
      </c>
      <c r="H30" s="76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73" t="s">
        <v>27</v>
      </c>
      <c r="C31" s="74" t="s">
        <v>126</v>
      </c>
      <c r="D31" s="73" t="s">
        <v>57</v>
      </c>
      <c r="E31" s="75">
        <v>1414.6</v>
      </c>
      <c r="F31" s="75">
        <f>SUM(E31/1000)</f>
        <v>1.4145999999999999</v>
      </c>
      <c r="G31" s="75">
        <v>3020.33</v>
      </c>
      <c r="H31" s="76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73" t="s">
        <v>129</v>
      </c>
      <c r="C32" s="74" t="s">
        <v>42</v>
      </c>
      <c r="D32" s="73" t="s">
        <v>67</v>
      </c>
      <c r="E32" s="75">
        <v>6</v>
      </c>
      <c r="F32" s="75">
        <f>SUM(E32*155/100)</f>
        <v>9.3000000000000007</v>
      </c>
      <c r="G32" s="75">
        <v>1302.02</v>
      </c>
      <c r="H32" s="76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73" t="s">
        <v>130</v>
      </c>
      <c r="C33" s="74" t="s">
        <v>31</v>
      </c>
      <c r="D33" s="73" t="s">
        <v>67</v>
      </c>
      <c r="E33" s="80">
        <v>0.33333333333333331</v>
      </c>
      <c r="F33" s="75">
        <f>155/3</f>
        <v>51.666666666666664</v>
      </c>
      <c r="G33" s="75">
        <v>56.69</v>
      </c>
      <c r="H33" s="76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73" t="s">
        <v>69</v>
      </c>
      <c r="C34" s="74" t="s">
        <v>34</v>
      </c>
      <c r="D34" s="73" t="s">
        <v>71</v>
      </c>
      <c r="E34" s="48"/>
      <c r="F34" s="75">
        <v>4</v>
      </c>
      <c r="G34" s="75">
        <v>191.32</v>
      </c>
      <c r="H34" s="76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73" t="s">
        <v>70</v>
      </c>
      <c r="C35" s="74" t="s">
        <v>33</v>
      </c>
      <c r="D35" s="73" t="s">
        <v>71</v>
      </c>
      <c r="E35" s="48"/>
      <c r="F35" s="75">
        <v>3</v>
      </c>
      <c r="G35" s="75">
        <v>1136.33</v>
      </c>
      <c r="H35" s="76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96" t="s">
        <v>5</v>
      </c>
      <c r="C36" s="74"/>
      <c r="D36" s="73"/>
      <c r="E36" s="48"/>
      <c r="F36" s="75"/>
      <c r="G36" s="75"/>
      <c r="H36" s="76" t="s">
        <v>146</v>
      </c>
      <c r="I36" s="13"/>
      <c r="J36" s="23"/>
    </row>
    <row r="37" spans="1:14" ht="15.75" hidden="1" customHeight="1">
      <c r="A37" s="29">
        <v>8</v>
      </c>
      <c r="B37" s="73" t="s">
        <v>26</v>
      </c>
      <c r="C37" s="74" t="s">
        <v>33</v>
      </c>
      <c r="D37" s="73"/>
      <c r="E37" s="48"/>
      <c r="F37" s="75">
        <v>20</v>
      </c>
      <c r="G37" s="75">
        <v>1527.22</v>
      </c>
      <c r="H37" s="76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73" t="s">
        <v>72</v>
      </c>
      <c r="C38" s="74" t="s">
        <v>29</v>
      </c>
      <c r="D38" s="73" t="s">
        <v>182</v>
      </c>
      <c r="E38" s="75">
        <v>632.4</v>
      </c>
      <c r="F38" s="75">
        <f>SUM(E38*50/1000)</f>
        <v>31.62</v>
      </c>
      <c r="G38" s="75">
        <v>2102.71</v>
      </c>
      <c r="H38" s="76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73" t="s">
        <v>104</v>
      </c>
      <c r="C39" s="74" t="s">
        <v>132</v>
      </c>
      <c r="D39" s="73" t="s">
        <v>71</v>
      </c>
      <c r="E39" s="48"/>
      <c r="F39" s="75">
        <v>30</v>
      </c>
      <c r="G39" s="75">
        <v>213.2</v>
      </c>
      <c r="H39" s="76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73" t="s">
        <v>73</v>
      </c>
      <c r="C40" s="74" t="s">
        <v>29</v>
      </c>
      <c r="D40" s="73" t="s">
        <v>133</v>
      </c>
      <c r="E40" s="75">
        <v>106</v>
      </c>
      <c r="F40" s="75">
        <f>SUM(E40*155/1000)</f>
        <v>16.43</v>
      </c>
      <c r="G40" s="75">
        <v>350.75</v>
      </c>
      <c r="H40" s="76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73" t="s">
        <v>89</v>
      </c>
      <c r="C41" s="74" t="s">
        <v>126</v>
      </c>
      <c r="D41" s="73" t="s">
        <v>183</v>
      </c>
      <c r="E41" s="75">
        <v>106</v>
      </c>
      <c r="F41" s="75">
        <f>SUM(E41*70/1000)</f>
        <v>7.42</v>
      </c>
      <c r="G41" s="75">
        <v>5803.28</v>
      </c>
      <c r="H41" s="76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73" t="s">
        <v>135</v>
      </c>
      <c r="C42" s="74" t="s">
        <v>126</v>
      </c>
      <c r="D42" s="73" t="s">
        <v>74</v>
      </c>
      <c r="E42" s="75">
        <v>106</v>
      </c>
      <c r="F42" s="75">
        <f>SUM(E42*45/1000)</f>
        <v>4.7699999999999996</v>
      </c>
      <c r="G42" s="75">
        <v>428.7</v>
      </c>
      <c r="H42" s="76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73" t="s">
        <v>75</v>
      </c>
      <c r="C43" s="74" t="s">
        <v>34</v>
      </c>
      <c r="D43" s="73"/>
      <c r="E43" s="48"/>
      <c r="F43" s="75">
        <v>0.9</v>
      </c>
      <c r="G43" s="75">
        <v>798</v>
      </c>
      <c r="H43" s="76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140" t="s">
        <v>152</v>
      </c>
      <c r="B44" s="141"/>
      <c r="C44" s="141"/>
      <c r="D44" s="141"/>
      <c r="E44" s="141"/>
      <c r="F44" s="141"/>
      <c r="G44" s="141"/>
      <c r="H44" s="141"/>
      <c r="I44" s="142"/>
      <c r="J44" s="23"/>
      <c r="L44" s="19"/>
      <c r="M44" s="20"/>
      <c r="N44" s="21"/>
    </row>
    <row r="45" spans="1:14" ht="15.75" hidden="1" customHeight="1">
      <c r="A45" s="29">
        <v>17</v>
      </c>
      <c r="B45" s="73" t="s">
        <v>184</v>
      </c>
      <c r="C45" s="74" t="s">
        <v>126</v>
      </c>
      <c r="D45" s="73" t="s">
        <v>44</v>
      </c>
      <c r="E45" s="48">
        <v>1150.5999999999999</v>
      </c>
      <c r="F45" s="75">
        <f>SUM(E45*2/1000)</f>
        <v>2.3011999999999997</v>
      </c>
      <c r="G45" s="13">
        <v>849.49</v>
      </c>
      <c r="H45" s="76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18</v>
      </c>
      <c r="B46" s="73" t="s">
        <v>37</v>
      </c>
      <c r="C46" s="74" t="s">
        <v>126</v>
      </c>
      <c r="D46" s="73" t="s">
        <v>44</v>
      </c>
      <c r="E46" s="48">
        <v>108.96</v>
      </c>
      <c r="F46" s="75">
        <f>SUM(E46*2/1000)</f>
        <v>0.21791999999999997</v>
      </c>
      <c r="G46" s="13">
        <v>579.48</v>
      </c>
      <c r="H46" s="76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19</v>
      </c>
      <c r="B47" s="73" t="s">
        <v>38</v>
      </c>
      <c r="C47" s="74" t="s">
        <v>126</v>
      </c>
      <c r="D47" s="73" t="s">
        <v>44</v>
      </c>
      <c r="E47" s="48">
        <v>4224.3999999999996</v>
      </c>
      <c r="F47" s="75">
        <f>SUM(E47*2/1000)</f>
        <v>8.4487999999999985</v>
      </c>
      <c r="G47" s="13">
        <v>579.48</v>
      </c>
      <c r="H47" s="76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20</v>
      </c>
      <c r="B48" s="73" t="s">
        <v>39</v>
      </c>
      <c r="C48" s="74" t="s">
        <v>126</v>
      </c>
      <c r="D48" s="73" t="s">
        <v>44</v>
      </c>
      <c r="E48" s="48">
        <v>3059.7</v>
      </c>
      <c r="F48" s="75">
        <f>SUM(E48*2/1000)</f>
        <v>6.1193999999999997</v>
      </c>
      <c r="G48" s="13">
        <v>606.77</v>
      </c>
      <c r="H48" s="76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21</v>
      </c>
      <c r="B49" s="73" t="s">
        <v>60</v>
      </c>
      <c r="C49" s="74" t="s">
        <v>126</v>
      </c>
      <c r="D49" s="73" t="s">
        <v>167</v>
      </c>
      <c r="E49" s="48">
        <v>1150.5999999999999</v>
      </c>
      <c r="F49" s="75">
        <f>SUM(E49*5/1000)</f>
        <v>5.7530000000000001</v>
      </c>
      <c r="G49" s="13">
        <v>1213.55</v>
      </c>
      <c r="H49" s="76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73" t="s">
        <v>136</v>
      </c>
      <c r="C50" s="74" t="s">
        <v>126</v>
      </c>
      <c r="D50" s="73" t="s">
        <v>44</v>
      </c>
      <c r="E50" s="48">
        <v>1150.5999999999999</v>
      </c>
      <c r="F50" s="75">
        <f>SUM(E50*2/1000)</f>
        <v>2.3011999999999997</v>
      </c>
      <c r="G50" s="13">
        <v>1213.55</v>
      </c>
      <c r="H50" s="76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73" t="s">
        <v>137</v>
      </c>
      <c r="C51" s="74" t="s">
        <v>40</v>
      </c>
      <c r="D51" s="73" t="s">
        <v>44</v>
      </c>
      <c r="E51" s="48">
        <v>30</v>
      </c>
      <c r="F51" s="75">
        <f>SUM(E51*2/100)</f>
        <v>0.6</v>
      </c>
      <c r="G51" s="13">
        <v>2730.49</v>
      </c>
      <c r="H51" s="76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73" t="s">
        <v>41</v>
      </c>
      <c r="C52" s="74" t="s">
        <v>42</v>
      </c>
      <c r="D52" s="73" t="s">
        <v>44</v>
      </c>
      <c r="E52" s="48">
        <v>1</v>
      </c>
      <c r="F52" s="75">
        <v>0.02</v>
      </c>
      <c r="G52" s="13">
        <v>5652.13</v>
      </c>
      <c r="H52" s="76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12</v>
      </c>
      <c r="B53" s="73" t="s">
        <v>43</v>
      </c>
      <c r="C53" s="74" t="s">
        <v>138</v>
      </c>
      <c r="D53" s="73" t="s">
        <v>76</v>
      </c>
      <c r="E53" s="48">
        <v>158</v>
      </c>
      <c r="F53" s="75">
        <f>SUM(E53)*3</f>
        <v>474</v>
      </c>
      <c r="G53" s="13">
        <v>65.67</v>
      </c>
      <c r="H53" s="76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0" t="s">
        <v>234</v>
      </c>
      <c r="B54" s="141"/>
      <c r="C54" s="141"/>
      <c r="D54" s="141"/>
      <c r="E54" s="141"/>
      <c r="F54" s="141"/>
      <c r="G54" s="141"/>
      <c r="H54" s="141"/>
      <c r="I54" s="142"/>
      <c r="J54" s="23"/>
      <c r="L54" s="19"/>
      <c r="M54" s="20"/>
      <c r="N54" s="21"/>
    </row>
    <row r="55" spans="1:22" ht="15.75" hidden="1" customHeight="1">
      <c r="A55" s="29"/>
      <c r="B55" s="96" t="s">
        <v>45</v>
      </c>
      <c r="C55" s="74"/>
      <c r="D55" s="73"/>
      <c r="E55" s="48"/>
      <c r="F55" s="75"/>
      <c r="G55" s="75"/>
      <c r="H55" s="76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73" t="s">
        <v>186</v>
      </c>
      <c r="C56" s="74" t="s">
        <v>117</v>
      </c>
      <c r="D56" s="73" t="s">
        <v>187</v>
      </c>
      <c r="E56" s="105">
        <v>6</v>
      </c>
      <c r="F56" s="13">
        <f>E56*8/100</f>
        <v>0.48</v>
      </c>
      <c r="G56" s="75">
        <v>1547.28</v>
      </c>
      <c r="H56" s="76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106"/>
      <c r="B57" s="73" t="s">
        <v>109</v>
      </c>
      <c r="C57" s="74" t="s">
        <v>110</v>
      </c>
      <c r="D57" s="73" t="s">
        <v>44</v>
      </c>
      <c r="E57" s="48">
        <v>6</v>
      </c>
      <c r="F57" s="75">
        <v>12</v>
      </c>
      <c r="G57" s="82">
        <v>180.78</v>
      </c>
      <c r="H57" s="76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97" t="s">
        <v>46</v>
      </c>
      <c r="C58" s="83"/>
      <c r="D58" s="84"/>
      <c r="E58" s="85"/>
      <c r="F58" s="87"/>
      <c r="G58" s="13"/>
      <c r="H58" s="89"/>
      <c r="I58" s="13"/>
      <c r="J58" s="23"/>
      <c r="L58" s="19"/>
      <c r="M58" s="20"/>
      <c r="N58" s="21"/>
    </row>
    <row r="59" spans="1:22" ht="15.75" customHeight="1">
      <c r="A59" s="29">
        <v>12</v>
      </c>
      <c r="B59" s="84" t="s">
        <v>105</v>
      </c>
      <c r="C59" s="83" t="s">
        <v>25</v>
      </c>
      <c r="D59" s="84"/>
      <c r="E59" s="85">
        <v>232.6</v>
      </c>
      <c r="F59" s="86">
        <f>E59*12</f>
        <v>2791.2</v>
      </c>
      <c r="G59" s="107">
        <v>2.5960000000000001</v>
      </c>
      <c r="H59" s="87">
        <f>G59*F59</f>
        <v>7245.9551999999994</v>
      </c>
      <c r="I59" s="13">
        <f>F59/12*G59</f>
        <v>603.82960000000003</v>
      </c>
      <c r="J59" s="23"/>
      <c r="L59" s="19"/>
    </row>
    <row r="60" spans="1:22" ht="15.75" hidden="1" customHeight="1">
      <c r="A60" s="29"/>
      <c r="B60" s="97" t="s">
        <v>48</v>
      </c>
      <c r="C60" s="83"/>
      <c r="D60" s="84"/>
      <c r="E60" s="85"/>
      <c r="F60" s="86"/>
      <c r="G60" s="86"/>
      <c r="H60" s="87" t="s">
        <v>146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13</v>
      </c>
      <c r="B61" s="14" t="s">
        <v>49</v>
      </c>
      <c r="C61" s="16" t="s">
        <v>138</v>
      </c>
      <c r="D61" s="14" t="s">
        <v>71</v>
      </c>
      <c r="E61" s="18">
        <v>15</v>
      </c>
      <c r="F61" s="75">
        <v>15</v>
      </c>
      <c r="G61" s="13">
        <v>209.41</v>
      </c>
      <c r="H61" s="90">
        <f t="shared" ref="H61:H68" si="8">SUM(F61*G61/1000)</f>
        <v>3.1411500000000001</v>
      </c>
      <c r="I61" s="13">
        <f>G61*9</f>
        <v>1884.69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50</v>
      </c>
      <c r="C62" s="16" t="s">
        <v>138</v>
      </c>
      <c r="D62" s="14" t="s">
        <v>71</v>
      </c>
      <c r="E62" s="18">
        <v>5</v>
      </c>
      <c r="F62" s="75">
        <v>5</v>
      </c>
      <c r="G62" s="13">
        <v>71.790000000000006</v>
      </c>
      <c r="H62" s="90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51</v>
      </c>
      <c r="C63" s="16" t="s">
        <v>140</v>
      </c>
      <c r="D63" s="14" t="s">
        <v>57</v>
      </c>
      <c r="E63" s="48">
        <v>18281</v>
      </c>
      <c r="F63" s="13">
        <f>SUM(E63/100)</f>
        <v>182.81</v>
      </c>
      <c r="G63" s="13">
        <v>199.77</v>
      </c>
      <c r="H63" s="90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>
        <v>25</v>
      </c>
      <c r="B64" s="14" t="s">
        <v>52</v>
      </c>
      <c r="C64" s="16" t="s">
        <v>141</v>
      </c>
      <c r="D64" s="14"/>
      <c r="E64" s="48">
        <v>18281</v>
      </c>
      <c r="F64" s="13">
        <f>SUM(E64/1000)</f>
        <v>18.280999999999999</v>
      </c>
      <c r="G64" s="13">
        <v>155.57</v>
      </c>
      <c r="H64" s="90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53</v>
      </c>
      <c r="C65" s="16" t="s">
        <v>82</v>
      </c>
      <c r="D65" s="14" t="s">
        <v>57</v>
      </c>
      <c r="E65" s="48">
        <v>2730</v>
      </c>
      <c r="F65" s="13">
        <f>SUM(E65/100)</f>
        <v>27.3</v>
      </c>
      <c r="G65" s="13">
        <v>1953.52</v>
      </c>
      <c r="H65" s="90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91" t="s">
        <v>142</v>
      </c>
      <c r="C66" s="16" t="s">
        <v>34</v>
      </c>
      <c r="D66" s="14"/>
      <c r="E66" s="48">
        <v>16.399999999999999</v>
      </c>
      <c r="F66" s="13">
        <f>SUM(E66)</f>
        <v>16.399999999999999</v>
      </c>
      <c r="G66" s="13">
        <v>40.270000000000003</v>
      </c>
      <c r="H66" s="90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91" t="s">
        <v>143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37.71</v>
      </c>
      <c r="H67" s="90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/>
      <c r="B68" s="14" t="s">
        <v>61</v>
      </c>
      <c r="C68" s="16" t="s">
        <v>62</v>
      </c>
      <c r="D68" s="14" t="s">
        <v>57</v>
      </c>
      <c r="E68" s="18">
        <v>7</v>
      </c>
      <c r="F68" s="75">
        <f>SUM(E68)</f>
        <v>7</v>
      </c>
      <c r="G68" s="13">
        <v>46.97</v>
      </c>
      <c r="H68" s="90">
        <f t="shared" si="8"/>
        <v>0.32878999999999997</v>
      </c>
      <c r="I68" s="13">
        <v>0</v>
      </c>
    </row>
    <row r="69" spans="1:9" ht="15.75" hidden="1" customHeight="1">
      <c r="A69" s="29"/>
      <c r="B69" s="104" t="s">
        <v>78</v>
      </c>
      <c r="C69" s="16"/>
      <c r="D69" s="14"/>
      <c r="E69" s="18"/>
      <c r="F69" s="13"/>
      <c r="G69" s="13"/>
      <c r="H69" s="90" t="s">
        <v>146</v>
      </c>
      <c r="I69" s="13"/>
    </row>
    <row r="70" spans="1:9" ht="15.75" hidden="1" customHeight="1">
      <c r="A70" s="29"/>
      <c r="B70" s="14" t="s">
        <v>96</v>
      </c>
      <c r="C70" s="16" t="s">
        <v>31</v>
      </c>
      <c r="D70" s="14"/>
      <c r="E70" s="18">
        <v>1</v>
      </c>
      <c r="F70" s="75">
        <f>SUM(E70)</f>
        <v>1</v>
      </c>
      <c r="G70" s="13">
        <v>337.58</v>
      </c>
      <c r="H70" s="90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80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90">
        <f>F71*G71/1000</f>
        <v>1.6063800000000001</v>
      </c>
      <c r="I71" s="13">
        <v>0</v>
      </c>
    </row>
    <row r="72" spans="1:9" ht="15.75" hidden="1" customHeight="1">
      <c r="A72" s="29"/>
      <c r="B72" s="92" t="s">
        <v>81</v>
      </c>
      <c r="C72" s="16"/>
      <c r="D72" s="14"/>
      <c r="E72" s="18"/>
      <c r="F72" s="13"/>
      <c r="G72" s="13" t="s">
        <v>146</v>
      </c>
      <c r="H72" s="90" t="s">
        <v>146</v>
      </c>
      <c r="I72" s="13"/>
    </row>
    <row r="73" spans="1:9" ht="15.75" hidden="1" customHeight="1">
      <c r="A73" s="29"/>
      <c r="B73" s="42" t="s">
        <v>147</v>
      </c>
      <c r="C73" s="16" t="s">
        <v>82</v>
      </c>
      <c r="D73" s="14"/>
      <c r="E73" s="18"/>
      <c r="F73" s="13">
        <v>1.35</v>
      </c>
      <c r="G73" s="13">
        <v>2494</v>
      </c>
      <c r="H73" s="90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78" t="s">
        <v>144</v>
      </c>
      <c r="C74" s="92"/>
      <c r="D74" s="31"/>
      <c r="E74" s="32"/>
      <c r="F74" s="79"/>
      <c r="G74" s="79"/>
      <c r="H74" s="93">
        <f>SUM(H56:H73)</f>
        <v>7351.9809012699989</v>
      </c>
      <c r="I74" s="79"/>
    </row>
    <row r="75" spans="1:9" ht="15.75" hidden="1" customHeight="1">
      <c r="A75" s="29">
        <v>29</v>
      </c>
      <c r="B75" s="73" t="s">
        <v>145</v>
      </c>
      <c r="C75" s="16"/>
      <c r="D75" s="14"/>
      <c r="E75" s="67"/>
      <c r="F75" s="13">
        <v>1</v>
      </c>
      <c r="G75" s="13">
        <v>17359.8</v>
      </c>
      <c r="H75" s="90">
        <f>G75*F75/1000</f>
        <v>17.3598</v>
      </c>
      <c r="I75" s="13">
        <f>G75</f>
        <v>17359.8</v>
      </c>
    </row>
    <row r="76" spans="1:9" ht="15.75" customHeight="1">
      <c r="A76" s="129" t="s">
        <v>235</v>
      </c>
      <c r="B76" s="130"/>
      <c r="C76" s="130"/>
      <c r="D76" s="130"/>
      <c r="E76" s="130"/>
      <c r="F76" s="130"/>
      <c r="G76" s="130"/>
      <c r="H76" s="130"/>
      <c r="I76" s="131"/>
    </row>
    <row r="77" spans="1:9" ht="15.75" customHeight="1">
      <c r="A77" s="29">
        <v>13</v>
      </c>
      <c r="B77" s="73" t="s">
        <v>148</v>
      </c>
      <c r="C77" s="16" t="s">
        <v>58</v>
      </c>
      <c r="D77" s="94" t="s">
        <v>59</v>
      </c>
      <c r="E77" s="13">
        <v>4224.3999999999996</v>
      </c>
      <c r="F77" s="13">
        <f>SUM(E77*12)</f>
        <v>50692.799999999996</v>
      </c>
      <c r="G77" s="13">
        <v>2.1</v>
      </c>
      <c r="H77" s="90">
        <f>SUM(F77*G77/1000)</f>
        <v>106.45487999999999</v>
      </c>
      <c r="I77" s="13">
        <f>F77/12*G77</f>
        <v>8871.24</v>
      </c>
    </row>
    <row r="78" spans="1:9" ht="31.5" customHeight="1">
      <c r="A78" s="29">
        <v>14</v>
      </c>
      <c r="B78" s="14" t="s">
        <v>83</v>
      </c>
      <c r="C78" s="16"/>
      <c r="D78" s="94" t="s">
        <v>59</v>
      </c>
      <c r="E78" s="48">
        <v>4224.3999999999996</v>
      </c>
      <c r="F78" s="13">
        <f>E78*12</f>
        <v>50692.799999999996</v>
      </c>
      <c r="G78" s="13">
        <v>1.63</v>
      </c>
      <c r="H78" s="90">
        <f>F78*G78/1000</f>
        <v>82.629263999999978</v>
      </c>
      <c r="I78" s="13">
        <f>F78/12*G78</f>
        <v>6885.771999999999</v>
      </c>
    </row>
    <row r="79" spans="1:9" ht="15.75" customHeight="1">
      <c r="A79" s="102"/>
      <c r="B79" s="34" t="s">
        <v>86</v>
      </c>
      <c r="C79" s="35"/>
      <c r="D79" s="15"/>
      <c r="E79" s="15"/>
      <c r="F79" s="15"/>
      <c r="G79" s="18"/>
      <c r="H79" s="18"/>
      <c r="I79" s="32">
        <f>SUM(I16+I17+I18+I20+I21+I25+I26+I29+I30+I32+I33+I59+I77+I78)</f>
        <v>58720.914017555551</v>
      </c>
    </row>
    <row r="80" spans="1:9" ht="15.75" customHeight="1">
      <c r="A80" s="147" t="s">
        <v>64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29">
        <v>15</v>
      </c>
      <c r="B81" s="57" t="s">
        <v>197</v>
      </c>
      <c r="C81" s="58" t="s">
        <v>100</v>
      </c>
      <c r="D81" s="42"/>
      <c r="E81" s="13"/>
      <c r="F81" s="13">
        <f>(3*7+5+10+10+10+10+20+20+5+10+20+3)/3</f>
        <v>48</v>
      </c>
      <c r="G81" s="13">
        <v>1120.8900000000001</v>
      </c>
      <c r="H81" s="90">
        <f t="shared" ref="H81:H85" si="12">G81*F81/1000</f>
        <v>53.802720000000001</v>
      </c>
      <c r="I81" s="13">
        <f>G81*((10+20+20+5+10+20)/3)</f>
        <v>31758.550000000003</v>
      </c>
    </row>
    <row r="82" spans="1:9" ht="15.75" customHeight="1">
      <c r="A82" s="29">
        <v>16</v>
      </c>
      <c r="B82" s="46" t="s">
        <v>198</v>
      </c>
      <c r="C82" s="49" t="s">
        <v>138</v>
      </c>
      <c r="D82" s="42"/>
      <c r="E82" s="13"/>
      <c r="F82" s="13">
        <v>640</v>
      </c>
      <c r="G82" s="13">
        <v>53.42</v>
      </c>
      <c r="H82" s="90">
        <f t="shared" si="12"/>
        <v>34.188800000000001</v>
      </c>
      <c r="I82" s="13">
        <f>G82*80</f>
        <v>4273.6000000000004</v>
      </c>
    </row>
    <row r="83" spans="1:9" ht="31.5" customHeight="1">
      <c r="A83" s="29">
        <v>17</v>
      </c>
      <c r="B83" s="46" t="s">
        <v>85</v>
      </c>
      <c r="C83" s="16" t="s">
        <v>31</v>
      </c>
      <c r="D83" s="42"/>
      <c r="E83" s="13"/>
      <c r="F83" s="13">
        <v>2</v>
      </c>
      <c r="G83" s="13">
        <v>83.36</v>
      </c>
      <c r="H83" s="13">
        <f t="shared" si="12"/>
        <v>0.16672000000000001</v>
      </c>
      <c r="I83" s="13">
        <f>G83</f>
        <v>83.36</v>
      </c>
    </row>
    <row r="84" spans="1:9" ht="31.5" customHeight="1">
      <c r="A84" s="29">
        <v>18</v>
      </c>
      <c r="B84" s="46" t="s">
        <v>164</v>
      </c>
      <c r="C84" s="49" t="s">
        <v>40</v>
      </c>
      <c r="D84" s="42"/>
      <c r="E84" s="13"/>
      <c r="F84" s="13">
        <v>0.05</v>
      </c>
      <c r="G84" s="13">
        <v>3581.13</v>
      </c>
      <c r="H84" s="90">
        <f t="shared" si="12"/>
        <v>0.17905650000000004</v>
      </c>
      <c r="I84" s="13">
        <f>G84*0.02</f>
        <v>71.622600000000006</v>
      </c>
    </row>
    <row r="85" spans="1:9" ht="31.5" customHeight="1">
      <c r="A85" s="29">
        <v>19</v>
      </c>
      <c r="B85" s="46" t="s">
        <v>248</v>
      </c>
      <c r="C85" s="49" t="s">
        <v>106</v>
      </c>
      <c r="D85" s="42"/>
      <c r="E85" s="13"/>
      <c r="F85" s="13">
        <f>24/10</f>
        <v>2.4</v>
      </c>
      <c r="G85" s="13">
        <v>2064.25</v>
      </c>
      <c r="H85" s="90">
        <f t="shared" si="12"/>
        <v>4.9542000000000002</v>
      </c>
      <c r="I85" s="13">
        <f>G85*2.4</f>
        <v>4954.2</v>
      </c>
    </row>
    <row r="86" spans="1:9" ht="15.75" customHeight="1">
      <c r="A86" s="29"/>
      <c r="B86" s="40" t="s">
        <v>54</v>
      </c>
      <c r="C86" s="36"/>
      <c r="D86" s="44"/>
      <c r="E86" s="36">
        <v>1</v>
      </c>
      <c r="F86" s="36"/>
      <c r="G86" s="36"/>
      <c r="H86" s="36"/>
      <c r="I86" s="32">
        <f>SUM(I81:I85)</f>
        <v>41141.332600000002</v>
      </c>
    </row>
    <row r="87" spans="1:9" ht="15.75" customHeight="1">
      <c r="A87" s="29"/>
      <c r="B87" s="42" t="s">
        <v>84</v>
      </c>
      <c r="C87" s="15"/>
      <c r="D87" s="15"/>
      <c r="E87" s="37"/>
      <c r="F87" s="37"/>
      <c r="G87" s="38"/>
      <c r="H87" s="38"/>
      <c r="I87" s="17">
        <v>0</v>
      </c>
    </row>
    <row r="88" spans="1:9" ht="15.75" customHeight="1">
      <c r="A88" s="45"/>
      <c r="B88" s="41" t="s">
        <v>180</v>
      </c>
      <c r="C88" s="33"/>
      <c r="D88" s="33"/>
      <c r="E88" s="33"/>
      <c r="F88" s="33"/>
      <c r="G88" s="33"/>
      <c r="H88" s="33"/>
      <c r="I88" s="39">
        <f>I79+I86</f>
        <v>99862.24661755556</v>
      </c>
    </row>
    <row r="89" spans="1:9" ht="15.75" customHeight="1">
      <c r="A89" s="143" t="s">
        <v>249</v>
      </c>
      <c r="B89" s="143"/>
      <c r="C89" s="143"/>
      <c r="D89" s="143"/>
      <c r="E89" s="143"/>
      <c r="F89" s="143"/>
      <c r="G89" s="143"/>
      <c r="H89" s="143"/>
      <c r="I89" s="143"/>
    </row>
    <row r="90" spans="1:9" ht="15.75" customHeight="1">
      <c r="A90" s="56"/>
      <c r="B90" s="144" t="s">
        <v>250</v>
      </c>
      <c r="C90" s="144"/>
      <c r="D90" s="144"/>
      <c r="E90" s="144"/>
      <c r="F90" s="144"/>
      <c r="G90" s="144"/>
      <c r="H90" s="71"/>
      <c r="I90" s="3"/>
    </row>
    <row r="91" spans="1:9" ht="15.75" customHeight="1">
      <c r="A91" s="100"/>
      <c r="B91" s="145" t="s">
        <v>6</v>
      </c>
      <c r="C91" s="145"/>
      <c r="D91" s="145"/>
      <c r="E91" s="145"/>
      <c r="F91" s="145"/>
      <c r="G91" s="145"/>
      <c r="H91" s="24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 customHeight="1">
      <c r="A93" s="146" t="s">
        <v>7</v>
      </c>
      <c r="B93" s="146"/>
      <c r="C93" s="146"/>
      <c r="D93" s="146"/>
      <c r="E93" s="146"/>
      <c r="F93" s="146"/>
      <c r="G93" s="146"/>
      <c r="H93" s="146"/>
      <c r="I93" s="146"/>
    </row>
    <row r="94" spans="1:9" ht="15.75" customHeight="1">
      <c r="A94" s="146" t="s">
        <v>8</v>
      </c>
      <c r="B94" s="146"/>
      <c r="C94" s="146"/>
      <c r="D94" s="146"/>
      <c r="E94" s="146"/>
      <c r="F94" s="146"/>
      <c r="G94" s="146"/>
      <c r="H94" s="146"/>
      <c r="I94" s="146"/>
    </row>
    <row r="95" spans="1:9" ht="15.75" customHeight="1">
      <c r="A95" s="138" t="s">
        <v>65</v>
      </c>
      <c r="B95" s="138"/>
      <c r="C95" s="138"/>
      <c r="D95" s="138"/>
      <c r="E95" s="138"/>
      <c r="F95" s="138"/>
      <c r="G95" s="138"/>
      <c r="H95" s="138"/>
      <c r="I95" s="138"/>
    </row>
    <row r="96" spans="1:9" ht="15.75" customHeight="1">
      <c r="A96" s="11"/>
    </row>
    <row r="97" spans="1:9" ht="15.75" customHeight="1">
      <c r="A97" s="151" t="s">
        <v>9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4"/>
    </row>
    <row r="99" spans="1:9" ht="15.75" customHeight="1">
      <c r="B99" s="101" t="s">
        <v>10</v>
      </c>
      <c r="C99" s="152" t="s">
        <v>98</v>
      </c>
      <c r="D99" s="152"/>
      <c r="E99" s="152"/>
      <c r="F99" s="69"/>
      <c r="I99" s="99"/>
    </row>
    <row r="100" spans="1:9" ht="15.75" customHeight="1">
      <c r="A100" s="100"/>
      <c r="C100" s="145" t="s">
        <v>11</v>
      </c>
      <c r="D100" s="145"/>
      <c r="E100" s="145"/>
      <c r="F100" s="24"/>
      <c r="I100" s="98" t="s">
        <v>12</v>
      </c>
    </row>
    <row r="101" spans="1:9" ht="15.75" customHeight="1">
      <c r="A101" s="25"/>
      <c r="C101" s="12"/>
      <c r="D101" s="12"/>
      <c r="G101" s="12"/>
      <c r="H101" s="12"/>
    </row>
    <row r="102" spans="1:9" ht="15.75" customHeight="1">
      <c r="B102" s="101" t="s">
        <v>13</v>
      </c>
      <c r="C102" s="153"/>
      <c r="D102" s="153"/>
      <c r="E102" s="153"/>
      <c r="F102" s="70"/>
      <c r="I102" s="99"/>
    </row>
    <row r="103" spans="1:9" ht="15.75" customHeight="1">
      <c r="A103" s="100"/>
      <c r="C103" s="128" t="s">
        <v>11</v>
      </c>
      <c r="D103" s="128"/>
      <c r="E103" s="128"/>
      <c r="F103" s="100"/>
      <c r="I103" s="98" t="s">
        <v>12</v>
      </c>
    </row>
    <row r="104" spans="1:9" ht="15.75" customHeight="1">
      <c r="A104" s="4" t="s">
        <v>14</v>
      </c>
    </row>
    <row r="105" spans="1:9" ht="15.75" customHeight="1">
      <c r="A105" s="154" t="s">
        <v>15</v>
      </c>
      <c r="B105" s="154"/>
      <c r="C105" s="154"/>
      <c r="D105" s="154"/>
      <c r="E105" s="154"/>
      <c r="F105" s="154"/>
      <c r="G105" s="154"/>
      <c r="H105" s="154"/>
      <c r="I105" s="154"/>
    </row>
    <row r="106" spans="1:9" ht="45" customHeight="1">
      <c r="A106" s="150" t="s">
        <v>16</v>
      </c>
      <c r="B106" s="150"/>
      <c r="C106" s="150"/>
      <c r="D106" s="150"/>
      <c r="E106" s="150"/>
      <c r="F106" s="150"/>
      <c r="G106" s="150"/>
      <c r="H106" s="150"/>
      <c r="I106" s="150"/>
    </row>
    <row r="107" spans="1:9" ht="30" customHeight="1">
      <c r="A107" s="150" t="s">
        <v>17</v>
      </c>
      <c r="B107" s="150"/>
      <c r="C107" s="150"/>
      <c r="D107" s="150"/>
      <c r="E107" s="150"/>
      <c r="F107" s="150"/>
      <c r="G107" s="150"/>
      <c r="H107" s="150"/>
      <c r="I107" s="150"/>
    </row>
    <row r="108" spans="1:9" ht="30" customHeight="1">
      <c r="A108" s="150" t="s">
        <v>21</v>
      </c>
      <c r="B108" s="150"/>
      <c r="C108" s="150"/>
      <c r="D108" s="150"/>
      <c r="E108" s="150"/>
      <c r="F108" s="150"/>
      <c r="G108" s="150"/>
      <c r="H108" s="150"/>
      <c r="I108" s="150"/>
    </row>
    <row r="109" spans="1:9" ht="15" customHeight="1">
      <c r="A109" s="150" t="s">
        <v>20</v>
      </c>
      <c r="B109" s="150"/>
      <c r="C109" s="150"/>
      <c r="D109" s="150"/>
      <c r="E109" s="150"/>
      <c r="F109" s="150"/>
      <c r="G109" s="150"/>
      <c r="H109" s="150"/>
      <c r="I109" s="150"/>
    </row>
  </sheetData>
  <autoFilter ref="I12:I59"/>
  <mergeCells count="29">
    <mergeCell ref="A105:I105"/>
    <mergeCell ref="A106:I106"/>
    <mergeCell ref="A107:I107"/>
    <mergeCell ref="A108:I108"/>
    <mergeCell ref="A109:I109"/>
    <mergeCell ref="R63:U63"/>
    <mergeCell ref="C103:E103"/>
    <mergeCell ref="A80:I80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66</v>
      </c>
      <c r="J2" s="2"/>
      <c r="K2" s="2"/>
      <c r="L2" s="2"/>
      <c r="M2" s="2"/>
    </row>
    <row r="3" spans="1:13" ht="15.75" customHeight="1">
      <c r="A3" s="132" t="s">
        <v>251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172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252</v>
      </c>
      <c r="B5" s="134"/>
      <c r="C5" s="134"/>
      <c r="D5" s="134"/>
      <c r="E5" s="134"/>
      <c r="F5" s="134"/>
      <c r="G5" s="134"/>
      <c r="H5" s="134"/>
      <c r="I5" s="134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43008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276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63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29">
        <v>1</v>
      </c>
      <c r="B16" s="73" t="s">
        <v>94</v>
      </c>
      <c r="C16" s="74" t="s">
        <v>117</v>
      </c>
      <c r="D16" s="73" t="s">
        <v>118</v>
      </c>
      <c r="E16" s="48">
        <v>118.34</v>
      </c>
      <c r="F16" s="75">
        <f>SUM(E16*156/100)</f>
        <v>184.6104</v>
      </c>
      <c r="G16" s="75">
        <v>175.38</v>
      </c>
      <c r="H16" s="76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73" t="s">
        <v>102</v>
      </c>
      <c r="C17" s="74" t="s">
        <v>117</v>
      </c>
      <c r="D17" s="73" t="s">
        <v>165</v>
      </c>
      <c r="E17" s="48">
        <v>473.36</v>
      </c>
      <c r="F17" s="75">
        <f>SUM(E17*104/100)</f>
        <v>492.2944</v>
      </c>
      <c r="G17" s="75">
        <v>175.38</v>
      </c>
      <c r="H17" s="76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73" t="s">
        <v>103</v>
      </c>
      <c r="C18" s="74" t="s">
        <v>117</v>
      </c>
      <c r="D18" s="73" t="s">
        <v>119</v>
      </c>
      <c r="E18" s="48">
        <f>SUM(E16+E17)</f>
        <v>591.70000000000005</v>
      </c>
      <c r="F18" s="75">
        <f>SUM(E18*24/100)</f>
        <v>142.00800000000001</v>
      </c>
      <c r="G18" s="75">
        <v>504.5</v>
      </c>
      <c r="H18" s="76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73" t="s">
        <v>120</v>
      </c>
      <c r="C19" s="74" t="s">
        <v>121</v>
      </c>
      <c r="D19" s="73" t="s">
        <v>122</v>
      </c>
      <c r="E19" s="48">
        <v>38.4</v>
      </c>
      <c r="F19" s="75">
        <f>SUM(E19/10)</f>
        <v>3.84</v>
      </c>
      <c r="G19" s="75">
        <v>170.16</v>
      </c>
      <c r="H19" s="76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73" t="s">
        <v>107</v>
      </c>
      <c r="C20" s="74" t="s">
        <v>117</v>
      </c>
      <c r="D20" s="73" t="s">
        <v>30</v>
      </c>
      <c r="E20" s="48">
        <v>43.2</v>
      </c>
      <c r="F20" s="75">
        <f>SUM(E20*12/100)</f>
        <v>5.1840000000000011</v>
      </c>
      <c r="G20" s="75">
        <v>217.88</v>
      </c>
      <c r="H20" s="76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73" t="s">
        <v>108</v>
      </c>
      <c r="C21" s="74" t="s">
        <v>117</v>
      </c>
      <c r="D21" s="73" t="s">
        <v>30</v>
      </c>
      <c r="E21" s="48">
        <v>10.08</v>
      </c>
      <c r="F21" s="75">
        <f>SUM(E21*12/100)</f>
        <v>1.2096</v>
      </c>
      <c r="G21" s="75">
        <v>216.12</v>
      </c>
      <c r="H21" s="76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73" t="s">
        <v>123</v>
      </c>
      <c r="C22" s="74" t="s">
        <v>56</v>
      </c>
      <c r="D22" s="73" t="s">
        <v>122</v>
      </c>
      <c r="E22" s="48">
        <v>771.12</v>
      </c>
      <c r="F22" s="75">
        <f>SUM(E22/100)</f>
        <v>7.7111999999999998</v>
      </c>
      <c r="G22" s="75">
        <v>269.26</v>
      </c>
      <c r="H22" s="76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73" t="s">
        <v>124</v>
      </c>
      <c r="C23" s="74" t="s">
        <v>56</v>
      </c>
      <c r="D23" s="73" t="s">
        <v>122</v>
      </c>
      <c r="E23" s="68">
        <v>70.56</v>
      </c>
      <c r="F23" s="75">
        <f>SUM(E23/100)</f>
        <v>0.7056</v>
      </c>
      <c r="G23" s="75">
        <v>44.29</v>
      </c>
      <c r="H23" s="76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73" t="s">
        <v>113</v>
      </c>
      <c r="C24" s="74" t="s">
        <v>56</v>
      </c>
      <c r="D24" s="73" t="s">
        <v>122</v>
      </c>
      <c r="E24" s="48">
        <v>28.22</v>
      </c>
      <c r="F24" s="75">
        <f>SUM(E24/100)</f>
        <v>0.28220000000000001</v>
      </c>
      <c r="G24" s="75">
        <v>520.79999999999995</v>
      </c>
      <c r="H24" s="76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73" t="s">
        <v>68</v>
      </c>
      <c r="C25" s="74" t="s">
        <v>34</v>
      </c>
      <c r="D25" s="73" t="s">
        <v>157</v>
      </c>
      <c r="E25" s="48">
        <v>0.1</v>
      </c>
      <c r="F25" s="75">
        <f>SUM(E25*365)</f>
        <v>36.5</v>
      </c>
      <c r="G25" s="75">
        <v>147.03</v>
      </c>
      <c r="H25" s="76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81" t="s">
        <v>23</v>
      </c>
      <c r="C26" s="74" t="s">
        <v>24</v>
      </c>
      <c r="D26" s="81" t="s">
        <v>157</v>
      </c>
      <c r="E26" s="48">
        <v>4224.3999999999996</v>
      </c>
      <c r="F26" s="75">
        <f>SUM(E26*12)</f>
        <v>50692.799999999996</v>
      </c>
      <c r="G26" s="75">
        <v>4.59</v>
      </c>
      <c r="H26" s="76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39" t="s">
        <v>92</v>
      </c>
      <c r="B27" s="139"/>
      <c r="C27" s="139"/>
      <c r="D27" s="139"/>
      <c r="E27" s="139"/>
      <c r="F27" s="139"/>
      <c r="G27" s="139"/>
      <c r="H27" s="139"/>
      <c r="I27" s="139"/>
      <c r="J27" s="22"/>
      <c r="K27" s="8"/>
      <c r="L27" s="8"/>
      <c r="M27" s="8"/>
    </row>
    <row r="28" spans="1:13" ht="15.75" customHeight="1">
      <c r="A28" s="29"/>
      <c r="B28" s="96" t="s">
        <v>28</v>
      </c>
      <c r="C28" s="74"/>
      <c r="D28" s="73"/>
      <c r="E28" s="48"/>
      <c r="F28" s="75"/>
      <c r="G28" s="75"/>
      <c r="H28" s="76"/>
      <c r="I28" s="13"/>
      <c r="J28" s="22"/>
      <c r="K28" s="8"/>
      <c r="L28" s="8"/>
      <c r="M28" s="8"/>
    </row>
    <row r="29" spans="1:13" ht="15.75" customHeight="1">
      <c r="A29" s="29">
        <v>8</v>
      </c>
      <c r="B29" s="73" t="s">
        <v>125</v>
      </c>
      <c r="C29" s="74" t="s">
        <v>126</v>
      </c>
      <c r="D29" s="73" t="s">
        <v>127</v>
      </c>
      <c r="E29" s="75">
        <v>1414.6</v>
      </c>
      <c r="F29" s="75">
        <f>SUM(E29*52/1000)</f>
        <v>73.559200000000004</v>
      </c>
      <c r="G29" s="75">
        <v>155.88999999999999</v>
      </c>
      <c r="H29" s="76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73" t="s">
        <v>166</v>
      </c>
      <c r="C30" s="74" t="s">
        <v>126</v>
      </c>
      <c r="D30" s="73" t="s">
        <v>128</v>
      </c>
      <c r="E30" s="75">
        <v>632.4</v>
      </c>
      <c r="F30" s="75">
        <f>SUM(E30*78/1000)</f>
        <v>49.327199999999998</v>
      </c>
      <c r="G30" s="75">
        <v>258.63</v>
      </c>
      <c r="H30" s="76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73" t="s">
        <v>27</v>
      </c>
      <c r="C31" s="74" t="s">
        <v>126</v>
      </c>
      <c r="D31" s="73" t="s">
        <v>57</v>
      </c>
      <c r="E31" s="75">
        <v>1414.6</v>
      </c>
      <c r="F31" s="75">
        <f>SUM(E31/1000)</f>
        <v>1.4145999999999999</v>
      </c>
      <c r="G31" s="75">
        <v>3020.33</v>
      </c>
      <c r="H31" s="76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73" t="s">
        <v>129</v>
      </c>
      <c r="C32" s="74" t="s">
        <v>42</v>
      </c>
      <c r="D32" s="73" t="s">
        <v>67</v>
      </c>
      <c r="E32" s="75">
        <v>6</v>
      </c>
      <c r="F32" s="75">
        <f>SUM(E32*155/100)</f>
        <v>9.3000000000000007</v>
      </c>
      <c r="G32" s="75">
        <v>1302.02</v>
      </c>
      <c r="H32" s="76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73" t="s">
        <v>130</v>
      </c>
      <c r="C33" s="74" t="s">
        <v>31</v>
      </c>
      <c r="D33" s="73" t="s">
        <v>67</v>
      </c>
      <c r="E33" s="80">
        <v>0.33333333333333331</v>
      </c>
      <c r="F33" s="75">
        <f>155/3</f>
        <v>51.666666666666664</v>
      </c>
      <c r="G33" s="75">
        <v>56.69</v>
      </c>
      <c r="H33" s="76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73" t="s">
        <v>69</v>
      </c>
      <c r="C34" s="74" t="s">
        <v>34</v>
      </c>
      <c r="D34" s="73" t="s">
        <v>71</v>
      </c>
      <c r="E34" s="48"/>
      <c r="F34" s="75">
        <v>4</v>
      </c>
      <c r="G34" s="75">
        <v>191.32</v>
      </c>
      <c r="H34" s="76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73" t="s">
        <v>70</v>
      </c>
      <c r="C35" s="74" t="s">
        <v>33</v>
      </c>
      <c r="D35" s="73" t="s">
        <v>71</v>
      </c>
      <c r="E35" s="48"/>
      <c r="F35" s="75">
        <v>3</v>
      </c>
      <c r="G35" s="75">
        <v>1136.33</v>
      </c>
      <c r="H35" s="76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96" t="s">
        <v>5</v>
      </c>
      <c r="C36" s="74"/>
      <c r="D36" s="73"/>
      <c r="E36" s="48"/>
      <c r="F36" s="75"/>
      <c r="G36" s="75"/>
      <c r="H36" s="76" t="s">
        <v>146</v>
      </c>
      <c r="I36" s="13"/>
      <c r="J36" s="23"/>
    </row>
    <row r="37" spans="1:14" ht="15.75" hidden="1" customHeight="1">
      <c r="A37" s="29">
        <v>8</v>
      </c>
      <c r="B37" s="73" t="s">
        <v>26</v>
      </c>
      <c r="C37" s="74" t="s">
        <v>33</v>
      </c>
      <c r="D37" s="73"/>
      <c r="E37" s="48"/>
      <c r="F37" s="75">
        <v>20</v>
      </c>
      <c r="G37" s="75">
        <v>1527.22</v>
      </c>
      <c r="H37" s="76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73" t="s">
        <v>72</v>
      </c>
      <c r="C38" s="74" t="s">
        <v>29</v>
      </c>
      <c r="D38" s="73" t="s">
        <v>182</v>
      </c>
      <c r="E38" s="75">
        <v>632.4</v>
      </c>
      <c r="F38" s="75">
        <f>SUM(E38*50/1000)</f>
        <v>31.62</v>
      </c>
      <c r="G38" s="75">
        <v>2102.71</v>
      </c>
      <c r="H38" s="76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73" t="s">
        <v>104</v>
      </c>
      <c r="C39" s="74" t="s">
        <v>132</v>
      </c>
      <c r="D39" s="73" t="s">
        <v>71</v>
      </c>
      <c r="E39" s="48"/>
      <c r="F39" s="75">
        <v>30</v>
      </c>
      <c r="G39" s="75">
        <v>213.2</v>
      </c>
      <c r="H39" s="76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73" t="s">
        <v>73</v>
      </c>
      <c r="C40" s="74" t="s">
        <v>29</v>
      </c>
      <c r="D40" s="73" t="s">
        <v>133</v>
      </c>
      <c r="E40" s="75">
        <v>106</v>
      </c>
      <c r="F40" s="75">
        <f>SUM(E40*155/1000)</f>
        <v>16.43</v>
      </c>
      <c r="G40" s="75">
        <v>350.75</v>
      </c>
      <c r="H40" s="76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73" t="s">
        <v>89</v>
      </c>
      <c r="C41" s="74" t="s">
        <v>126</v>
      </c>
      <c r="D41" s="73" t="s">
        <v>183</v>
      </c>
      <c r="E41" s="75">
        <v>106</v>
      </c>
      <c r="F41" s="75">
        <f>SUM(E41*70/1000)</f>
        <v>7.42</v>
      </c>
      <c r="G41" s="75">
        <v>5803.28</v>
      </c>
      <c r="H41" s="76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73" t="s">
        <v>135</v>
      </c>
      <c r="C42" s="74" t="s">
        <v>126</v>
      </c>
      <c r="D42" s="73" t="s">
        <v>74</v>
      </c>
      <c r="E42" s="75">
        <v>106</v>
      </c>
      <c r="F42" s="75">
        <f>SUM(E42*45/1000)</f>
        <v>4.7699999999999996</v>
      </c>
      <c r="G42" s="75">
        <v>428.7</v>
      </c>
      <c r="H42" s="76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73" t="s">
        <v>75</v>
      </c>
      <c r="C43" s="74" t="s">
        <v>34</v>
      </c>
      <c r="D43" s="73"/>
      <c r="E43" s="48"/>
      <c r="F43" s="75">
        <v>0.9</v>
      </c>
      <c r="G43" s="75">
        <v>798</v>
      </c>
      <c r="H43" s="76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0" t="s">
        <v>152</v>
      </c>
      <c r="B44" s="141"/>
      <c r="C44" s="141"/>
      <c r="D44" s="141"/>
      <c r="E44" s="141"/>
      <c r="F44" s="141"/>
      <c r="G44" s="141"/>
      <c r="H44" s="141"/>
      <c r="I44" s="142"/>
      <c r="J44" s="23"/>
      <c r="L44" s="19"/>
      <c r="M44" s="20"/>
      <c r="N44" s="21"/>
    </row>
    <row r="45" spans="1:14" ht="15.75" customHeight="1">
      <c r="A45" s="29">
        <v>12</v>
      </c>
      <c r="B45" s="73" t="s">
        <v>184</v>
      </c>
      <c r="C45" s="74" t="s">
        <v>126</v>
      </c>
      <c r="D45" s="73" t="s">
        <v>44</v>
      </c>
      <c r="E45" s="48">
        <v>1150.5999999999999</v>
      </c>
      <c r="F45" s="75">
        <f>SUM(E45*2/1000)</f>
        <v>2.3011999999999997</v>
      </c>
      <c r="G45" s="13">
        <v>849.49</v>
      </c>
      <c r="H45" s="76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customHeight="1">
      <c r="A46" s="29">
        <v>13</v>
      </c>
      <c r="B46" s="73" t="s">
        <v>37</v>
      </c>
      <c r="C46" s="74" t="s">
        <v>126</v>
      </c>
      <c r="D46" s="73" t="s">
        <v>44</v>
      </c>
      <c r="E46" s="48">
        <v>108.96</v>
      </c>
      <c r="F46" s="75">
        <f>SUM(E46*2/1000)</f>
        <v>0.21791999999999997</v>
      </c>
      <c r="G46" s="13">
        <v>579.48</v>
      </c>
      <c r="H46" s="76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customHeight="1">
      <c r="A47" s="29">
        <v>14</v>
      </c>
      <c r="B47" s="73" t="s">
        <v>38</v>
      </c>
      <c r="C47" s="74" t="s">
        <v>126</v>
      </c>
      <c r="D47" s="73" t="s">
        <v>44</v>
      </c>
      <c r="E47" s="48">
        <v>4224.3999999999996</v>
      </c>
      <c r="F47" s="75">
        <f>SUM(E47*2/1000)</f>
        <v>8.4487999999999985</v>
      </c>
      <c r="G47" s="13">
        <v>579.48</v>
      </c>
      <c r="H47" s="76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customHeight="1">
      <c r="A48" s="29">
        <v>15</v>
      </c>
      <c r="B48" s="73" t="s">
        <v>39</v>
      </c>
      <c r="C48" s="74" t="s">
        <v>126</v>
      </c>
      <c r="D48" s="73" t="s">
        <v>44</v>
      </c>
      <c r="E48" s="48">
        <v>3059.7</v>
      </c>
      <c r="F48" s="75">
        <f>SUM(E48*2/1000)</f>
        <v>6.1193999999999997</v>
      </c>
      <c r="G48" s="13">
        <v>606.77</v>
      </c>
      <c r="H48" s="76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customHeight="1">
      <c r="A49" s="29">
        <v>16</v>
      </c>
      <c r="B49" s="73" t="s">
        <v>60</v>
      </c>
      <c r="C49" s="74" t="s">
        <v>126</v>
      </c>
      <c r="D49" s="73" t="s">
        <v>167</v>
      </c>
      <c r="E49" s="48">
        <v>1150.5999999999999</v>
      </c>
      <c r="F49" s="75">
        <f>SUM(E49*5/1000)</f>
        <v>5.7530000000000001</v>
      </c>
      <c r="G49" s="13">
        <v>1213.55</v>
      </c>
      <c r="H49" s="76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73" t="s">
        <v>136</v>
      </c>
      <c r="C50" s="74" t="s">
        <v>126</v>
      </c>
      <c r="D50" s="73" t="s">
        <v>44</v>
      </c>
      <c r="E50" s="48">
        <v>1150.5999999999999</v>
      </c>
      <c r="F50" s="75">
        <f>SUM(E50*2/1000)</f>
        <v>2.3011999999999997</v>
      </c>
      <c r="G50" s="13">
        <v>1213.55</v>
      </c>
      <c r="H50" s="76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73" t="s">
        <v>137</v>
      </c>
      <c r="C51" s="74" t="s">
        <v>40</v>
      </c>
      <c r="D51" s="73" t="s">
        <v>44</v>
      </c>
      <c r="E51" s="48">
        <v>30</v>
      </c>
      <c r="F51" s="75">
        <f>SUM(E51*2/100)</f>
        <v>0.6</v>
      </c>
      <c r="G51" s="13">
        <v>2730.49</v>
      </c>
      <c r="H51" s="76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73" t="s">
        <v>41</v>
      </c>
      <c r="C52" s="74" t="s">
        <v>42</v>
      </c>
      <c r="D52" s="73" t="s">
        <v>44</v>
      </c>
      <c r="E52" s="48">
        <v>1</v>
      </c>
      <c r="F52" s="75">
        <v>0.02</v>
      </c>
      <c r="G52" s="13">
        <v>5652.13</v>
      </c>
      <c r="H52" s="76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12</v>
      </c>
      <c r="B53" s="73" t="s">
        <v>43</v>
      </c>
      <c r="C53" s="74" t="s">
        <v>138</v>
      </c>
      <c r="D53" s="73" t="s">
        <v>76</v>
      </c>
      <c r="E53" s="48">
        <v>158</v>
      </c>
      <c r="F53" s="75">
        <f>SUM(E53)*3</f>
        <v>474</v>
      </c>
      <c r="G53" s="13">
        <v>65.67</v>
      </c>
      <c r="H53" s="76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0" t="s">
        <v>153</v>
      </c>
      <c r="B54" s="141"/>
      <c r="C54" s="141"/>
      <c r="D54" s="141"/>
      <c r="E54" s="141"/>
      <c r="F54" s="141"/>
      <c r="G54" s="141"/>
      <c r="H54" s="141"/>
      <c r="I54" s="142"/>
      <c r="J54" s="23"/>
      <c r="L54" s="19"/>
      <c r="M54" s="20"/>
      <c r="N54" s="21"/>
    </row>
    <row r="55" spans="1:22" ht="15.75" hidden="1" customHeight="1">
      <c r="A55" s="29"/>
      <c r="B55" s="96" t="s">
        <v>45</v>
      </c>
      <c r="C55" s="74"/>
      <c r="D55" s="73"/>
      <c r="E55" s="48"/>
      <c r="F55" s="75"/>
      <c r="G55" s="75"/>
      <c r="H55" s="76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73" t="s">
        <v>186</v>
      </c>
      <c r="C56" s="74" t="s">
        <v>117</v>
      </c>
      <c r="D56" s="73" t="s">
        <v>187</v>
      </c>
      <c r="E56" s="105">
        <v>6</v>
      </c>
      <c r="F56" s="13">
        <f>E56*8/100</f>
        <v>0.48</v>
      </c>
      <c r="G56" s="75">
        <v>1547.28</v>
      </c>
      <c r="H56" s="76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106"/>
      <c r="B57" s="73" t="s">
        <v>109</v>
      </c>
      <c r="C57" s="74" t="s">
        <v>110</v>
      </c>
      <c r="D57" s="73" t="s">
        <v>44</v>
      </c>
      <c r="E57" s="48">
        <v>6</v>
      </c>
      <c r="F57" s="75">
        <v>12</v>
      </c>
      <c r="G57" s="82">
        <v>180.78</v>
      </c>
      <c r="H57" s="76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97" t="s">
        <v>46</v>
      </c>
      <c r="C58" s="83"/>
      <c r="D58" s="84"/>
      <c r="E58" s="85"/>
      <c r="F58" s="87"/>
      <c r="G58" s="13"/>
      <c r="H58" s="89"/>
      <c r="I58" s="13"/>
      <c r="J58" s="23"/>
      <c r="L58" s="19"/>
      <c r="M58" s="20"/>
      <c r="N58" s="21"/>
    </row>
    <row r="59" spans="1:22" ht="15.75" customHeight="1">
      <c r="A59" s="29">
        <v>17</v>
      </c>
      <c r="B59" s="84" t="s">
        <v>105</v>
      </c>
      <c r="C59" s="83" t="s">
        <v>25</v>
      </c>
      <c r="D59" s="84"/>
      <c r="E59" s="85">
        <v>232.6</v>
      </c>
      <c r="F59" s="86">
        <f>E59*12</f>
        <v>2791.2</v>
      </c>
      <c r="G59" s="107">
        <v>2.5960000000000001</v>
      </c>
      <c r="H59" s="87">
        <f>G59*F59</f>
        <v>7245.9551999999994</v>
      </c>
      <c r="I59" s="13">
        <f>F59/12*G59</f>
        <v>603.82960000000003</v>
      </c>
      <c r="J59" s="23"/>
      <c r="L59" s="19"/>
    </row>
    <row r="60" spans="1:22" ht="15.75" customHeight="1">
      <c r="A60" s="29"/>
      <c r="B60" s="97" t="s">
        <v>48</v>
      </c>
      <c r="C60" s="83"/>
      <c r="D60" s="84"/>
      <c r="E60" s="85"/>
      <c r="F60" s="86"/>
      <c r="G60" s="86"/>
      <c r="H60" s="87" t="s">
        <v>146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18</v>
      </c>
      <c r="B61" s="14" t="s">
        <v>49</v>
      </c>
      <c r="C61" s="16" t="s">
        <v>138</v>
      </c>
      <c r="D61" s="14" t="s">
        <v>71</v>
      </c>
      <c r="E61" s="18">
        <v>15</v>
      </c>
      <c r="F61" s="75">
        <v>15</v>
      </c>
      <c r="G61" s="13">
        <v>209.41</v>
      </c>
      <c r="H61" s="90">
        <f t="shared" ref="H61:H68" si="8">SUM(F61*G61/1000)</f>
        <v>3.1411500000000001</v>
      </c>
      <c r="I61" s="13">
        <f>G61*8</f>
        <v>1675.28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50</v>
      </c>
      <c r="C62" s="16" t="s">
        <v>138</v>
      </c>
      <c r="D62" s="14" t="s">
        <v>71</v>
      </c>
      <c r="E62" s="18">
        <v>5</v>
      </c>
      <c r="F62" s="75">
        <v>5</v>
      </c>
      <c r="G62" s="13">
        <v>71.790000000000006</v>
      </c>
      <c r="H62" s="90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51</v>
      </c>
      <c r="C63" s="16" t="s">
        <v>140</v>
      </c>
      <c r="D63" s="14" t="s">
        <v>57</v>
      </c>
      <c r="E63" s="48">
        <v>18281</v>
      </c>
      <c r="F63" s="13">
        <f>SUM(E63/100)</f>
        <v>182.81</v>
      </c>
      <c r="G63" s="13">
        <v>199.77</v>
      </c>
      <c r="H63" s="90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>
        <v>25</v>
      </c>
      <c r="B64" s="14" t="s">
        <v>52</v>
      </c>
      <c r="C64" s="16" t="s">
        <v>141</v>
      </c>
      <c r="D64" s="14"/>
      <c r="E64" s="48">
        <v>18281</v>
      </c>
      <c r="F64" s="13">
        <f>SUM(E64/1000)</f>
        <v>18.280999999999999</v>
      </c>
      <c r="G64" s="13">
        <v>155.57</v>
      </c>
      <c r="H64" s="90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53</v>
      </c>
      <c r="C65" s="16" t="s">
        <v>82</v>
      </c>
      <c r="D65" s="14" t="s">
        <v>57</v>
      </c>
      <c r="E65" s="48">
        <v>2730</v>
      </c>
      <c r="F65" s="13">
        <f>SUM(E65/100)</f>
        <v>27.3</v>
      </c>
      <c r="G65" s="13">
        <v>1953.52</v>
      </c>
      <c r="H65" s="90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91" t="s">
        <v>142</v>
      </c>
      <c r="C66" s="16" t="s">
        <v>34</v>
      </c>
      <c r="D66" s="14"/>
      <c r="E66" s="48">
        <v>16.399999999999999</v>
      </c>
      <c r="F66" s="13">
        <f>SUM(E66)</f>
        <v>16.399999999999999</v>
      </c>
      <c r="G66" s="13">
        <v>40.270000000000003</v>
      </c>
      <c r="H66" s="90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91" t="s">
        <v>143</v>
      </c>
      <c r="C67" s="16" t="s">
        <v>34</v>
      </c>
      <c r="D67" s="14"/>
      <c r="E67" s="48">
        <v>16.399999999999999</v>
      </c>
      <c r="F67" s="13">
        <f>SUM(E67)</f>
        <v>16.399999999999999</v>
      </c>
      <c r="G67" s="13">
        <v>37.71</v>
      </c>
      <c r="H67" s="90">
        <f t="shared" si="8"/>
        <v>0.61844399999999999</v>
      </c>
      <c r="I67" s="13">
        <f t="shared" si="9"/>
        <v>618.44399999999996</v>
      </c>
    </row>
    <row r="68" spans="1:9" ht="15.75" customHeight="1">
      <c r="A68" s="29">
        <v>19</v>
      </c>
      <c r="B68" s="14" t="s">
        <v>61</v>
      </c>
      <c r="C68" s="16" t="s">
        <v>62</v>
      </c>
      <c r="D68" s="14" t="s">
        <v>57</v>
      </c>
      <c r="E68" s="18">
        <v>7</v>
      </c>
      <c r="F68" s="75">
        <f>SUM(E68)</f>
        <v>7</v>
      </c>
      <c r="G68" s="13">
        <v>46.97</v>
      </c>
      <c r="H68" s="90">
        <f t="shared" si="8"/>
        <v>0.32878999999999997</v>
      </c>
      <c r="I68" s="13">
        <f>G68*7</f>
        <v>328.78999999999996</v>
      </c>
    </row>
    <row r="69" spans="1:9" ht="15.75" hidden="1" customHeight="1">
      <c r="A69" s="29"/>
      <c r="B69" s="104" t="s">
        <v>78</v>
      </c>
      <c r="C69" s="16"/>
      <c r="D69" s="14"/>
      <c r="E69" s="18"/>
      <c r="F69" s="13"/>
      <c r="G69" s="13"/>
      <c r="H69" s="90" t="s">
        <v>146</v>
      </c>
      <c r="I69" s="13"/>
    </row>
    <row r="70" spans="1:9" ht="15.75" hidden="1" customHeight="1">
      <c r="A70" s="29"/>
      <c r="B70" s="14" t="s">
        <v>96</v>
      </c>
      <c r="C70" s="16" t="s">
        <v>31</v>
      </c>
      <c r="D70" s="14"/>
      <c r="E70" s="18">
        <v>1</v>
      </c>
      <c r="F70" s="75">
        <f>SUM(E70)</f>
        <v>1</v>
      </c>
      <c r="G70" s="13">
        <v>337.58</v>
      </c>
      <c r="H70" s="90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80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90">
        <f>F71*G71/1000</f>
        <v>1.6063800000000001</v>
      </c>
      <c r="I71" s="13">
        <v>0</v>
      </c>
    </row>
    <row r="72" spans="1:9" ht="15.75" hidden="1" customHeight="1">
      <c r="A72" s="29"/>
      <c r="B72" s="92" t="s">
        <v>81</v>
      </c>
      <c r="C72" s="16"/>
      <c r="D72" s="14"/>
      <c r="E72" s="18"/>
      <c r="F72" s="13"/>
      <c r="G72" s="13" t="s">
        <v>146</v>
      </c>
      <c r="H72" s="90" t="s">
        <v>146</v>
      </c>
      <c r="I72" s="13"/>
    </row>
    <row r="73" spans="1:9" ht="15.75" hidden="1" customHeight="1">
      <c r="A73" s="29"/>
      <c r="B73" s="42" t="s">
        <v>147</v>
      </c>
      <c r="C73" s="16" t="s">
        <v>82</v>
      </c>
      <c r="D73" s="14"/>
      <c r="E73" s="18"/>
      <c r="F73" s="13">
        <v>1.35</v>
      </c>
      <c r="G73" s="13">
        <v>2494</v>
      </c>
      <c r="H73" s="90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78" t="s">
        <v>144</v>
      </c>
      <c r="C74" s="92"/>
      <c r="D74" s="31"/>
      <c r="E74" s="32"/>
      <c r="F74" s="79"/>
      <c r="G74" s="79"/>
      <c r="H74" s="93">
        <f>SUM(H56:H73)</f>
        <v>7351.9809012699989</v>
      </c>
      <c r="I74" s="79"/>
    </row>
    <row r="75" spans="1:9" ht="15.75" hidden="1" customHeight="1">
      <c r="A75" s="29">
        <v>29</v>
      </c>
      <c r="B75" s="73" t="s">
        <v>145</v>
      </c>
      <c r="C75" s="16"/>
      <c r="D75" s="14"/>
      <c r="E75" s="67"/>
      <c r="F75" s="13">
        <v>1</v>
      </c>
      <c r="G75" s="13">
        <v>17359.8</v>
      </c>
      <c r="H75" s="90">
        <f>G75*F75/1000</f>
        <v>17.3598</v>
      </c>
      <c r="I75" s="13">
        <f>G75</f>
        <v>17359.8</v>
      </c>
    </row>
    <row r="76" spans="1:9" ht="15.75" customHeight="1">
      <c r="A76" s="129" t="s">
        <v>154</v>
      </c>
      <c r="B76" s="130"/>
      <c r="C76" s="130"/>
      <c r="D76" s="130"/>
      <c r="E76" s="130"/>
      <c r="F76" s="130"/>
      <c r="G76" s="130"/>
      <c r="H76" s="130"/>
      <c r="I76" s="131"/>
    </row>
    <row r="77" spans="1:9" ht="15.75" customHeight="1">
      <c r="A77" s="29">
        <v>20</v>
      </c>
      <c r="B77" s="73" t="s">
        <v>148</v>
      </c>
      <c r="C77" s="16" t="s">
        <v>58</v>
      </c>
      <c r="D77" s="94" t="s">
        <v>59</v>
      </c>
      <c r="E77" s="13">
        <v>4224.3999999999996</v>
      </c>
      <c r="F77" s="13">
        <f>SUM(E77*12)</f>
        <v>50692.799999999996</v>
      </c>
      <c r="G77" s="13">
        <v>2.1</v>
      </c>
      <c r="H77" s="90">
        <f>SUM(F77*G77/1000)</f>
        <v>106.45487999999999</v>
      </c>
      <c r="I77" s="13">
        <f>F77/12*G77</f>
        <v>8871.24</v>
      </c>
    </row>
    <row r="78" spans="1:9" ht="31.5" customHeight="1">
      <c r="A78" s="29">
        <v>21</v>
      </c>
      <c r="B78" s="14" t="s">
        <v>83</v>
      </c>
      <c r="C78" s="16"/>
      <c r="D78" s="94" t="s">
        <v>59</v>
      </c>
      <c r="E78" s="48">
        <v>4224.3999999999996</v>
      </c>
      <c r="F78" s="13">
        <f>E78*12</f>
        <v>50692.799999999996</v>
      </c>
      <c r="G78" s="13">
        <v>1.63</v>
      </c>
      <c r="H78" s="90">
        <f>F78*G78/1000</f>
        <v>82.629263999999978</v>
      </c>
      <c r="I78" s="13">
        <f>F78/12*G78</f>
        <v>6885.771999999999</v>
      </c>
    </row>
    <row r="79" spans="1:9" ht="15.75" customHeight="1">
      <c r="A79" s="102"/>
      <c r="B79" s="34" t="s">
        <v>86</v>
      </c>
      <c r="C79" s="35"/>
      <c r="D79" s="15"/>
      <c r="E79" s="15"/>
      <c r="F79" s="15"/>
      <c r="G79" s="18"/>
      <c r="H79" s="18"/>
      <c r="I79" s="32">
        <f>SUM(I16+I17+I18+I20+I21+I25+I26+I29+I30+I32+I33+I45+I46+I47+I48+I49+I59+I61+I68+I77+I78)</f>
        <v>67466.34746335556</v>
      </c>
    </row>
    <row r="80" spans="1:9" ht="15.75" customHeight="1">
      <c r="A80" s="147" t="s">
        <v>64</v>
      </c>
      <c r="B80" s="148"/>
      <c r="C80" s="148"/>
      <c r="D80" s="148"/>
      <c r="E80" s="148"/>
      <c r="F80" s="148"/>
      <c r="G80" s="148"/>
      <c r="H80" s="148"/>
      <c r="I80" s="149"/>
    </row>
    <row r="81" spans="1:9" ht="31.5" customHeight="1">
      <c r="A81" s="29">
        <v>22</v>
      </c>
      <c r="B81" s="46" t="s">
        <v>97</v>
      </c>
      <c r="C81" s="49" t="s">
        <v>101</v>
      </c>
      <c r="D81" s="42"/>
      <c r="E81" s="13"/>
      <c r="F81" s="13">
        <v>11</v>
      </c>
      <c r="G81" s="13">
        <v>589.84</v>
      </c>
      <c r="H81" s="90">
        <f t="shared" ref="H81:H89" si="12">G81*F81/1000</f>
        <v>6.4882400000000011</v>
      </c>
      <c r="I81" s="13">
        <f>G81*2</f>
        <v>1179.68</v>
      </c>
    </row>
    <row r="82" spans="1:9" ht="15.75" customHeight="1">
      <c r="A82" s="29">
        <v>23</v>
      </c>
      <c r="B82" s="57" t="s">
        <v>197</v>
      </c>
      <c r="C82" s="58" t="s">
        <v>100</v>
      </c>
      <c r="D82" s="117"/>
      <c r="E82" s="118"/>
      <c r="F82" s="118">
        <f>(3*7+5+10+10+10+10+20+20+5+10+20+3)/3</f>
        <v>48</v>
      </c>
      <c r="G82" s="118">
        <v>1120.8900000000001</v>
      </c>
      <c r="H82" s="119">
        <f t="shared" si="12"/>
        <v>53.802720000000001</v>
      </c>
      <c r="I82" s="13">
        <f>G82</f>
        <v>1120.8900000000001</v>
      </c>
    </row>
    <row r="83" spans="1:9" ht="15.75" customHeight="1">
      <c r="A83" s="29">
        <v>24</v>
      </c>
      <c r="B83" s="46" t="s">
        <v>199</v>
      </c>
      <c r="C83" s="49" t="s">
        <v>191</v>
      </c>
      <c r="D83" s="42"/>
      <c r="E83" s="13"/>
      <c r="F83" s="13">
        <v>6</v>
      </c>
      <c r="G83" s="13">
        <v>1046.06</v>
      </c>
      <c r="H83" s="90">
        <f t="shared" si="12"/>
        <v>6.2763599999999995</v>
      </c>
      <c r="I83" s="13">
        <f>G83*2</f>
        <v>2092.12</v>
      </c>
    </row>
    <row r="84" spans="1:9" ht="15.75" customHeight="1">
      <c r="A84" s="29">
        <v>25</v>
      </c>
      <c r="B84" s="46" t="s">
        <v>200</v>
      </c>
      <c r="C84" s="49" t="s">
        <v>138</v>
      </c>
      <c r="D84" s="42"/>
      <c r="E84" s="13"/>
      <c r="F84" s="13">
        <v>6</v>
      </c>
      <c r="G84" s="13">
        <v>108</v>
      </c>
      <c r="H84" s="90">
        <f>G84*F84/1000</f>
        <v>0.64800000000000002</v>
      </c>
      <c r="I84" s="13">
        <f>G84</f>
        <v>108</v>
      </c>
    </row>
    <row r="85" spans="1:9" ht="15.75" customHeight="1">
      <c r="A85" s="29">
        <v>26</v>
      </c>
      <c r="B85" s="57" t="s">
        <v>193</v>
      </c>
      <c r="C85" s="49" t="s">
        <v>138</v>
      </c>
      <c r="D85" s="42"/>
      <c r="E85" s="13"/>
      <c r="F85" s="13">
        <v>2</v>
      </c>
      <c r="G85" s="13">
        <v>175</v>
      </c>
      <c r="H85" s="90">
        <f>G85*F85/1000</f>
        <v>0.35</v>
      </c>
      <c r="I85" s="13">
        <f>G85</f>
        <v>175</v>
      </c>
    </row>
    <row r="86" spans="1:9" ht="15.75" customHeight="1">
      <c r="A86" s="29">
        <v>27</v>
      </c>
      <c r="B86" s="46" t="s">
        <v>194</v>
      </c>
      <c r="C86" s="49" t="s">
        <v>138</v>
      </c>
      <c r="D86" s="42"/>
      <c r="E86" s="13"/>
      <c r="F86" s="13">
        <v>3</v>
      </c>
      <c r="G86" s="13">
        <v>27.36</v>
      </c>
      <c r="H86" s="90">
        <f t="shared" ref="H86" si="13">G86*F86/1000</f>
        <v>8.208E-2</v>
      </c>
      <c r="I86" s="13">
        <f>G86</f>
        <v>27.36</v>
      </c>
    </row>
    <row r="87" spans="1:9" ht="15.75" customHeight="1">
      <c r="A87" s="29">
        <v>28</v>
      </c>
      <c r="B87" s="46" t="s">
        <v>198</v>
      </c>
      <c r="C87" s="49" t="s">
        <v>138</v>
      </c>
      <c r="D87" s="42"/>
      <c r="E87" s="13"/>
      <c r="F87" s="13">
        <v>960</v>
      </c>
      <c r="G87" s="13">
        <v>53.42</v>
      </c>
      <c r="H87" s="90">
        <f t="shared" si="12"/>
        <v>51.283200000000008</v>
      </c>
      <c r="I87" s="13">
        <f>G87*80</f>
        <v>4273.6000000000004</v>
      </c>
    </row>
    <row r="88" spans="1:9" ht="15.75" customHeight="1">
      <c r="A88" s="29">
        <v>29</v>
      </c>
      <c r="B88" s="115" t="s">
        <v>88</v>
      </c>
      <c r="C88" s="116" t="s">
        <v>138</v>
      </c>
      <c r="D88" s="117"/>
      <c r="E88" s="118"/>
      <c r="F88" s="118">
        <v>6</v>
      </c>
      <c r="G88" s="118">
        <v>189.88</v>
      </c>
      <c r="H88" s="119">
        <f t="shared" si="12"/>
        <v>1.1392800000000001</v>
      </c>
      <c r="I88" s="13">
        <f>G88</f>
        <v>189.88</v>
      </c>
    </row>
    <row r="89" spans="1:9" ht="15.75" customHeight="1">
      <c r="A89" s="29">
        <v>30</v>
      </c>
      <c r="B89" s="46" t="s">
        <v>202</v>
      </c>
      <c r="C89" s="49" t="s">
        <v>138</v>
      </c>
      <c r="D89" s="120"/>
      <c r="E89" s="17"/>
      <c r="F89" s="118">
        <v>10</v>
      </c>
      <c r="G89" s="118">
        <v>140</v>
      </c>
      <c r="H89" s="119">
        <f t="shared" si="12"/>
        <v>1.4</v>
      </c>
      <c r="I89" s="13">
        <f>G89*2</f>
        <v>280</v>
      </c>
    </row>
    <row r="90" spans="1:9" ht="15.75" customHeight="1">
      <c r="A90" s="29">
        <v>31</v>
      </c>
      <c r="B90" s="115" t="s">
        <v>203</v>
      </c>
      <c r="C90" s="116" t="s">
        <v>138</v>
      </c>
      <c r="D90" s="117"/>
      <c r="E90" s="118"/>
      <c r="F90" s="118">
        <v>4</v>
      </c>
      <c r="G90" s="118">
        <v>70</v>
      </c>
      <c r="H90" s="119">
        <f t="shared" ref="H90" si="14">G90*F90/1000</f>
        <v>0.28000000000000003</v>
      </c>
      <c r="I90" s="13">
        <f>G90</f>
        <v>70</v>
      </c>
    </row>
    <row r="91" spans="1:9" ht="31.5" customHeight="1">
      <c r="A91" s="29">
        <v>32</v>
      </c>
      <c r="B91" s="46" t="s">
        <v>210</v>
      </c>
      <c r="C91" s="49" t="s">
        <v>87</v>
      </c>
      <c r="D91" s="42"/>
      <c r="E91" s="118"/>
      <c r="F91" s="118">
        <v>20.5</v>
      </c>
      <c r="G91" s="118">
        <v>1272</v>
      </c>
      <c r="H91" s="119">
        <f>G91*F91/1000</f>
        <v>26.076000000000001</v>
      </c>
      <c r="I91" s="13">
        <f>G91*2</f>
        <v>2544</v>
      </c>
    </row>
    <row r="92" spans="1:9" ht="15.75" customHeight="1">
      <c r="A92" s="29">
        <v>33</v>
      </c>
      <c r="B92" s="46" t="s">
        <v>236</v>
      </c>
      <c r="C92" s="49" t="s">
        <v>138</v>
      </c>
      <c r="D92" s="117"/>
      <c r="E92" s="118"/>
      <c r="F92" s="118">
        <v>2</v>
      </c>
      <c r="G92" s="118">
        <v>63</v>
      </c>
      <c r="H92" s="119">
        <f t="shared" ref="H92" si="15">G92*F92/1000</f>
        <v>0.126</v>
      </c>
      <c r="I92" s="13">
        <f>G92</f>
        <v>63</v>
      </c>
    </row>
    <row r="93" spans="1:9" ht="31.5" customHeight="1">
      <c r="A93" s="29">
        <v>34</v>
      </c>
      <c r="B93" s="46" t="s">
        <v>253</v>
      </c>
      <c r="C93" s="49" t="s">
        <v>87</v>
      </c>
      <c r="D93" s="42"/>
      <c r="E93" s="13"/>
      <c r="F93" s="13">
        <v>1</v>
      </c>
      <c r="G93" s="13">
        <v>1047.71</v>
      </c>
      <c r="H93" s="90">
        <f t="shared" ref="H93" si="16">G93*F93/1000</f>
        <v>1.0477100000000001</v>
      </c>
      <c r="I93" s="13">
        <f>G93</f>
        <v>1047.71</v>
      </c>
    </row>
    <row r="94" spans="1:9" ht="31.5" customHeight="1">
      <c r="A94" s="29">
        <v>35</v>
      </c>
      <c r="B94" s="46" t="s">
        <v>161</v>
      </c>
      <c r="C94" s="49" t="s">
        <v>101</v>
      </c>
      <c r="D94" s="42"/>
      <c r="E94" s="13"/>
      <c r="F94" s="13">
        <v>2</v>
      </c>
      <c r="G94" s="13">
        <v>803.54</v>
      </c>
      <c r="H94" s="90">
        <f>G94*F94/1000</f>
        <v>1.6070799999999998</v>
      </c>
      <c r="I94" s="13">
        <f>G94*(1+1)</f>
        <v>1607.08</v>
      </c>
    </row>
    <row r="95" spans="1:9" ht="15.75" customHeight="1">
      <c r="A95" s="29">
        <v>36</v>
      </c>
      <c r="B95" s="46" t="s">
        <v>91</v>
      </c>
      <c r="C95" s="49" t="s">
        <v>116</v>
      </c>
      <c r="D95" s="42"/>
      <c r="E95" s="13"/>
      <c r="F95" s="13">
        <v>2</v>
      </c>
      <c r="G95" s="13">
        <v>306.37</v>
      </c>
      <c r="H95" s="90">
        <f>G95*F95/1000</f>
        <v>0.61274000000000006</v>
      </c>
      <c r="I95" s="13">
        <f>G95*2</f>
        <v>612.74</v>
      </c>
    </row>
    <row r="96" spans="1:9" ht="15.75" customHeight="1">
      <c r="A96" s="29"/>
      <c r="B96" s="40" t="s">
        <v>54</v>
      </c>
      <c r="C96" s="36"/>
      <c r="D96" s="44"/>
      <c r="E96" s="36">
        <v>1</v>
      </c>
      <c r="F96" s="36"/>
      <c r="G96" s="36"/>
      <c r="H96" s="36"/>
      <c r="I96" s="32">
        <f>SUM(I81:I95)</f>
        <v>15391.060000000001</v>
      </c>
    </row>
    <row r="97" spans="1:9" ht="15.75" customHeight="1">
      <c r="A97" s="29"/>
      <c r="B97" s="42" t="s">
        <v>84</v>
      </c>
      <c r="C97" s="15"/>
      <c r="D97" s="15"/>
      <c r="E97" s="37"/>
      <c r="F97" s="37"/>
      <c r="G97" s="38"/>
      <c r="H97" s="38"/>
      <c r="I97" s="17">
        <v>0</v>
      </c>
    </row>
    <row r="98" spans="1:9" ht="15.75" customHeight="1">
      <c r="A98" s="45"/>
      <c r="B98" s="41" t="s">
        <v>180</v>
      </c>
      <c r="C98" s="33"/>
      <c r="D98" s="33"/>
      <c r="E98" s="33"/>
      <c r="F98" s="33"/>
      <c r="G98" s="33"/>
      <c r="H98" s="33"/>
      <c r="I98" s="39">
        <f>I79+I96</f>
        <v>82857.407463355557</v>
      </c>
    </row>
    <row r="99" spans="1:9" ht="15.75" customHeight="1">
      <c r="A99" s="143" t="s">
        <v>259</v>
      </c>
      <c r="B99" s="143"/>
      <c r="C99" s="143"/>
      <c r="D99" s="143"/>
      <c r="E99" s="143"/>
      <c r="F99" s="143"/>
      <c r="G99" s="143"/>
      <c r="H99" s="143"/>
      <c r="I99" s="143"/>
    </row>
    <row r="100" spans="1:9" ht="15.75" customHeight="1">
      <c r="A100" s="56"/>
      <c r="B100" s="144" t="s">
        <v>260</v>
      </c>
      <c r="C100" s="144"/>
      <c r="D100" s="144"/>
      <c r="E100" s="144"/>
      <c r="F100" s="144"/>
      <c r="G100" s="144"/>
      <c r="H100" s="71"/>
      <c r="I100" s="3"/>
    </row>
    <row r="101" spans="1:9" ht="15.75" customHeight="1">
      <c r="A101" s="100"/>
      <c r="B101" s="145" t="s">
        <v>6</v>
      </c>
      <c r="C101" s="145"/>
      <c r="D101" s="145"/>
      <c r="E101" s="145"/>
      <c r="F101" s="145"/>
      <c r="G101" s="145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46" t="s">
        <v>7</v>
      </c>
      <c r="B103" s="146"/>
      <c r="C103" s="146"/>
      <c r="D103" s="146"/>
      <c r="E103" s="146"/>
      <c r="F103" s="146"/>
      <c r="G103" s="146"/>
      <c r="H103" s="146"/>
      <c r="I103" s="146"/>
    </row>
    <row r="104" spans="1:9" ht="15.75" customHeight="1">
      <c r="A104" s="146" t="s">
        <v>8</v>
      </c>
      <c r="B104" s="146"/>
      <c r="C104" s="146"/>
      <c r="D104" s="146"/>
      <c r="E104" s="146"/>
      <c r="F104" s="146"/>
      <c r="G104" s="146"/>
      <c r="H104" s="146"/>
      <c r="I104" s="146"/>
    </row>
    <row r="105" spans="1:9" ht="15.75" customHeight="1">
      <c r="A105" s="138" t="s">
        <v>65</v>
      </c>
      <c r="B105" s="138"/>
      <c r="C105" s="138"/>
      <c r="D105" s="138"/>
      <c r="E105" s="138"/>
      <c r="F105" s="138"/>
      <c r="G105" s="138"/>
      <c r="H105" s="138"/>
      <c r="I105" s="138"/>
    </row>
    <row r="106" spans="1:9" ht="15.75" customHeight="1">
      <c r="A106" s="11"/>
    </row>
    <row r="107" spans="1:9" ht="15.75" customHeight="1">
      <c r="A107" s="151" t="s">
        <v>9</v>
      </c>
      <c r="B107" s="151"/>
      <c r="C107" s="151"/>
      <c r="D107" s="151"/>
      <c r="E107" s="151"/>
      <c r="F107" s="151"/>
      <c r="G107" s="151"/>
      <c r="H107" s="151"/>
      <c r="I107" s="151"/>
    </row>
    <row r="108" spans="1:9" ht="15.75" customHeight="1">
      <c r="A108" s="4"/>
    </row>
    <row r="109" spans="1:9" ht="15.75" customHeight="1">
      <c r="B109" s="101" t="s">
        <v>10</v>
      </c>
      <c r="C109" s="152" t="s">
        <v>98</v>
      </c>
      <c r="D109" s="152"/>
      <c r="E109" s="152"/>
      <c r="F109" s="69"/>
      <c r="I109" s="99"/>
    </row>
    <row r="110" spans="1:9" ht="15.75" customHeight="1">
      <c r="A110" s="100"/>
      <c r="C110" s="145" t="s">
        <v>11</v>
      </c>
      <c r="D110" s="145"/>
      <c r="E110" s="145"/>
      <c r="F110" s="24"/>
      <c r="I110" s="98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101" t="s">
        <v>13</v>
      </c>
      <c r="C112" s="153"/>
      <c r="D112" s="153"/>
      <c r="E112" s="153"/>
      <c r="F112" s="70"/>
      <c r="I112" s="99"/>
    </row>
    <row r="113" spans="1:9" ht="15.75" customHeight="1">
      <c r="A113" s="100"/>
      <c r="C113" s="128" t="s">
        <v>11</v>
      </c>
      <c r="D113" s="128"/>
      <c r="E113" s="128"/>
      <c r="F113" s="100"/>
      <c r="I113" s="98" t="s">
        <v>12</v>
      </c>
    </row>
    <row r="114" spans="1:9" ht="15.75" customHeight="1">
      <c r="A114" s="4" t="s">
        <v>14</v>
      </c>
    </row>
    <row r="115" spans="1:9" ht="15.75" customHeight="1">
      <c r="A115" s="154" t="s">
        <v>15</v>
      </c>
      <c r="B115" s="154"/>
      <c r="C115" s="154"/>
      <c r="D115" s="154"/>
      <c r="E115" s="154"/>
      <c r="F115" s="154"/>
      <c r="G115" s="154"/>
      <c r="H115" s="154"/>
      <c r="I115" s="154"/>
    </row>
    <row r="116" spans="1:9" ht="45" customHeight="1">
      <c r="A116" s="150" t="s">
        <v>16</v>
      </c>
      <c r="B116" s="150"/>
      <c r="C116" s="150"/>
      <c r="D116" s="150"/>
      <c r="E116" s="150"/>
      <c r="F116" s="150"/>
      <c r="G116" s="150"/>
      <c r="H116" s="150"/>
      <c r="I116" s="150"/>
    </row>
    <row r="117" spans="1:9" ht="30" customHeight="1">
      <c r="A117" s="150" t="s">
        <v>17</v>
      </c>
      <c r="B117" s="150"/>
      <c r="C117" s="150"/>
      <c r="D117" s="150"/>
      <c r="E117" s="150"/>
      <c r="F117" s="150"/>
      <c r="G117" s="150"/>
      <c r="H117" s="150"/>
      <c r="I117" s="150"/>
    </row>
    <row r="118" spans="1:9" ht="30" customHeight="1">
      <c r="A118" s="150" t="s">
        <v>21</v>
      </c>
      <c r="B118" s="150"/>
      <c r="C118" s="150"/>
      <c r="D118" s="150"/>
      <c r="E118" s="150"/>
      <c r="F118" s="150"/>
      <c r="G118" s="150"/>
      <c r="H118" s="150"/>
      <c r="I118" s="150"/>
    </row>
    <row r="119" spans="1:9" ht="15" customHeight="1">
      <c r="A119" s="150" t="s">
        <v>20</v>
      </c>
      <c r="B119" s="150"/>
      <c r="C119" s="150"/>
      <c r="D119" s="150"/>
      <c r="E119" s="150"/>
      <c r="F119" s="150"/>
      <c r="G119" s="150"/>
      <c r="H119" s="150"/>
      <c r="I119" s="150"/>
    </row>
  </sheetData>
  <autoFilter ref="I12:I59"/>
  <mergeCells count="29">
    <mergeCell ref="A115:I115"/>
    <mergeCell ref="A116:I116"/>
    <mergeCell ref="A117:I117"/>
    <mergeCell ref="A118:I118"/>
    <mergeCell ref="A119:I119"/>
    <mergeCell ref="R63:U63"/>
    <mergeCell ref="C113:E113"/>
    <mergeCell ref="A80:I80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10а.17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'10а.17'!Область_печати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Sony</cp:lastModifiedBy>
  <cp:lastPrinted>2017-11-23T13:42:01Z</cp:lastPrinted>
  <dcterms:created xsi:type="dcterms:W3CDTF">2016-03-25T08:33:47Z</dcterms:created>
  <dcterms:modified xsi:type="dcterms:W3CDTF">2018-03-29T20:08:05Z</dcterms:modified>
</cp:coreProperties>
</file>