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8" r:id="rId1"/>
    <sheet name="02.19" sheetId="17" r:id="rId2"/>
    <sheet name="03.19" sheetId="18" r:id="rId3"/>
    <sheet name="04.19" sheetId="19" r:id="rId4"/>
    <sheet name="05.19" sheetId="20" r:id="rId5"/>
    <sheet name="06.19" sheetId="21" r:id="rId6"/>
    <sheet name="07.19" sheetId="22" r:id="rId7"/>
    <sheet name="08.19" sheetId="23" r:id="rId8"/>
    <sheet name="09.19" sheetId="24" r:id="rId9"/>
    <sheet name="10.19" sheetId="25" r:id="rId10"/>
    <sheet name="11.19" sheetId="26" r:id="rId11"/>
    <sheet name="12.19" sheetId="27" r:id="rId12"/>
  </sheets>
  <definedNames>
    <definedName name="_xlnm._FilterDatabase" localSheetId="0" hidden="1">'01.19'!$I$12:$I$67</definedName>
    <definedName name="_xlnm._FilterDatabase" localSheetId="1" hidden="1">'02.19'!$I$12:$I$66</definedName>
    <definedName name="_xlnm._FilterDatabase" localSheetId="2" hidden="1">'03.19'!$I$12:$I$70</definedName>
    <definedName name="_xlnm._FilterDatabase" localSheetId="3" hidden="1">'04.19'!$I$12:$I$67</definedName>
    <definedName name="_xlnm._FilterDatabase" localSheetId="4" hidden="1">'05.19'!$I$12:$I$64</definedName>
    <definedName name="_xlnm._FilterDatabase" localSheetId="5" hidden="1">'06.19'!$I$12:$I$66</definedName>
    <definedName name="_xlnm._FilterDatabase" localSheetId="6" hidden="1">'07.19'!$I$12:$I$65</definedName>
    <definedName name="_xlnm._FilterDatabase" localSheetId="7" hidden="1">'08.19'!$I$12:$I$65</definedName>
    <definedName name="_xlnm._FilterDatabase" localSheetId="8" hidden="1">'09.19'!$I$12:$I$66</definedName>
    <definedName name="_xlnm._FilterDatabase" localSheetId="9" hidden="1">'10.19'!$I$12:$I$66</definedName>
    <definedName name="_xlnm._FilterDatabase" localSheetId="10" hidden="1">'11.19'!$I$12:$I$68</definedName>
    <definedName name="_xlnm._FilterDatabase" localSheetId="11" hidden="1">'12.19'!$I$12:$I$68</definedName>
    <definedName name="_xlnm.Print_Titles" localSheetId="4">'05.19'!$12:$13</definedName>
    <definedName name="_xlnm.Print_Area" localSheetId="0">'01.19'!$A$1:$I$120</definedName>
    <definedName name="_xlnm.Print_Area" localSheetId="1">'02.19'!$A$1:$I$123</definedName>
    <definedName name="_xlnm.Print_Area" localSheetId="2">'03.19'!$A$1:$I$120</definedName>
    <definedName name="_xlnm.Print_Area" localSheetId="3">'04.19'!$A$1:$I$129</definedName>
    <definedName name="_xlnm.Print_Area" localSheetId="4">'05.19'!$A$1:$I$117</definedName>
    <definedName name="_xlnm.Print_Area" localSheetId="5">'06.19'!$A$1:$I$133</definedName>
    <definedName name="_xlnm.Print_Area" localSheetId="6">'07.19'!$A$1:$I$121</definedName>
    <definedName name="_xlnm.Print_Area" localSheetId="7">'08.19'!$A$1:$I$125</definedName>
    <definedName name="_xlnm.Print_Area" localSheetId="8">'09.19'!$A$1:$I$121</definedName>
    <definedName name="_xlnm.Print_Area" localSheetId="9">'10.19'!$A$1:$I$120</definedName>
    <definedName name="_xlnm.Print_Area" localSheetId="10">'11.19'!$A$1:$I$124</definedName>
    <definedName name="_xlnm.Print_Area" localSheetId="11">'12.19'!$A$1:$I$123</definedName>
  </definedNames>
  <calcPr calcId="124519"/>
</workbook>
</file>

<file path=xl/calcChain.xml><?xml version="1.0" encoding="utf-8"?>
<calcChain xmlns="http://schemas.openxmlformats.org/spreadsheetml/2006/main">
  <c r="I98" i="24"/>
  <c r="I97"/>
  <c r="I100" i="27"/>
  <c r="I99"/>
  <c r="I90"/>
  <c r="I66"/>
  <c r="I45"/>
  <c r="H45"/>
  <c r="F44"/>
  <c r="H44" s="1"/>
  <c r="F43"/>
  <c r="H43" s="1"/>
  <c r="F42"/>
  <c r="H42" s="1"/>
  <c r="F41"/>
  <c r="H41" s="1"/>
  <c r="H40"/>
  <c r="F40"/>
  <c r="I40" s="1"/>
  <c r="I39"/>
  <c r="F52"/>
  <c r="I98"/>
  <c r="I97"/>
  <c r="I96"/>
  <c r="I95"/>
  <c r="I94"/>
  <c r="I93"/>
  <c r="I92"/>
  <c r="E89"/>
  <c r="F89" s="1"/>
  <c r="F88"/>
  <c r="H88" s="1"/>
  <c r="I82"/>
  <c r="F75"/>
  <c r="I75" s="1"/>
  <c r="F60"/>
  <c r="H60" s="1"/>
  <c r="F46"/>
  <c r="H46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I44" l="1"/>
  <c r="I43"/>
  <c r="I42"/>
  <c r="I41"/>
  <c r="H17"/>
  <c r="H22"/>
  <c r="H26"/>
  <c r="H24"/>
  <c r="H89"/>
  <c r="I89"/>
  <c r="I88"/>
  <c r="I60"/>
  <c r="I46"/>
  <c r="I18"/>
  <c r="H18"/>
  <c r="I16"/>
  <c r="I19"/>
  <c r="I23"/>
  <c r="I25"/>
  <c r="I27"/>
  <c r="I99" i="26" l="1"/>
  <c r="I101"/>
  <c r="I89"/>
  <c r="I98"/>
  <c r="I77"/>
  <c r="I100"/>
  <c r="I97"/>
  <c r="I96"/>
  <c r="I95"/>
  <c r="I94"/>
  <c r="I93"/>
  <c r="I92"/>
  <c r="I91"/>
  <c r="E88"/>
  <c r="F88" s="1"/>
  <c r="F87"/>
  <c r="H87" s="1"/>
  <c r="I81"/>
  <c r="F75"/>
  <c r="I75" s="1"/>
  <c r="I66"/>
  <c r="F59"/>
  <c r="F58"/>
  <c r="I39"/>
  <c r="F45"/>
  <c r="I45" s="1"/>
  <c r="F43"/>
  <c r="I43" s="1"/>
  <c r="F42"/>
  <c r="F41"/>
  <c r="I41" s="1"/>
  <c r="F40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H24" l="1"/>
  <c r="H17"/>
  <c r="H22"/>
  <c r="H26"/>
  <c r="H88"/>
  <c r="I88"/>
  <c r="I87"/>
  <c r="I18"/>
  <c r="H18"/>
  <c r="I19"/>
  <c r="I23"/>
  <c r="I25"/>
  <c r="I27"/>
  <c r="I16"/>
  <c r="I88" i="25" l="1"/>
  <c r="I44"/>
  <c r="F44"/>
  <c r="I93" l="1"/>
  <c r="I97" s="1"/>
  <c r="I96"/>
  <c r="I95"/>
  <c r="I94"/>
  <c r="I92"/>
  <c r="I91"/>
  <c r="I90"/>
  <c r="E87"/>
  <c r="F87" s="1"/>
  <c r="F86"/>
  <c r="I86" s="1"/>
  <c r="I80"/>
  <c r="F73"/>
  <c r="I73" s="1"/>
  <c r="H86" l="1"/>
  <c r="H87"/>
  <c r="I87"/>
  <c r="I64" l="1"/>
  <c r="F33"/>
  <c r="I33" s="1"/>
  <c r="F32"/>
  <c r="H32" s="1"/>
  <c r="F31"/>
  <c r="I31" s="1"/>
  <c r="F30"/>
  <c r="H30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I96" i="24"/>
  <c r="I95"/>
  <c r="I90"/>
  <c r="H31" i="25" l="1"/>
  <c r="H17"/>
  <c r="I30"/>
  <c r="I32"/>
  <c r="I18"/>
  <c r="H18"/>
  <c r="I19"/>
  <c r="H22"/>
  <c r="I23"/>
  <c r="H24"/>
  <c r="I25"/>
  <c r="H26"/>
  <c r="I27"/>
  <c r="I16"/>
  <c r="I71" i="24"/>
  <c r="F71"/>
  <c r="I94"/>
  <c r="I93"/>
  <c r="I92"/>
  <c r="I91"/>
  <c r="E87"/>
  <c r="F87" s="1"/>
  <c r="F86"/>
  <c r="H86" s="1"/>
  <c r="I78"/>
  <c r="F84"/>
  <c r="I84" s="1"/>
  <c r="I64"/>
  <c r="I59"/>
  <c r="F53"/>
  <c r="F51"/>
  <c r="F50"/>
  <c r="F49"/>
  <c r="F48"/>
  <c r="F47"/>
  <c r="F46"/>
  <c r="F45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I23" s="1"/>
  <c r="F22"/>
  <c r="I22" s="1"/>
  <c r="I21"/>
  <c r="H21"/>
  <c r="I20"/>
  <c r="H20"/>
  <c r="F19"/>
  <c r="I19" s="1"/>
  <c r="E18"/>
  <c r="F18" s="1"/>
  <c r="I18" s="1"/>
  <c r="F17"/>
  <c r="I17" s="1"/>
  <c r="F16"/>
  <c r="I16" s="1"/>
  <c r="H16" l="1"/>
  <c r="H87"/>
  <c r="I87"/>
  <c r="I86"/>
  <c r="H19"/>
  <c r="H25"/>
  <c r="H23"/>
  <c r="I30"/>
  <c r="H31"/>
  <c r="I32"/>
  <c r="H17"/>
  <c r="H18"/>
  <c r="H22"/>
  <c r="H24"/>
  <c r="H26"/>
  <c r="I27"/>
  <c r="I87" i="23" l="1"/>
  <c r="I102"/>
  <c r="I101"/>
  <c r="I100"/>
  <c r="I99"/>
  <c r="I98"/>
  <c r="I97"/>
  <c r="I96"/>
  <c r="I95"/>
  <c r="I94"/>
  <c r="I93"/>
  <c r="I92"/>
  <c r="I91"/>
  <c r="I90"/>
  <c r="I89"/>
  <c r="E86"/>
  <c r="F86" s="1"/>
  <c r="F85"/>
  <c r="H85" s="1"/>
  <c r="I79"/>
  <c r="F72"/>
  <c r="I72" s="1"/>
  <c r="I63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H86" l="1"/>
  <c r="I86"/>
  <c r="I85"/>
  <c r="H25"/>
  <c r="H17"/>
  <c r="I30"/>
  <c r="H31"/>
  <c r="I32"/>
  <c r="I18"/>
  <c r="H18"/>
  <c r="I16"/>
  <c r="I19"/>
  <c r="H22"/>
  <c r="I23"/>
  <c r="H24"/>
  <c r="H26"/>
  <c r="I27"/>
  <c r="I98" i="22"/>
  <c r="I97"/>
  <c r="I96"/>
  <c r="I95"/>
  <c r="I94"/>
  <c r="E86" l="1"/>
  <c r="F86" s="1"/>
  <c r="F85"/>
  <c r="H85" s="1"/>
  <c r="F33"/>
  <c r="I33" s="1"/>
  <c r="F32"/>
  <c r="H32" s="1"/>
  <c r="H31"/>
  <c r="F31"/>
  <c r="I31" s="1"/>
  <c r="F30"/>
  <c r="H30" s="1"/>
  <c r="F72"/>
  <c r="I72" s="1"/>
  <c r="I93"/>
  <c r="I92"/>
  <c r="I91"/>
  <c r="I90"/>
  <c r="I89"/>
  <c r="I79"/>
  <c r="I74"/>
  <c r="F69"/>
  <c r="F68"/>
  <c r="F67"/>
  <c r="F66"/>
  <c r="F65"/>
  <c r="F27"/>
  <c r="H27" s="1"/>
  <c r="I21"/>
  <c r="H21"/>
  <c r="I20"/>
  <c r="H20"/>
  <c r="E18"/>
  <c r="F18" s="1"/>
  <c r="F17"/>
  <c r="I17" s="1"/>
  <c r="F16"/>
  <c r="I16" s="1"/>
  <c r="F27" i="21"/>
  <c r="H27" s="1"/>
  <c r="I21"/>
  <c r="H21"/>
  <c r="I20"/>
  <c r="H20"/>
  <c r="E18"/>
  <c r="F18" s="1"/>
  <c r="F17"/>
  <c r="H17" s="1"/>
  <c r="F16"/>
  <c r="I16" s="1"/>
  <c r="E18" i="20"/>
  <c r="F18" s="1"/>
  <c r="F17"/>
  <c r="I17" s="1"/>
  <c r="F16"/>
  <c r="I16" s="1"/>
  <c r="F27"/>
  <c r="H27" s="1"/>
  <c r="I92" i="19"/>
  <c r="F27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F17"/>
  <c r="I17" s="1"/>
  <c r="F16"/>
  <c r="H16" s="1"/>
  <c r="F27" i="18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H17"/>
  <c r="F17"/>
  <c r="I17" s="1"/>
  <c r="F16"/>
  <c r="H16" s="1"/>
  <c r="F27" i="17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F17"/>
  <c r="I17" s="1"/>
  <c r="F16"/>
  <c r="H16" s="1"/>
  <c r="F27" i="8"/>
  <c r="F53" i="21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110" s="1"/>
  <c r="E87"/>
  <c r="F87" s="1"/>
  <c r="F86"/>
  <c r="H86" s="1"/>
  <c r="I80"/>
  <c r="F73"/>
  <c r="I73" s="1"/>
  <c r="I59"/>
  <c r="F34"/>
  <c r="F33"/>
  <c r="F32"/>
  <c r="F31"/>
  <c r="F30"/>
  <c r="F26"/>
  <c r="I26" s="1"/>
  <c r="F25"/>
  <c r="H25" s="1"/>
  <c r="F24"/>
  <c r="I24" s="1"/>
  <c r="F23"/>
  <c r="H23" s="1"/>
  <c r="F22"/>
  <c r="I22" s="1"/>
  <c r="F19"/>
  <c r="H19" s="1"/>
  <c r="I91" i="20"/>
  <c r="H86" i="22" l="1"/>
  <c r="I86"/>
  <c r="I85"/>
  <c r="I30"/>
  <c r="I87" s="1"/>
  <c r="I32"/>
  <c r="H17"/>
  <c r="I27"/>
  <c r="H18"/>
  <c r="I18"/>
  <c r="H16"/>
  <c r="H16" i="21"/>
  <c r="I27"/>
  <c r="H18"/>
  <c r="I18"/>
  <c r="I17"/>
  <c r="H17" i="20"/>
  <c r="H18"/>
  <c r="I18"/>
  <c r="H16"/>
  <c r="I27"/>
  <c r="H17" i="19"/>
  <c r="I18"/>
  <c r="H18"/>
  <c r="I16"/>
  <c r="I27"/>
  <c r="I18" i="18"/>
  <c r="H18"/>
  <c r="I16"/>
  <c r="I27"/>
  <c r="H17" i="17"/>
  <c r="I18"/>
  <c r="H18"/>
  <c r="I16"/>
  <c r="I27"/>
  <c r="H24" i="21"/>
  <c r="H26"/>
  <c r="H87"/>
  <c r="I87"/>
  <c r="I88" s="1"/>
  <c r="I86"/>
  <c r="I19"/>
  <c r="H22"/>
  <c r="I23"/>
  <c r="I25"/>
  <c r="I93" i="20"/>
  <c r="I92"/>
  <c r="I90"/>
  <c r="I89"/>
  <c r="I88"/>
  <c r="E85"/>
  <c r="F85" s="1"/>
  <c r="F84"/>
  <c r="I84" s="1"/>
  <c r="I78"/>
  <c r="F71"/>
  <c r="I71" s="1"/>
  <c r="F68"/>
  <c r="F67"/>
  <c r="F66"/>
  <c r="F65"/>
  <c r="F64"/>
  <c r="F51"/>
  <c r="F50"/>
  <c r="F49"/>
  <c r="F48"/>
  <c r="F47"/>
  <c r="F46"/>
  <c r="F45"/>
  <c r="F33"/>
  <c r="F32"/>
  <c r="F31"/>
  <c r="F30"/>
  <c r="F26"/>
  <c r="F25"/>
  <c r="F24"/>
  <c r="F23"/>
  <c r="F22"/>
  <c r="F19"/>
  <c r="I94" l="1"/>
  <c r="H84"/>
  <c r="H85"/>
  <c r="I85"/>
  <c r="I105" i="19" l="1"/>
  <c r="E91" l="1"/>
  <c r="F91" s="1"/>
  <c r="F90"/>
  <c r="H90" s="1"/>
  <c r="I104"/>
  <c r="I103"/>
  <c r="I102"/>
  <c r="I101"/>
  <c r="I100"/>
  <c r="I99"/>
  <c r="I98"/>
  <c r="I97"/>
  <c r="I96"/>
  <c r="I95"/>
  <c r="I94"/>
  <c r="I88"/>
  <c r="I84" i="18"/>
  <c r="F86" i="19"/>
  <c r="I86" s="1"/>
  <c r="F59"/>
  <c r="H59" s="1"/>
  <c r="F45"/>
  <c r="I45" s="1"/>
  <c r="F43"/>
  <c r="F42"/>
  <c r="F41"/>
  <c r="F40"/>
  <c r="I39"/>
  <c r="I106" l="1"/>
  <c r="H91"/>
  <c r="I91"/>
  <c r="I90"/>
  <c r="I59"/>
  <c r="I88" i="17" l="1"/>
  <c r="F54"/>
  <c r="I97" i="18"/>
  <c r="I96"/>
  <c r="I95"/>
  <c r="I94"/>
  <c r="I45" l="1"/>
  <c r="I46"/>
  <c r="F77"/>
  <c r="I77" s="1"/>
  <c r="E91"/>
  <c r="F91" s="1"/>
  <c r="F90"/>
  <c r="H90" s="1"/>
  <c r="F62"/>
  <c r="F61"/>
  <c r="F47"/>
  <c r="I47" s="1"/>
  <c r="H46"/>
  <c r="F45"/>
  <c r="F44"/>
  <c r="I44" s="1"/>
  <c r="F43"/>
  <c r="I43" s="1"/>
  <c r="F42"/>
  <c r="I42" s="1"/>
  <c r="I29"/>
  <c r="H29"/>
  <c r="I28"/>
  <c r="I92" s="1"/>
  <c r="H28"/>
  <c r="I61"/>
  <c r="H43" l="1"/>
  <c r="H45"/>
  <c r="H91"/>
  <c r="I91"/>
  <c r="I90"/>
  <c r="H42"/>
  <c r="H44"/>
  <c r="I100" i="17" l="1"/>
  <c r="I99"/>
  <c r="I98"/>
  <c r="I97"/>
  <c r="I96"/>
  <c r="I95"/>
  <c r="I94"/>
  <c r="I93"/>
  <c r="I92"/>
  <c r="I91"/>
  <c r="I90"/>
  <c r="E87"/>
  <c r="F87" s="1"/>
  <c r="F86"/>
  <c r="I82"/>
  <c r="I75"/>
  <c r="F73"/>
  <c r="I73" s="1"/>
  <c r="I64"/>
  <c r="F61"/>
  <c r="F58"/>
  <c r="F50"/>
  <c r="F44"/>
  <c r="I44" s="1"/>
  <c r="F42"/>
  <c r="F41"/>
  <c r="F40"/>
  <c r="I40" s="1"/>
  <c r="F39"/>
  <c r="I38" i="8"/>
  <c r="I97"/>
  <c r="I96"/>
  <c r="I95"/>
  <c r="I94"/>
  <c r="I93"/>
  <c r="I92"/>
  <c r="I91"/>
  <c r="I57"/>
  <c r="I65"/>
  <c r="I81"/>
  <c r="E88"/>
  <c r="F88" s="1"/>
  <c r="F87"/>
  <c r="I74"/>
  <c r="F74"/>
  <c r="F58"/>
  <c r="F57"/>
  <c r="F54"/>
  <c r="F52"/>
  <c r="F51"/>
  <c r="F50"/>
  <c r="F49"/>
  <c r="F48"/>
  <c r="F47"/>
  <c r="F46"/>
  <c r="I44"/>
  <c r="F44"/>
  <c r="F42"/>
  <c r="F41"/>
  <c r="F40"/>
  <c r="F39"/>
  <c r="F26"/>
  <c r="F25"/>
  <c r="F24"/>
  <c r="F23"/>
  <c r="F22"/>
  <c r="F19"/>
  <c r="E18"/>
  <c r="F18" s="1"/>
  <c r="F17"/>
  <c r="F16"/>
  <c r="I61" i="25" l="1"/>
  <c r="H61"/>
  <c r="H97" i="23"/>
  <c r="F98"/>
  <c r="H98" s="1"/>
  <c r="I60"/>
  <c r="H60"/>
  <c r="F38" i="24"/>
  <c r="F40"/>
  <c r="F41"/>
  <c r="F42"/>
  <c r="F56"/>
  <c r="F57"/>
  <c r="F62"/>
  <c r="F66"/>
  <c r="F67"/>
  <c r="F68"/>
  <c r="F69"/>
  <c r="F70"/>
  <c r="F76"/>
  <c r="F90"/>
  <c r="I57" i="17" l="1"/>
  <c r="I21" i="8"/>
  <c r="I20"/>
  <c r="I21" i="20" l="1"/>
  <c r="I20"/>
  <c r="I19"/>
  <c r="I59"/>
  <c r="I53" i="19"/>
  <c r="I52"/>
  <c r="I84" l="1"/>
  <c r="I62"/>
  <c r="I44"/>
  <c r="I88" i="18" l="1"/>
  <c r="I68"/>
  <c r="F65"/>
  <c r="H65" s="1"/>
  <c r="I43" i="17" l="1"/>
  <c r="I43" i="8"/>
  <c r="H90" i="17" l="1"/>
  <c r="H94" i="8"/>
  <c r="H93"/>
  <c r="H92"/>
  <c r="H91"/>
  <c r="I76"/>
  <c r="F62"/>
  <c r="H62" s="1"/>
  <c r="H93" i="27" l="1"/>
  <c r="F92"/>
  <c r="H92" s="1"/>
  <c r="I86"/>
  <c r="H86"/>
  <c r="H84"/>
  <c r="I81"/>
  <c r="H81"/>
  <c r="F80"/>
  <c r="H80" s="1"/>
  <c r="H79"/>
  <c r="I78"/>
  <c r="H78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I61"/>
  <c r="H61"/>
  <c r="F59"/>
  <c r="H59" s="1"/>
  <c r="I56"/>
  <c r="F56"/>
  <c r="H56" s="1"/>
  <c r="I55"/>
  <c r="H55"/>
  <c r="F54"/>
  <c r="H54" s="1"/>
  <c r="F53"/>
  <c r="I53" s="1"/>
  <c r="H52"/>
  <c r="F51"/>
  <c r="I51" s="1"/>
  <c r="F50"/>
  <c r="H50" s="1"/>
  <c r="F49"/>
  <c r="I49" s="1"/>
  <c r="F48"/>
  <c r="H48" s="1"/>
  <c r="H39"/>
  <c r="H37"/>
  <c r="H36"/>
  <c r="I35"/>
  <c r="H35"/>
  <c r="I34"/>
  <c r="F33"/>
  <c r="I33" s="1"/>
  <c r="F32"/>
  <c r="H32" s="1"/>
  <c r="F31"/>
  <c r="I31" s="1"/>
  <c r="F28"/>
  <c r="H28" s="1"/>
  <c r="H33" l="1"/>
  <c r="I28"/>
  <c r="H31"/>
  <c r="I32"/>
  <c r="I48"/>
  <c r="H49"/>
  <c r="I50"/>
  <c r="H51"/>
  <c r="I52"/>
  <c r="H53"/>
  <c r="I54"/>
  <c r="I59"/>
  <c r="I63"/>
  <c r="I68"/>
  <c r="H69"/>
  <c r="I70"/>
  <c r="H71"/>
  <c r="I72"/>
  <c r="H73"/>
  <c r="I102" l="1"/>
  <c r="F93" i="26" l="1"/>
  <c r="H93" s="1"/>
  <c r="H92"/>
  <c r="F91"/>
  <c r="H91" s="1"/>
  <c r="I85"/>
  <c r="H85"/>
  <c r="H83"/>
  <c r="F80"/>
  <c r="H80" s="1"/>
  <c r="H79"/>
  <c r="I78"/>
  <c r="H78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I60"/>
  <c r="H60"/>
  <c r="I59"/>
  <c r="H58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H45"/>
  <c r="I44"/>
  <c r="H43"/>
  <c r="I42"/>
  <c r="H41"/>
  <c r="I40"/>
  <c r="H39"/>
  <c r="H37"/>
  <c r="H36"/>
  <c r="I35"/>
  <c r="H35"/>
  <c r="I34"/>
  <c r="F33"/>
  <c r="I33" s="1"/>
  <c r="F32"/>
  <c r="H32" s="1"/>
  <c r="F31"/>
  <c r="I31" s="1"/>
  <c r="F28"/>
  <c r="H28" s="1"/>
  <c r="H96" i="19"/>
  <c r="H69" i="26" l="1"/>
  <c r="I28"/>
  <c r="H31"/>
  <c r="I32"/>
  <c r="H33"/>
  <c r="H40"/>
  <c r="H42"/>
  <c r="H44"/>
  <c r="I47"/>
  <c r="H48"/>
  <c r="I49"/>
  <c r="H50"/>
  <c r="I51"/>
  <c r="H52"/>
  <c r="I53"/>
  <c r="I58"/>
  <c r="H59"/>
  <c r="I63"/>
  <c r="I68"/>
  <c r="I70"/>
  <c r="H71"/>
  <c r="I72"/>
  <c r="H73"/>
  <c r="I103" l="1"/>
  <c r="I84" i="25" l="1"/>
  <c r="H84"/>
  <c r="H82"/>
  <c r="I79"/>
  <c r="H79"/>
  <c r="F78"/>
  <c r="H78" s="1"/>
  <c r="H77"/>
  <c r="I76"/>
  <c r="H76"/>
  <c r="I75"/>
  <c r="H75"/>
  <c r="F71"/>
  <c r="H71" s="1"/>
  <c r="F70"/>
  <c r="I70" s="1"/>
  <c r="F69"/>
  <c r="H69" s="1"/>
  <c r="F68"/>
  <c r="I68" s="1"/>
  <c r="F67"/>
  <c r="H67" s="1"/>
  <c r="F66"/>
  <c r="I66" s="1"/>
  <c r="H65"/>
  <c r="F62"/>
  <c r="H62" s="1"/>
  <c r="I59"/>
  <c r="H59"/>
  <c r="F58"/>
  <c r="H58" s="1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F38"/>
  <c r="H38" s="1"/>
  <c r="I37"/>
  <c r="H37"/>
  <c r="H35"/>
  <c r="H34"/>
  <c r="I38" l="1"/>
  <c r="I40"/>
  <c r="H41"/>
  <c r="I42"/>
  <c r="H46"/>
  <c r="I47"/>
  <c r="H48"/>
  <c r="I49"/>
  <c r="H50"/>
  <c r="I51"/>
  <c r="H52"/>
  <c r="H57"/>
  <c r="I58"/>
  <c r="H66"/>
  <c r="I67"/>
  <c r="H68"/>
  <c r="I69"/>
  <c r="H70"/>
  <c r="I71"/>
  <c r="H94" i="24"/>
  <c r="H91"/>
  <c r="I74"/>
  <c r="I73"/>
  <c r="H93"/>
  <c r="H92"/>
  <c r="H90"/>
  <c r="I82"/>
  <c r="H82"/>
  <c r="H80"/>
  <c r="I77"/>
  <c r="H77"/>
  <c r="H76"/>
  <c r="H75"/>
  <c r="H74"/>
  <c r="H73"/>
  <c r="H71"/>
  <c r="H70"/>
  <c r="I69"/>
  <c r="H68"/>
  <c r="I67"/>
  <c r="H66"/>
  <c r="H65"/>
  <c r="H64"/>
  <c r="H62"/>
  <c r="H61"/>
  <c r="I58"/>
  <c r="H58"/>
  <c r="I57"/>
  <c r="H56"/>
  <c r="I53"/>
  <c r="H53"/>
  <c r="I52"/>
  <c r="H52"/>
  <c r="H51"/>
  <c r="I50"/>
  <c r="H49"/>
  <c r="I48"/>
  <c r="H47"/>
  <c r="I46"/>
  <c r="H45"/>
  <c r="I43"/>
  <c r="H43"/>
  <c r="I42"/>
  <c r="H41"/>
  <c r="I40"/>
  <c r="H39"/>
  <c r="I38"/>
  <c r="I37"/>
  <c r="H37"/>
  <c r="H35"/>
  <c r="H34"/>
  <c r="I99" i="25" l="1"/>
  <c r="I88" i="24"/>
  <c r="H38"/>
  <c r="H40"/>
  <c r="I41"/>
  <c r="H42"/>
  <c r="I45"/>
  <c r="H46"/>
  <c r="I47"/>
  <c r="H48"/>
  <c r="I49"/>
  <c r="H50"/>
  <c r="I51"/>
  <c r="I56"/>
  <c r="H57"/>
  <c r="I61"/>
  <c r="I66"/>
  <c r="H67"/>
  <c r="I68"/>
  <c r="H69"/>
  <c r="I70"/>
  <c r="I100" l="1"/>
  <c r="H101" i="23" l="1"/>
  <c r="H96"/>
  <c r="H95"/>
  <c r="H94"/>
  <c r="H93"/>
  <c r="H92"/>
  <c r="H91"/>
  <c r="H90"/>
  <c r="F89"/>
  <c r="H89" s="1"/>
  <c r="I83"/>
  <c r="H83"/>
  <c r="H81"/>
  <c r="I78"/>
  <c r="H78"/>
  <c r="F77"/>
  <c r="H77" s="1"/>
  <c r="H76"/>
  <c r="H75"/>
  <c r="I74"/>
  <c r="H74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I58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H49" l="1"/>
  <c r="H45"/>
  <c r="H67"/>
  <c r="H41"/>
  <c r="H47"/>
  <c r="H51"/>
  <c r="H56"/>
  <c r="H65"/>
  <c r="H69"/>
  <c r="I38"/>
  <c r="I40"/>
  <c r="I42"/>
  <c r="I46"/>
  <c r="I48"/>
  <c r="I50"/>
  <c r="I57"/>
  <c r="I66"/>
  <c r="I68"/>
  <c r="I104" l="1"/>
  <c r="H93" i="22" l="1"/>
  <c r="H92"/>
  <c r="H91"/>
  <c r="H90"/>
  <c r="H89"/>
  <c r="I63"/>
  <c r="H83"/>
  <c r="H81"/>
  <c r="I78"/>
  <c r="H78"/>
  <c r="F77"/>
  <c r="H77" s="1"/>
  <c r="H76"/>
  <c r="H75"/>
  <c r="H74"/>
  <c r="F70"/>
  <c r="H70" s="1"/>
  <c r="H69"/>
  <c r="I68"/>
  <c r="H67"/>
  <c r="I66"/>
  <c r="H65"/>
  <c r="H64"/>
  <c r="H63"/>
  <c r="F61"/>
  <c r="H61" s="1"/>
  <c r="H60"/>
  <c r="I58"/>
  <c r="H58"/>
  <c r="F57"/>
  <c r="I57" s="1"/>
  <c r="F56"/>
  <c r="H56" s="1"/>
  <c r="I53"/>
  <c r="F53"/>
  <c r="H53" s="1"/>
  <c r="I52"/>
  <c r="H52"/>
  <c r="F51"/>
  <c r="H51" s="1"/>
  <c r="F50"/>
  <c r="I50" s="1"/>
  <c r="F49"/>
  <c r="I49" s="1"/>
  <c r="F48"/>
  <c r="I48" s="1"/>
  <c r="F47"/>
  <c r="I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26"/>
  <c r="H26" s="1"/>
  <c r="F25"/>
  <c r="I25" s="1"/>
  <c r="F24"/>
  <c r="H24" s="1"/>
  <c r="F23"/>
  <c r="I23" s="1"/>
  <c r="F22"/>
  <c r="H22" s="1"/>
  <c r="F19"/>
  <c r="I19" s="1"/>
  <c r="F96" i="21"/>
  <c r="H96" s="1"/>
  <c r="H95"/>
  <c r="H94"/>
  <c r="F91"/>
  <c r="H91" s="1"/>
  <c r="I75"/>
  <c r="I64"/>
  <c r="H47" i="22" l="1"/>
  <c r="H49"/>
  <c r="H19"/>
  <c r="I22"/>
  <c r="H23"/>
  <c r="I24"/>
  <c r="H25"/>
  <c r="I26"/>
  <c r="H38"/>
  <c r="H40"/>
  <c r="I41"/>
  <c r="H42"/>
  <c r="I45"/>
  <c r="H46"/>
  <c r="H48"/>
  <c r="H50"/>
  <c r="I51"/>
  <c r="I56"/>
  <c r="H57"/>
  <c r="I60"/>
  <c r="I65"/>
  <c r="H66"/>
  <c r="I67"/>
  <c r="H68"/>
  <c r="I69"/>
  <c r="I100" l="1"/>
  <c r="H93" i="21"/>
  <c r="H92"/>
  <c r="F90"/>
  <c r="H90" s="1"/>
  <c r="H84"/>
  <c r="H82"/>
  <c r="I79"/>
  <c r="H79"/>
  <c r="F78"/>
  <c r="H78" s="1"/>
  <c r="H77"/>
  <c r="H76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61"/>
  <c r="I58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I62" i="20"/>
  <c r="F88"/>
  <c r="H88" s="1"/>
  <c r="H82"/>
  <c r="H80"/>
  <c r="I77"/>
  <c r="H77"/>
  <c r="F76"/>
  <c r="H76" s="1"/>
  <c r="H75"/>
  <c r="H74"/>
  <c r="H73"/>
  <c r="F69"/>
  <c r="H69" s="1"/>
  <c r="I68"/>
  <c r="H67"/>
  <c r="I66"/>
  <c r="H65"/>
  <c r="H64"/>
  <c r="H63"/>
  <c r="H62"/>
  <c r="F60"/>
  <c r="H60" s="1"/>
  <c r="F59"/>
  <c r="I57"/>
  <c r="H57"/>
  <c r="F56"/>
  <c r="H56" s="1"/>
  <c r="F55"/>
  <c r="I55" s="1"/>
  <c r="I53"/>
  <c r="F53"/>
  <c r="H53" s="1"/>
  <c r="I52"/>
  <c r="H52"/>
  <c r="I51"/>
  <c r="H50"/>
  <c r="I49"/>
  <c r="H48"/>
  <c r="H47"/>
  <c r="H46"/>
  <c r="H45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H26"/>
  <c r="H25"/>
  <c r="H24"/>
  <c r="H23"/>
  <c r="H22"/>
  <c r="H21"/>
  <c r="H97" i="19"/>
  <c r="H95"/>
  <c r="F94"/>
  <c r="H94" s="1"/>
  <c r="H82"/>
  <c r="H80"/>
  <c r="I78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I60"/>
  <c r="H60"/>
  <c r="F58"/>
  <c r="I58" s="1"/>
  <c r="I55"/>
  <c r="F55"/>
  <c r="H55" s="1"/>
  <c r="I54"/>
  <c r="H54"/>
  <c r="F51"/>
  <c r="I51" s="1"/>
  <c r="F50"/>
  <c r="H50" s="1"/>
  <c r="F49"/>
  <c r="H49" s="1"/>
  <c r="F48"/>
  <c r="H48" s="1"/>
  <c r="F47"/>
  <c r="H47" s="1"/>
  <c r="H44"/>
  <c r="I42"/>
  <c r="H41"/>
  <c r="H40"/>
  <c r="H39"/>
  <c r="H37"/>
  <c r="H36"/>
  <c r="I35"/>
  <c r="H35"/>
  <c r="I34"/>
  <c r="F33"/>
  <c r="H33" s="1"/>
  <c r="F32"/>
  <c r="I32" s="1"/>
  <c r="F31"/>
  <c r="H31" s="1"/>
  <c r="H28"/>
  <c r="I83" i="18"/>
  <c r="I63"/>
  <c r="I56"/>
  <c r="H88"/>
  <c r="H86"/>
  <c r="H83"/>
  <c r="F82"/>
  <c r="H82" s="1"/>
  <c r="H81"/>
  <c r="H80"/>
  <c r="H79"/>
  <c r="F75"/>
  <c r="H75" s="1"/>
  <c r="F74"/>
  <c r="H74" s="1"/>
  <c r="F73"/>
  <c r="H73" s="1"/>
  <c r="F72"/>
  <c r="H72" s="1"/>
  <c r="F71"/>
  <c r="H71" s="1"/>
  <c r="F70"/>
  <c r="H70" s="1"/>
  <c r="H69"/>
  <c r="H68"/>
  <c r="F66"/>
  <c r="H66" s="1"/>
  <c r="H63"/>
  <c r="H62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I41"/>
  <c r="H41"/>
  <c r="H39"/>
  <c r="H38"/>
  <c r="I37"/>
  <c r="H37"/>
  <c r="I36"/>
  <c r="F35"/>
  <c r="I35" s="1"/>
  <c r="F34"/>
  <c r="H34" s="1"/>
  <c r="F33"/>
  <c r="I33" s="1"/>
  <c r="I76" i="17"/>
  <c r="I87"/>
  <c r="H86"/>
  <c r="H84"/>
  <c r="H81"/>
  <c r="H79"/>
  <c r="F78"/>
  <c r="H78" s="1"/>
  <c r="H77"/>
  <c r="H76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F57"/>
  <c r="H57" s="1"/>
  <c r="I54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I42"/>
  <c r="H41"/>
  <c r="H40"/>
  <c r="I39"/>
  <c r="I38"/>
  <c r="H38"/>
  <c r="H36"/>
  <c r="H35"/>
  <c r="I34"/>
  <c r="H34"/>
  <c r="I33"/>
  <c r="F32"/>
  <c r="I32" s="1"/>
  <c r="F31"/>
  <c r="H31" s="1"/>
  <c r="F30"/>
  <c r="I30" s="1"/>
  <c r="H88" i="8"/>
  <c r="H87"/>
  <c r="H85"/>
  <c r="H83"/>
  <c r="H80"/>
  <c r="F79"/>
  <c r="H79" s="1"/>
  <c r="H78"/>
  <c r="H77"/>
  <c r="H76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I62"/>
  <c r="H59"/>
  <c r="I58"/>
  <c r="H57"/>
  <c r="I54"/>
  <c r="H54"/>
  <c r="H53"/>
  <c r="H52"/>
  <c r="H51"/>
  <c r="H50"/>
  <c r="H49"/>
  <c r="H48"/>
  <c r="H47"/>
  <c r="H46"/>
  <c r="H43"/>
  <c r="I41"/>
  <c r="H40"/>
  <c r="H39"/>
  <c r="H38"/>
  <c r="I33"/>
  <c r="I34"/>
  <c r="H36"/>
  <c r="H35"/>
  <c r="H34"/>
  <c r="F32"/>
  <c r="H32" s="1"/>
  <c r="F31"/>
  <c r="H31" s="1"/>
  <c r="F30"/>
  <c r="H30" s="1"/>
  <c r="H27"/>
  <c r="H26"/>
  <c r="H25"/>
  <c r="H24"/>
  <c r="H23"/>
  <c r="H22"/>
  <c r="H21"/>
  <c r="H20"/>
  <c r="H19"/>
  <c r="I17"/>
  <c r="H16"/>
  <c r="H42" l="1"/>
  <c r="I42"/>
  <c r="H43" i="19"/>
  <c r="I43"/>
  <c r="H32" i="17"/>
  <c r="H30"/>
  <c r="H39"/>
  <c r="H42"/>
  <c r="H87"/>
  <c r="I30" i="21"/>
  <c r="H31"/>
  <c r="I32"/>
  <c r="I38"/>
  <c r="I40"/>
  <c r="H41"/>
  <c r="I42"/>
  <c r="H45"/>
  <c r="I46"/>
  <c r="H47"/>
  <c r="I48"/>
  <c r="H49"/>
  <c r="I50"/>
  <c r="H51"/>
  <c r="H56"/>
  <c r="I57"/>
  <c r="H61"/>
  <c r="H66"/>
  <c r="I67"/>
  <c r="H68"/>
  <c r="I69"/>
  <c r="H70"/>
  <c r="H19" i="20"/>
  <c r="H20"/>
  <c r="I26"/>
  <c r="I24"/>
  <c r="I22"/>
  <c r="I48"/>
  <c r="I46"/>
  <c r="I64"/>
  <c r="I67"/>
  <c r="I65"/>
  <c r="H66"/>
  <c r="H68"/>
  <c r="I25"/>
  <c r="I23"/>
  <c r="I47"/>
  <c r="I45"/>
  <c r="I30"/>
  <c r="H31"/>
  <c r="I32"/>
  <c r="I38"/>
  <c r="I40"/>
  <c r="H41"/>
  <c r="I42"/>
  <c r="H49"/>
  <c r="I50"/>
  <c r="I86" s="1"/>
  <c r="H51"/>
  <c r="H55"/>
  <c r="I56"/>
  <c r="H59"/>
  <c r="I28" i="19"/>
  <c r="I31"/>
  <c r="H32"/>
  <c r="I33"/>
  <c r="I40"/>
  <c r="I41"/>
  <c r="H42"/>
  <c r="H51"/>
  <c r="H58"/>
  <c r="H62"/>
  <c r="I65" i="18"/>
  <c r="H33"/>
  <c r="I34"/>
  <c r="H35"/>
  <c r="I53"/>
  <c r="H61"/>
  <c r="I62"/>
  <c r="I31" i="17"/>
  <c r="I41"/>
  <c r="I50"/>
  <c r="I58"/>
  <c r="I61"/>
  <c r="I86"/>
  <c r="I88" i="8"/>
  <c r="I87"/>
  <c r="H17"/>
  <c r="H58"/>
  <c r="I50"/>
  <c r="I39"/>
  <c r="I40"/>
  <c r="H41"/>
  <c r="I30"/>
  <c r="I32"/>
  <c r="I31"/>
  <c r="I27"/>
  <c r="I89" s="1"/>
  <c r="I18"/>
  <c r="H18"/>
  <c r="I16"/>
  <c r="I108" i="19" l="1"/>
  <c r="I112" i="21"/>
  <c r="I99" i="18"/>
  <c r="I96" i="20"/>
  <c r="I102" i="17"/>
  <c r="I99" i="8" l="1"/>
</calcChain>
</file>

<file path=xl/sharedStrings.xml><?xml version="1.0" encoding="utf-8"?>
<sst xmlns="http://schemas.openxmlformats.org/spreadsheetml/2006/main" count="2814" uniqueCount="318">
  <si>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</si>
  <si>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</si>
  <si>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</si>
  <si>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</si>
  <si>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</si>
  <si>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</si>
  <si>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</si>
  <si>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</si>
  <si>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</si>
  <si>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</si>
  <si>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</si>
  <si>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</si>
  <si>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</si>
  <si>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</si>
  <si>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</si>
  <si>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</si>
  <si>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</si>
  <si>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</si>
  <si>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</si>
  <si>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</si>
  <si>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</si>
  <si>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</si>
  <si>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</si>
  <si>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</si>
  <si>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</si>
  <si>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</si>
  <si>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</si>
  <si>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</si>
  <si>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</si>
  <si>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</si>
  <si>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</si>
  <si>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</si>
  <si>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</si>
  <si>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</si>
  <si>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</si>
  <si>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</si>
  <si>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</si>
  <si>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</si>
  <si>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</si>
  <si>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</si>
  <si>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</si>
  <si>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</si>
  <si>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</si>
  <si>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</si>
  <si>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</si>
  <si>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</si>
  <si>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</si>
  <si>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</si>
  <si>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</si>
  <si>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</si>
  <si>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</si>
  <si>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</si>
  <si>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</si>
  <si>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</si>
  <si>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</si>
  <si>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</si>
  <si>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</si>
  <si>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</si>
  <si>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</si>
  <si>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</si>
  <si>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</si>
  <si>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</si>
  <si>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</si>
  <si>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</si>
  <si>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</si>
  <si>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</si>
  <si>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</si>
  <si>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</si>
  <si>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</si>
  <si>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</si>
  <si>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</si>
  <si>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</si>
  <si>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</si>
  <si>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</si>
  <si>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</si>
  <si>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</si>
  <si>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</si>
  <si>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</si>
  <si>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</si>
  <si>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</si>
  <si>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</si>
  <si>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</si>
  <si>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</si>
  <si>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</si>
  <si>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</si>
  <si>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</si>
  <si>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</si>
  <si>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</si>
  <si>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</si>
  <si>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</si>
  <si>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</si>
  <si>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</si>
  <si>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</si>
  <si>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</si>
  <si>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</si>
  <si>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</si>
  <si>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</si>
  <si>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</si>
  <si>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</si>
  <si>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</si>
  <si>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</si>
  <si>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</si>
  <si>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</si>
  <si>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</si>
  <si>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</si>
  <si>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</si>
  <si>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</si>
  <si>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</si>
  <si>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</si>
  <si>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</si>
  <si>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</si>
  <si>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</si>
  <si>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</si>
  <si>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</si>
  <si>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</si>
  <si>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</si>
  <si>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</si>
  <si>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</si>
  <si>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</si>
  <si>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</si>
  <si>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</si>
  <si>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</si>
  <si>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</si>
  <si>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</si>
  <si>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</si>
  <si>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</si>
  <si>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</si>
  <si>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</si>
  <si>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</si>
  <si>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</si>
  <si>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</si>
  <si>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</si>
  <si>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</si>
  <si>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</si>
  <si>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</si>
  <si>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</si>
  <si>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III. Содержание общего имущества МКД</t>
  </si>
  <si>
    <t>IV. Прочие услуги</t>
  </si>
  <si>
    <t>V. Прочие услуги</t>
  </si>
  <si>
    <t>Итого затраты за месяц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</si>
  <si>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</si>
  <si>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</si>
  <si>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1м3</t>
  </si>
  <si>
    <t>5 раз в год</t>
  </si>
  <si>
    <t>12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</si>
  <si>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</si>
  <si>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</si>
  <si>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</si>
  <si>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</si>
  <si>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</si>
  <si>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Внеплановый осмотр электросетей, армазуры и электрооборудования на лестничных клетках</t>
  </si>
  <si>
    <t>АКТ №6</t>
  </si>
  <si>
    <t>АКТ №7</t>
  </si>
  <si>
    <t>III. Прочие услуги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</si>
  <si>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</si>
  <si>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</si>
  <si>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№8</t>
  </si>
  <si>
    <t>АКТ №9</t>
  </si>
  <si>
    <t>место</t>
  </si>
  <si>
    <t>АКТ №10</t>
  </si>
  <si>
    <t>АКТ №11</t>
  </si>
  <si>
    <t>АКТ №12</t>
  </si>
  <si>
    <t xml:space="preserve">1 раз в месяц </t>
  </si>
  <si>
    <t>1 раз в месяц</t>
  </si>
  <si>
    <t>1шт</t>
  </si>
  <si>
    <t>Смена дверных приборов /замки навесные)</t>
  </si>
  <si>
    <t>III. Проведение технических осмотров</t>
  </si>
  <si>
    <t>ООО «Движение»</t>
  </si>
  <si>
    <t>70м2</t>
  </si>
  <si>
    <t>м</t>
  </si>
  <si>
    <t>Переход чугун-пластик 110</t>
  </si>
  <si>
    <t>Манжета 110</t>
  </si>
  <si>
    <t>Осмотр водопроводов, канализации, отопления в квартирах</t>
  </si>
  <si>
    <t>100 кв.</t>
  </si>
  <si>
    <t>100шт</t>
  </si>
  <si>
    <t>Работа ротенбергера</t>
  </si>
  <si>
    <t>час</t>
  </si>
  <si>
    <t>за период с 01.01.2019 г. по 31.01.2019 г.</t>
  </si>
  <si>
    <t>Очистка вручную от снега и наледи люков канализационных и водопроводных колодцев</t>
  </si>
  <si>
    <t>Осмотр пластиковых и иных заполнений проемов</t>
  </si>
  <si>
    <t>Работа автовышки</t>
  </si>
  <si>
    <t>маш-час</t>
  </si>
  <si>
    <t>по мере необходимости</t>
  </si>
  <si>
    <t>Водоснабжение и канализация</t>
  </si>
  <si>
    <t>Техническое обслужиание внутренних сетей водопровода и канализации</t>
  </si>
  <si>
    <t>руб/м2 в мес</t>
  </si>
  <si>
    <t>Снятие показаний эл.счетчика коммунального назначения</t>
  </si>
  <si>
    <t xml:space="preserve"> - прочистка каналов</t>
  </si>
  <si>
    <t>Очистка канализационной сети внутреннней</t>
  </si>
  <si>
    <t>Установка заглушек диаметром трубопроводов до 100 мм</t>
  </si>
  <si>
    <t>заглушка</t>
  </si>
  <si>
    <t>Манжета 100</t>
  </si>
  <si>
    <t>Смена арматуры - вентилей и клапанов обратных муфтовых диаметром до 20 мм (без материалов)</t>
  </si>
  <si>
    <t>ООО «движение»</t>
  </si>
  <si>
    <t>за период с 01.02.2019 г. по 28.02.2019 г.</t>
  </si>
  <si>
    <t>Вентиль (ш) Dу 15</t>
  </si>
  <si>
    <t>Соединение жил проводов холодной сваркой или опрессованием сечением 2,5 мм2, количество концов жил в коробах до 4</t>
  </si>
  <si>
    <t>за период с 01.03.2019 г. по 31.03.2019 г.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</si>
  <si>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</si>
  <si>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Внеплановый осмотр заполнений проемов</t>
  </si>
  <si>
    <t>за период с 01.04.2019 г. по 30.04.2019 г.</t>
  </si>
  <si>
    <t>IV. Содержание общего имущества МКД</t>
  </si>
  <si>
    <t xml:space="preserve">III. </t>
  </si>
  <si>
    <t>IV.Содержание общего имущества МКД</t>
  </si>
  <si>
    <t>Смена внутренних канализационных труб на полипропиленовые ППDу 50*1000</t>
  </si>
  <si>
    <t>Переход чугун-пластик 50</t>
  </si>
  <si>
    <t>Ревизия 50</t>
  </si>
  <si>
    <t>Манжета 73*50</t>
  </si>
  <si>
    <t>Патрубок компенационный 50</t>
  </si>
  <si>
    <t>Установка хомута  д=до 50 мм</t>
  </si>
  <si>
    <t>Вскрыли шахту</t>
  </si>
  <si>
    <t>10 м2</t>
  </si>
  <si>
    <t>Ремонт и регулировка доводчика (со стоимостью доводчика)</t>
  </si>
  <si>
    <t>1шт.</t>
  </si>
  <si>
    <t>за период с 01.05.2019 г. по 31.05.2019 г.</t>
  </si>
  <si>
    <t>Ремонт и регулировка доводчика (без стоимости доводчика)</t>
  </si>
  <si>
    <t>ООО «Движениес»</t>
  </si>
  <si>
    <t>за период с 01.06.2019 г. по 30.06.2019 г.</t>
  </si>
  <si>
    <t>Ремонт ливневого лотка</t>
  </si>
  <si>
    <t>Битум</t>
  </si>
  <si>
    <t>Изол</t>
  </si>
  <si>
    <t>Пропан</t>
  </si>
  <si>
    <t>Тройник 50-45</t>
  </si>
  <si>
    <t>Отвод 50-45</t>
  </si>
  <si>
    <t>Укрепление оконных и дверных приборов - пружин, ручек, петель, шпингалетов</t>
  </si>
  <si>
    <t>Смена внутренних трубопроводов на полипропиленовые трубы PN 25 Dу 25</t>
  </si>
  <si>
    <t>Веннтиль ПП Dу 20</t>
  </si>
  <si>
    <t>Ремонт ступеней деревянных</t>
  </si>
  <si>
    <t>10 ступ.</t>
  </si>
  <si>
    <t>Доска обрезная 50мм*4 м</t>
  </si>
  <si>
    <t>Сварочные работы</t>
  </si>
  <si>
    <t>Организация и содержание мест накопления ТКО</t>
  </si>
  <si>
    <t>13 раз</t>
  </si>
  <si>
    <t>8 раз</t>
  </si>
  <si>
    <t>1 раз</t>
  </si>
  <si>
    <t xml:space="preserve">1 раз </t>
  </si>
  <si>
    <t>21 раз</t>
  </si>
  <si>
    <t>5 раз</t>
  </si>
  <si>
    <t>25 раз</t>
  </si>
  <si>
    <t>6 раз</t>
  </si>
  <si>
    <t>2 раза</t>
  </si>
  <si>
    <t>3 раза</t>
  </si>
  <si>
    <t>2. Всего за период с 01.01.2019 по 31.01.2019 выполнено работ (оказано услуг) на общую сумму: 123172,35 руб.</t>
  </si>
  <si>
    <t>(сто двадцать три тысячи сто семьдесят два рубля 35 копеек)</t>
  </si>
  <si>
    <t xml:space="preserve">2 раза </t>
  </si>
  <si>
    <t>2. Всего за период с 01.02.2019 по 28.02.2019 выполнено работ (оказано услуг) на общую сумму: 144665,09 руб.</t>
  </si>
  <si>
    <t>(сто сорок четыре тысячи шестьсот шестьдесят пять рублей 09 копеек)</t>
  </si>
  <si>
    <t>2. Всего за период с 01.03.2019 по 31.03.2019 выполнено работ (оказано услуг) на общую сумму: 105445,30 руб.</t>
  </si>
  <si>
    <t>(сто пять тысяч четыреста сорок пять рублей 30 копеек)</t>
  </si>
  <si>
    <t>2. Всего за период с 01.04.2019 по 30.04.2019 выполнено работ (оказано услуг) на общую сумму: 119042,03 руб.</t>
  </si>
  <si>
    <t>(сто девятнадцать тысяч сорок два рубля 03 копейки)</t>
  </si>
  <si>
    <t xml:space="preserve">1 раз    </t>
  </si>
  <si>
    <t xml:space="preserve">1 раз   </t>
  </si>
  <si>
    <t>2. Всего за период с 01.05.2019 по 31.05.2019 выполнено работ (оказано услуг) на общую сумму: 142641,70 руб.</t>
  </si>
  <si>
    <t>(сто сорок две тысячи шестьсот сорок один рубль 70 копеек)</t>
  </si>
  <si>
    <t>2 маш-час</t>
  </si>
  <si>
    <t>2. Всего за период с 01.06.2019 по 30.06.2019 выполнено работ (оказано услуг) на общую сумму: 144515,83 руб.</t>
  </si>
  <si>
    <t>(сто сорок четыре тысячи пятьсот пятнадцать рублей 83 копейки)</t>
  </si>
  <si>
    <t>за период с 01.07.2019 г. по 31.07.2019 г.</t>
  </si>
  <si>
    <t>16м</t>
  </si>
  <si>
    <t>Смена внутренних трубопроводов диаметром до 25 мм (без стоимости креплений)</t>
  </si>
  <si>
    <t>Смена внутренних трубопроводов  диаметром до 25 мм(без материалов)</t>
  </si>
  <si>
    <t>Тройник 25</t>
  </si>
  <si>
    <t>Герметизация межпанельных швов</t>
  </si>
  <si>
    <t>м.п.</t>
  </si>
  <si>
    <t>2. Всего за период с 01.07.2019 по 31.07.2019 выполнено работ (оказано услуг) на общую сумму: 277073,05 руб.</t>
  </si>
  <si>
    <t>(двести семьдесят семь тысяч семьдесят три рубля 05 копеек)</t>
  </si>
  <si>
    <t>за период с 01.08.2019 г. по 31.08.2019 г.</t>
  </si>
  <si>
    <t>Смена внутренних канализационных труб на полипропиленовые ППDу 100*1000</t>
  </si>
  <si>
    <t>Патрубок компенационный 110</t>
  </si>
  <si>
    <t>Тройник 110</t>
  </si>
  <si>
    <t>Ремонт пола в тамбуре ( под.№7)</t>
  </si>
  <si>
    <t>Фанера</t>
  </si>
  <si>
    <t>Герметизация стыков трубопроводов</t>
  </si>
  <si>
    <t>1 место</t>
  </si>
  <si>
    <t>10м.п.</t>
  </si>
  <si>
    <t>2. Всего за период с 01.08.2019 по 31.08.2019 выполнено работ (оказано услуг) на общую сумму: 105340,33 руб.</t>
  </si>
  <si>
    <t>(сто пять тысяч триста сорок рублей 33 копейки)</t>
  </si>
  <si>
    <t>за период с 01.09.2019 г. по 30.09.2019 г.</t>
  </si>
  <si>
    <t>7 маш/час</t>
  </si>
  <si>
    <t>Внеплановая проверка вентканалов</t>
  </si>
  <si>
    <t>кв.70</t>
  </si>
  <si>
    <t xml:space="preserve">40 м.п. </t>
  </si>
  <si>
    <t>Герметизация межпанельных швов ( 3под, 1 под.-торец, кв.111, кв 7)</t>
  </si>
  <si>
    <t>1 м ГВС, кв 50</t>
  </si>
  <si>
    <t>кв.69</t>
  </si>
  <si>
    <t>за период с 01.10.2019 г. по 31.10.2019 г.</t>
  </si>
  <si>
    <t>Демонтаж короба для работ ВДИС</t>
  </si>
  <si>
    <t xml:space="preserve">Осмотр водопроводов, канализации, отопления </t>
  </si>
  <si>
    <t>100 шт</t>
  </si>
  <si>
    <t>15 м.п.</t>
  </si>
  <si>
    <t>Герметизация межпанельных швов ( альп) кв.64</t>
  </si>
  <si>
    <t>с/о подвал</t>
  </si>
  <si>
    <t>кв.3</t>
  </si>
  <si>
    <t>2. Всего за период с 01.10.2019 по 31.10.2019 выполнено работ (оказано услуг) на общую сумму: 107818,95 руб.</t>
  </si>
  <si>
    <t>за период с 01.11.2019 г. по 30.11.2019 г.</t>
  </si>
  <si>
    <t>Внеплановая дератизация (3 и 4 под)</t>
  </si>
  <si>
    <t>Смена внутренних трубопроводов из м/п диаметром до 20 мм (без стоимости креплений)</t>
  </si>
  <si>
    <t>Зачеканка раструбов канализационных труб д=до 100 мм</t>
  </si>
  <si>
    <t>подвал</t>
  </si>
  <si>
    <t>ГВС подвал</t>
  </si>
  <si>
    <t>под.№3</t>
  </si>
  <si>
    <t>ГВС в.99</t>
  </si>
  <si>
    <t>Замена фотоэлемента (без стоимости фотоэлемента)</t>
  </si>
  <si>
    <t>фотоэл.</t>
  </si>
  <si>
    <t>2. Всего за период с 01.11.2019 по 30.11.2019 выполнено работ (оказано услуг) на общую сумму: 115601,92 руб.</t>
  </si>
  <si>
    <t>(сто пятнадцать тысяч шестьсот один рубль 92 копейки)</t>
  </si>
  <si>
    <t>за период с 01.12.2019 г. по 31.12.2019 г.</t>
  </si>
  <si>
    <t>1,4 часа</t>
  </si>
  <si>
    <t>п/с кв.81</t>
  </si>
  <si>
    <t>кв.81</t>
  </si>
  <si>
    <t>2. Всего за период с 01.12.2019 по 31.12.2019 выполнено работ (оказано услуг) на общую сумму: 127748,02 руб.</t>
  </si>
  <si>
    <t>(сто двадцать семь тысяч семьсот сорок восемь рублей 02 копейки)</t>
  </si>
  <si>
    <t>Покраска газопровода</t>
  </si>
  <si>
    <t>руб</t>
  </si>
  <si>
    <t>2. Всего за период с 01.09.2019 по 30.09.2019 выполнено работ (оказано услуг) на общую сумму: 189439,25 руб.</t>
  </si>
  <si>
    <t>(сто восемьдесят девять тысяч четыреста тридцать девять рублей 25 копеек)</t>
  </si>
  <si>
    <t>(сто семь тысяч восемьсот восемнадцать рублей 95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</si>
</sst>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6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0" xfId="0" applyFont="1"/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opLeftCell="A61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9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134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177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65"/>
      <c r="F6" s="56"/>
      <c r="G6" s="56"/>
      <c r="H6" s="65"/>
      <c r="I6" s="31">
        <v>43496</v>
      </c>
      <c r="J6" s="2"/>
      <c r="K6" s="2"/>
      <c r="L6" s="2"/>
      <c r="M6" s="2"/>
    </row>
    <row r="7" spans="1:13" ht="15.75" customHeight="1">
      <c r="B7" s="58"/>
      <c r="C7" s="58"/>
      <c r="D7" s="58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20.25" hidden="1" customHeight="1">
      <c r="A19" s="30"/>
      <c r="B19" s="121" t="s">
        <v>101</v>
      </c>
      <c r="C19" s="122" t="s">
        <v>102</v>
      </c>
      <c r="D19" s="121" t="s">
        <v>103</v>
      </c>
      <c r="E19" s="146">
        <v>51.2</v>
      </c>
      <c r="F19" s="147">
        <f>SUM(E19/10)</f>
        <v>5.12</v>
      </c>
      <c r="G19" s="147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8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/>
      <c r="B22" s="121" t="s">
        <v>104</v>
      </c>
      <c r="C22" s="122" t="s">
        <v>52</v>
      </c>
      <c r="D22" s="121" t="s">
        <v>103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3.5" hidden="1" customHeight="1">
      <c r="A23" s="30"/>
      <c r="B23" s="121" t="s">
        <v>105</v>
      </c>
      <c r="C23" s="122" t="s">
        <v>52</v>
      </c>
      <c r="D23" s="121" t="s">
        <v>103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.75" hidden="1" customHeight="1">
      <c r="A24" s="30"/>
      <c r="B24" s="121" t="s">
        <v>98</v>
      </c>
      <c r="C24" s="122" t="s">
        <v>52</v>
      </c>
      <c r="D24" s="121" t="s">
        <v>53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5" hidden="1" customHeight="1">
      <c r="A25" s="40">
        <v>6</v>
      </c>
      <c r="B25" s="121" t="s">
        <v>128</v>
      </c>
      <c r="C25" s="122" t="s">
        <v>52</v>
      </c>
      <c r="D25" s="121" t="s">
        <v>53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6.5" hidden="1" customHeight="1">
      <c r="A26" s="40"/>
      <c r="B26" s="121" t="s">
        <v>99</v>
      </c>
      <c r="C26" s="122" t="s">
        <v>52</v>
      </c>
      <c r="D26" s="121" t="s">
        <v>53</v>
      </c>
      <c r="E26" s="146">
        <v>37.5</v>
      </c>
      <c r="F26" s="147">
        <f>SUM(E26/100)</f>
        <v>0.375</v>
      </c>
      <c r="G26" s="147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106</v>
      </c>
      <c r="C30" s="76" t="s">
        <v>107</v>
      </c>
      <c r="D30" s="75" t="s">
        <v>108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141</v>
      </c>
      <c r="C31" s="76" t="s">
        <v>107</v>
      </c>
      <c r="D31" s="75" t="s">
        <v>109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107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129</v>
      </c>
      <c r="C33" s="76" t="s">
        <v>39</v>
      </c>
      <c r="D33" s="75" t="s">
        <v>140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110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5.75" customHeight="1">
      <c r="A38" s="33">
        <v>7</v>
      </c>
      <c r="B38" s="152" t="s">
        <v>26</v>
      </c>
      <c r="C38" s="122" t="s">
        <v>32</v>
      </c>
      <c r="D38" s="121"/>
      <c r="E38" s="140"/>
      <c r="F38" s="123">
        <v>8</v>
      </c>
      <c r="G38" s="123">
        <v>2189</v>
      </c>
      <c r="H38" s="79">
        <f t="shared" ref="H38:H43" si="4">SUM(F38*G38/1000)</f>
        <v>17.512</v>
      </c>
      <c r="I38" s="13">
        <f>G38*1.2</f>
        <v>2626.7999999999997</v>
      </c>
      <c r="J38" s="24"/>
    </row>
    <row r="39" spans="1:14" ht="15.75" customHeight="1">
      <c r="A39" s="33">
        <v>8</v>
      </c>
      <c r="B39" s="152" t="s">
        <v>67</v>
      </c>
      <c r="C39" s="153" t="s">
        <v>29</v>
      </c>
      <c r="D39" s="152" t="s">
        <v>237</v>
      </c>
      <c r="E39" s="154">
        <v>567.9</v>
      </c>
      <c r="F39" s="154">
        <f>SUM(E39*30/1000)</f>
        <v>17.036999999999999</v>
      </c>
      <c r="G39" s="154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5.75" customHeight="1">
      <c r="A40" s="33">
        <v>9</v>
      </c>
      <c r="B40" s="121" t="s">
        <v>68</v>
      </c>
      <c r="C40" s="122" t="s">
        <v>29</v>
      </c>
      <c r="D40" s="121" t="s">
        <v>238</v>
      </c>
      <c r="E40" s="123">
        <v>108</v>
      </c>
      <c r="F40" s="154">
        <f>SUM(E40*155/1000)</f>
        <v>16.739999999999998</v>
      </c>
      <c r="G40" s="123">
        <v>502.82</v>
      </c>
      <c r="H40" s="79">
        <f t="shared" si="4"/>
        <v>8.4172068000000007</v>
      </c>
      <c r="I40" s="13">
        <f>F40/6*G40</f>
        <v>1402.8677999999998</v>
      </c>
      <c r="J40" s="24"/>
    </row>
    <row r="41" spans="1:14" ht="47.25" customHeight="1">
      <c r="A41" s="33">
        <v>10</v>
      </c>
      <c r="B41" s="121" t="s">
        <v>82</v>
      </c>
      <c r="C41" s="122" t="s">
        <v>107</v>
      </c>
      <c r="D41" s="121" t="s">
        <v>239</v>
      </c>
      <c r="E41" s="123">
        <v>108</v>
      </c>
      <c r="F41" s="154">
        <f>SUM(E41*35/1000)</f>
        <v>3.78</v>
      </c>
      <c r="G41" s="123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15.75" customHeight="1">
      <c r="A42" s="33">
        <v>11</v>
      </c>
      <c r="B42" s="121" t="s">
        <v>112</v>
      </c>
      <c r="C42" s="122" t="s">
        <v>107</v>
      </c>
      <c r="D42" s="121" t="s">
        <v>239</v>
      </c>
      <c r="E42" s="123">
        <v>108</v>
      </c>
      <c r="F42" s="154">
        <f>SUM(E42*35/1000)</f>
        <v>3.78</v>
      </c>
      <c r="G42" s="123">
        <v>614.55999999999995</v>
      </c>
      <c r="H42" s="79">
        <f t="shared" si="4"/>
        <v>2.3230367999999997</v>
      </c>
      <c r="I42" s="13">
        <f>F42/7.5*G42</f>
        <v>309.73823999999996</v>
      </c>
      <c r="J42" s="24"/>
      <c r="L42" s="20"/>
      <c r="M42" s="21"/>
      <c r="N42" s="22"/>
    </row>
    <row r="43" spans="1:14" ht="15.75" customHeight="1">
      <c r="A43" s="144">
        <v>12</v>
      </c>
      <c r="B43" s="152" t="s">
        <v>70</v>
      </c>
      <c r="C43" s="153" t="s">
        <v>33</v>
      </c>
      <c r="D43" s="152"/>
      <c r="E43" s="151"/>
      <c r="F43" s="154">
        <v>0.9</v>
      </c>
      <c r="G43" s="154">
        <v>800</v>
      </c>
      <c r="H43" s="90">
        <f t="shared" si="4"/>
        <v>0.72</v>
      </c>
      <c r="I43" s="117">
        <f>F43/7.5*G43</f>
        <v>96.000000000000014</v>
      </c>
      <c r="J43" s="24"/>
      <c r="L43" s="20"/>
      <c r="M43" s="21"/>
      <c r="N43" s="22"/>
    </row>
    <row r="44" spans="1:14" ht="31.5" customHeight="1">
      <c r="A44" s="33">
        <v>13</v>
      </c>
      <c r="B44" s="152" t="s">
        <v>178</v>
      </c>
      <c r="C44" s="153" t="s">
        <v>107</v>
      </c>
      <c r="D44" s="152" t="s">
        <v>240</v>
      </c>
      <c r="E44" s="151">
        <v>3</v>
      </c>
      <c r="F44" s="154">
        <f>E44*12/1000</f>
        <v>3.5999999999999997E-2</v>
      </c>
      <c r="G44" s="154">
        <v>19757.060000000001</v>
      </c>
      <c r="H44" s="13"/>
      <c r="I44" s="13">
        <f>G44*F44/6</f>
        <v>118.54235999999999</v>
      </c>
      <c r="J44" s="24"/>
      <c r="L44" s="20"/>
      <c r="M44" s="21"/>
      <c r="N44" s="22"/>
    </row>
    <row r="45" spans="1:14" ht="15.75" customHeight="1">
      <c r="A45" s="253" t="s">
        <v>202</v>
      </c>
      <c r="B45" s="254"/>
      <c r="C45" s="254"/>
      <c r="D45" s="254"/>
      <c r="E45" s="254"/>
      <c r="F45" s="254"/>
      <c r="G45" s="254"/>
      <c r="H45" s="254"/>
      <c r="I45" s="255"/>
      <c r="J45" s="24"/>
      <c r="L45" s="20"/>
      <c r="M45" s="21"/>
      <c r="N45" s="22"/>
    </row>
    <row r="46" spans="1:14" ht="24.75" hidden="1" customHeight="1">
      <c r="A46" s="40">
        <v>15</v>
      </c>
      <c r="B46" s="121" t="s">
        <v>113</v>
      </c>
      <c r="C46" s="122" t="s">
        <v>107</v>
      </c>
      <c r="D46" s="121" t="s">
        <v>41</v>
      </c>
      <c r="E46" s="140">
        <v>1571.3</v>
      </c>
      <c r="F46" s="123">
        <f>SUM(E46*2/1000)</f>
        <v>3.1425999999999998</v>
      </c>
      <c r="G46" s="36">
        <v>1217.79</v>
      </c>
      <c r="H46" s="79">
        <f t="shared" ref="H46:H54" si="5">SUM(F46*G46/1000)</f>
        <v>3.8270268539999996</v>
      </c>
      <c r="I46" s="13">
        <v>0</v>
      </c>
      <c r="J46" s="24"/>
      <c r="L46" s="20"/>
      <c r="M46" s="21"/>
      <c r="N46" s="22"/>
    </row>
    <row r="47" spans="1:14" ht="23.25" hidden="1" customHeight="1">
      <c r="A47" s="40"/>
      <c r="B47" s="121" t="s">
        <v>179</v>
      </c>
      <c r="C47" s="122" t="s">
        <v>107</v>
      </c>
      <c r="D47" s="121" t="s">
        <v>41</v>
      </c>
      <c r="E47" s="140">
        <v>185.3</v>
      </c>
      <c r="F47" s="123">
        <f>SUM(E47*2/1000)</f>
        <v>0.37060000000000004</v>
      </c>
      <c r="G47" s="36">
        <v>830.69</v>
      </c>
      <c r="H47" s="79">
        <f t="shared" si="5"/>
        <v>0.30785371400000006</v>
      </c>
      <c r="I47" s="13">
        <v>0</v>
      </c>
      <c r="J47" s="24"/>
      <c r="L47" s="20"/>
      <c r="M47" s="21"/>
      <c r="N47" s="22"/>
    </row>
    <row r="48" spans="1:14" ht="21.75" hidden="1" customHeight="1">
      <c r="A48" s="40">
        <v>16</v>
      </c>
      <c r="B48" s="121" t="s">
        <v>35</v>
      </c>
      <c r="C48" s="122" t="s">
        <v>107</v>
      </c>
      <c r="D48" s="121" t="s">
        <v>41</v>
      </c>
      <c r="E48" s="140">
        <v>4737.7</v>
      </c>
      <c r="F48" s="123">
        <f>SUM(E48*2/1000)</f>
        <v>9.4754000000000005</v>
      </c>
      <c r="G48" s="36">
        <v>830.69</v>
      </c>
      <c r="H48" s="79">
        <f t="shared" si="5"/>
        <v>7.8711200260000007</v>
      </c>
      <c r="I48" s="13">
        <v>0</v>
      </c>
      <c r="J48" s="24"/>
      <c r="L48" s="20"/>
      <c r="M48" s="21"/>
      <c r="N48" s="22"/>
    </row>
    <row r="49" spans="1:14" ht="18" hidden="1" customHeight="1">
      <c r="A49" s="40">
        <v>17</v>
      </c>
      <c r="B49" s="121" t="s">
        <v>36</v>
      </c>
      <c r="C49" s="122" t="s">
        <v>107</v>
      </c>
      <c r="D49" s="121" t="s">
        <v>41</v>
      </c>
      <c r="E49" s="140">
        <v>2811.99</v>
      </c>
      <c r="F49" s="123">
        <f>SUM(E49*2/1000)</f>
        <v>5.6239799999999995</v>
      </c>
      <c r="G49" s="36">
        <v>869.86</v>
      </c>
      <c r="H49" s="79">
        <f t="shared" si="5"/>
        <v>4.8920752427999998</v>
      </c>
      <c r="I49" s="13">
        <v>0</v>
      </c>
      <c r="J49" s="24"/>
      <c r="L49" s="20"/>
      <c r="M49" s="21"/>
      <c r="N49" s="22"/>
    </row>
    <row r="50" spans="1:14" ht="15.75" customHeight="1">
      <c r="A50" s="40">
        <v>14</v>
      </c>
      <c r="B50" s="121" t="s">
        <v>55</v>
      </c>
      <c r="C50" s="122" t="s">
        <v>107</v>
      </c>
      <c r="D50" s="121" t="s">
        <v>234</v>
      </c>
      <c r="E50" s="140">
        <v>5836.1</v>
      </c>
      <c r="F50" s="123">
        <f>SUM(E50*5/1000)</f>
        <v>29.180499999999999</v>
      </c>
      <c r="G50" s="36">
        <v>1739.68</v>
      </c>
      <c r="H50" s="79">
        <f t="shared" si="5"/>
        <v>50.764732240000001</v>
      </c>
      <c r="I50" s="13">
        <f>F50/5*G50</f>
        <v>10152.946448000001</v>
      </c>
      <c r="J50" s="24"/>
      <c r="L50" s="20"/>
      <c r="M50" s="21"/>
      <c r="N50" s="22"/>
    </row>
    <row r="51" spans="1:14" ht="24.75" hidden="1" customHeight="1">
      <c r="A51" s="40">
        <v>13</v>
      </c>
      <c r="B51" s="121" t="s">
        <v>114</v>
      </c>
      <c r="C51" s="122" t="s">
        <v>107</v>
      </c>
      <c r="D51" s="121" t="s">
        <v>41</v>
      </c>
      <c r="E51" s="140">
        <v>5836.1</v>
      </c>
      <c r="F51" s="123">
        <f>SUM(E51*2/1000)</f>
        <v>11.6722</v>
      </c>
      <c r="G51" s="36">
        <v>1739.68</v>
      </c>
      <c r="H51" s="79">
        <f t="shared" si="5"/>
        <v>20.305892896</v>
      </c>
      <c r="I51" s="13">
        <v>0</v>
      </c>
      <c r="J51" s="24"/>
      <c r="L51" s="20"/>
      <c r="M51" s="21"/>
      <c r="N51" s="22"/>
    </row>
    <row r="52" spans="1:14" ht="31.5" hidden="1" customHeight="1">
      <c r="A52" s="40">
        <v>14</v>
      </c>
      <c r="B52" s="121" t="s">
        <v>115</v>
      </c>
      <c r="C52" s="122" t="s">
        <v>37</v>
      </c>
      <c r="D52" s="121" t="s">
        <v>41</v>
      </c>
      <c r="E52" s="140">
        <v>40</v>
      </c>
      <c r="F52" s="123">
        <f>SUM(E52*2/100)</f>
        <v>0.8</v>
      </c>
      <c r="G52" s="36">
        <v>3914.31</v>
      </c>
      <c r="H52" s="79">
        <f t="shared" si="5"/>
        <v>3.1314480000000002</v>
      </c>
      <c r="I52" s="13">
        <v>0</v>
      </c>
      <c r="J52" s="24"/>
      <c r="L52" s="20"/>
      <c r="M52" s="21"/>
      <c r="N52" s="22"/>
    </row>
    <row r="53" spans="1:14" ht="18" hidden="1" customHeight="1">
      <c r="A53" s="40">
        <v>15</v>
      </c>
      <c r="B53" s="121" t="s">
        <v>38</v>
      </c>
      <c r="C53" s="122" t="s">
        <v>39</v>
      </c>
      <c r="D53" s="121" t="s">
        <v>41</v>
      </c>
      <c r="E53" s="140">
        <v>1</v>
      </c>
      <c r="F53" s="123">
        <v>0.02</v>
      </c>
      <c r="G53" s="36">
        <v>8102.62</v>
      </c>
      <c r="H53" s="79">
        <f t="shared" si="5"/>
        <v>0.16205240000000001</v>
      </c>
      <c r="I53" s="13">
        <v>0</v>
      </c>
      <c r="J53" s="24"/>
      <c r="L53" s="20"/>
      <c r="M53" s="21"/>
      <c r="N53" s="22"/>
    </row>
    <row r="54" spans="1:14" ht="15.75" hidden="1" customHeight="1">
      <c r="A54" s="40">
        <v>15</v>
      </c>
      <c r="B54" s="121" t="s">
        <v>40</v>
      </c>
      <c r="C54" s="122" t="s">
        <v>116</v>
      </c>
      <c r="D54" s="121" t="s">
        <v>71</v>
      </c>
      <c r="E54" s="140">
        <v>238</v>
      </c>
      <c r="F54" s="123">
        <f>SUM(E54)*3</f>
        <v>714</v>
      </c>
      <c r="G54" s="109">
        <v>94.16</v>
      </c>
      <c r="H54" s="79">
        <f t="shared" si="5"/>
        <v>67.230239999999995</v>
      </c>
      <c r="I54" s="13">
        <f>E54*G54</f>
        <v>22410.079999999998</v>
      </c>
      <c r="J54" s="24"/>
      <c r="L54" s="20"/>
      <c r="M54" s="21"/>
      <c r="N54" s="22"/>
    </row>
    <row r="55" spans="1:14" ht="15.75" customHeight="1">
      <c r="A55" s="239" t="s">
        <v>203</v>
      </c>
      <c r="B55" s="240"/>
      <c r="C55" s="240"/>
      <c r="D55" s="240"/>
      <c r="E55" s="240"/>
      <c r="F55" s="240"/>
      <c r="G55" s="240"/>
      <c r="H55" s="240"/>
      <c r="I55" s="241"/>
      <c r="J55" s="24"/>
      <c r="L55" s="20"/>
      <c r="M55" s="21"/>
      <c r="N55" s="22"/>
    </row>
    <row r="56" spans="1:14" ht="15.75" customHeight="1">
      <c r="A56" s="143"/>
      <c r="B56" s="47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28.5" customHeight="1">
      <c r="A57" s="40">
        <v>15</v>
      </c>
      <c r="B57" s="121" t="s">
        <v>132</v>
      </c>
      <c r="C57" s="122" t="s">
        <v>100</v>
      </c>
      <c r="D57" s="121"/>
      <c r="E57" s="140">
        <v>147</v>
      </c>
      <c r="F57" s="123">
        <f>E57*6/100</f>
        <v>8.82</v>
      </c>
      <c r="G57" s="155">
        <v>2218.11</v>
      </c>
      <c r="H57" s="79">
        <f>F57*G57/1000</f>
        <v>19.563730200000002</v>
      </c>
      <c r="I57" s="13">
        <f>G57*1.47</f>
        <v>3260.6217000000001</v>
      </c>
      <c r="J57" s="24"/>
      <c r="L57" s="20"/>
      <c r="M57" s="21"/>
      <c r="N57" s="22"/>
    </row>
    <row r="58" spans="1:14" ht="15.75" customHeight="1">
      <c r="A58" s="40">
        <v>16</v>
      </c>
      <c r="B58" s="111" t="s">
        <v>92</v>
      </c>
      <c r="C58" s="112" t="s">
        <v>100</v>
      </c>
      <c r="D58" s="111" t="s">
        <v>234</v>
      </c>
      <c r="E58" s="113">
        <v>17.579999999999998</v>
      </c>
      <c r="F58" s="114">
        <f>E58*6/100</f>
        <v>1.0548</v>
      </c>
      <c r="G58" s="155">
        <v>2218.11</v>
      </c>
      <c r="H58" s="90">
        <f>F58*G58/1000</f>
        <v>2.339662428</v>
      </c>
      <c r="I58" s="13">
        <f>F58/6*G58</f>
        <v>389.943738</v>
      </c>
      <c r="J58" s="24"/>
      <c r="L58" s="20"/>
      <c r="M58" s="21"/>
      <c r="N58" s="22"/>
    </row>
    <row r="59" spans="1:14" ht="18" hidden="1" customHeight="1">
      <c r="A59" s="145"/>
      <c r="B59" s="111" t="s">
        <v>96</v>
      </c>
      <c r="C59" s="112" t="s">
        <v>97</v>
      </c>
      <c r="D59" s="111" t="s">
        <v>41</v>
      </c>
      <c r="E59" s="113">
        <v>8</v>
      </c>
      <c r="F59" s="114">
        <v>16</v>
      </c>
      <c r="G59" s="156">
        <v>259.16000000000003</v>
      </c>
      <c r="H59" s="90">
        <f>F59*G59/1000</f>
        <v>4.14656</v>
      </c>
      <c r="I59" s="13">
        <v>0</v>
      </c>
      <c r="J59" s="24"/>
      <c r="L59" s="20"/>
      <c r="M59" s="21"/>
      <c r="N59" s="22"/>
    </row>
    <row r="60" spans="1:14" ht="18" hidden="1" customHeight="1">
      <c r="A60" s="40"/>
      <c r="B60" s="111" t="s">
        <v>180</v>
      </c>
      <c r="C60" s="112" t="s">
        <v>181</v>
      </c>
      <c r="D60" s="111" t="s">
        <v>182</v>
      </c>
      <c r="E60" s="113"/>
      <c r="F60" s="116">
        <v>8</v>
      </c>
      <c r="G60" s="36">
        <v>1730</v>
      </c>
      <c r="H60" s="96"/>
      <c r="I60" s="13"/>
      <c r="J60" s="24"/>
      <c r="L60" s="20"/>
      <c r="M60" s="21"/>
      <c r="N60" s="22"/>
    </row>
    <row r="61" spans="1:14" ht="15.75" customHeight="1">
      <c r="A61" s="40"/>
      <c r="B61" s="142" t="s">
        <v>43</v>
      </c>
      <c r="C61" s="142"/>
      <c r="D61" s="142"/>
      <c r="E61" s="142"/>
      <c r="F61" s="142"/>
      <c r="G61" s="142"/>
      <c r="H61" s="142"/>
      <c r="I61" s="35"/>
      <c r="J61" s="24"/>
      <c r="L61" s="20"/>
      <c r="M61" s="21"/>
      <c r="N61" s="22"/>
    </row>
    <row r="62" spans="1:14" ht="15.75" customHeight="1">
      <c r="A62" s="40">
        <v>17</v>
      </c>
      <c r="B62" s="111" t="s">
        <v>93</v>
      </c>
      <c r="C62" s="112" t="s">
        <v>25</v>
      </c>
      <c r="D62" s="111" t="s">
        <v>234</v>
      </c>
      <c r="E62" s="113">
        <v>200</v>
      </c>
      <c r="F62" s="114">
        <f>E62*12</f>
        <v>2400</v>
      </c>
      <c r="G62" s="115">
        <v>1.4</v>
      </c>
      <c r="H62" s="116">
        <f>G62*F62/1000</f>
        <v>3.36</v>
      </c>
      <c r="I62" s="13">
        <f>F62/12*G62</f>
        <v>280</v>
      </c>
      <c r="J62" s="24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142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18</v>
      </c>
      <c r="B65" s="131" t="s">
        <v>46</v>
      </c>
      <c r="C65" s="38" t="s">
        <v>116</v>
      </c>
      <c r="D65" s="37" t="s">
        <v>241</v>
      </c>
      <c r="E65" s="18">
        <v>40</v>
      </c>
      <c r="F65" s="123">
        <v>40</v>
      </c>
      <c r="G65" s="36">
        <v>318.82</v>
      </c>
      <c r="H65" s="94">
        <f t="shared" ref="H65:H72" si="6">SUM(F65*G65/1000)</f>
        <v>12.752799999999999</v>
      </c>
      <c r="I65" s="13">
        <f>G65*2</f>
        <v>637.64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116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6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118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6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119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6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6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5" t="s">
        <v>120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6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5" t="s">
        <v>145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6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23.25" hidden="1" customHeight="1">
      <c r="A72" s="30">
        <v>13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6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245"/>
      <c r="S72" s="245"/>
      <c r="T72" s="245"/>
      <c r="U72" s="245"/>
    </row>
    <row r="73" spans="1:22" ht="18" customHeight="1">
      <c r="A73" s="30"/>
      <c r="B73" s="157" t="s">
        <v>183</v>
      </c>
      <c r="C73" s="38"/>
      <c r="D73" s="37"/>
      <c r="E73" s="18"/>
      <c r="F73" s="158"/>
      <c r="G73" s="36"/>
      <c r="H73" s="94"/>
      <c r="I73" s="13"/>
      <c r="J73" s="5"/>
      <c r="K73" s="5"/>
      <c r="L73" s="5"/>
      <c r="M73" s="5"/>
      <c r="N73" s="5"/>
      <c r="O73" s="5"/>
      <c r="P73" s="5"/>
      <c r="Q73" s="5"/>
      <c r="R73" s="141"/>
      <c r="S73" s="141"/>
      <c r="T73" s="141"/>
      <c r="U73" s="141"/>
    </row>
    <row r="74" spans="1:22" ht="27.75" customHeight="1">
      <c r="A74" s="30">
        <v>19</v>
      </c>
      <c r="B74" s="37" t="s">
        <v>184</v>
      </c>
      <c r="C74" s="40" t="s">
        <v>185</v>
      </c>
      <c r="D74" s="37"/>
      <c r="E74" s="18">
        <v>5836.1</v>
      </c>
      <c r="F74" s="36">
        <f>E74*12</f>
        <v>70033.200000000012</v>
      </c>
      <c r="G74" s="36">
        <v>2.4900000000000002</v>
      </c>
      <c r="H74" s="94"/>
      <c r="I74" s="13">
        <f>G74*F74/12</f>
        <v>14531.889000000003</v>
      </c>
      <c r="J74" s="5"/>
      <c r="K74" s="5"/>
      <c r="L74" s="5"/>
      <c r="M74" s="5"/>
      <c r="N74" s="5"/>
      <c r="O74" s="5"/>
      <c r="P74" s="5"/>
      <c r="Q74" s="5"/>
      <c r="R74" s="141"/>
      <c r="S74" s="141"/>
      <c r="T74" s="141"/>
      <c r="U74" s="141"/>
    </row>
    <row r="75" spans="1:22" ht="15.75" customHeight="1">
      <c r="A75" s="30"/>
      <c r="B75" s="48" t="s">
        <v>72</v>
      </c>
      <c r="C75" s="48"/>
      <c r="D75" s="48"/>
      <c r="E75" s="48"/>
      <c r="F75" s="19"/>
      <c r="G75" s="30"/>
      <c r="H75" s="30"/>
      <c r="I75" s="19"/>
    </row>
    <row r="76" spans="1:22" ht="15.75" hidden="1" customHeight="1">
      <c r="A76" s="30">
        <v>20</v>
      </c>
      <c r="B76" s="15" t="s">
        <v>73</v>
      </c>
      <c r="C76" s="17" t="s">
        <v>31</v>
      </c>
      <c r="D76" s="15"/>
      <c r="E76" s="19">
        <v>5</v>
      </c>
      <c r="F76" s="96">
        <v>0.5</v>
      </c>
      <c r="G76" s="13">
        <v>501.62</v>
      </c>
      <c r="H76" s="94">
        <f>F76*G76/1000</f>
        <v>0.25080999999999998</v>
      </c>
      <c r="I76" s="13">
        <f>G76*0.3</f>
        <v>150.48599999999999</v>
      </c>
    </row>
    <row r="77" spans="1:22" ht="24" hidden="1" customHeight="1">
      <c r="A77" s="30"/>
      <c r="B77" s="15" t="s">
        <v>124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v>0</v>
      </c>
    </row>
    <row r="78" spans="1:22" ht="27.75" hidden="1" customHeight="1">
      <c r="A78" s="30"/>
      <c r="B78" s="15" t="s">
        <v>123</v>
      </c>
      <c r="C78" s="17" t="s">
        <v>30</v>
      </c>
      <c r="D78" s="15"/>
      <c r="E78" s="19">
        <v>1</v>
      </c>
      <c r="F78" s="96">
        <v>1</v>
      </c>
      <c r="G78" s="13">
        <v>99.85</v>
      </c>
      <c r="H78" s="94">
        <f>G78*F78/1000</f>
        <v>9.9849999999999994E-2</v>
      </c>
      <c r="I78" s="13">
        <v>0</v>
      </c>
    </row>
    <row r="79" spans="1:22" ht="27" hidden="1" customHeight="1">
      <c r="A79" s="30"/>
      <c r="B79" s="15" t="s">
        <v>85</v>
      </c>
      <c r="C79" s="17" t="s">
        <v>30</v>
      </c>
      <c r="D79" s="15"/>
      <c r="E79" s="19">
        <v>2</v>
      </c>
      <c r="F79" s="78">
        <f>SUM(E79)</f>
        <v>2</v>
      </c>
      <c r="G79" s="13">
        <v>358.51</v>
      </c>
      <c r="H79" s="94">
        <f t="shared" ref="H79" si="7">SUM(F79*G79/1000)</f>
        <v>0.71701999999999999</v>
      </c>
      <c r="I79" s="13">
        <v>0</v>
      </c>
    </row>
    <row r="80" spans="1:22" ht="27" hidden="1" customHeight="1">
      <c r="A80" s="30">
        <v>17</v>
      </c>
      <c r="B80" s="15" t="s">
        <v>74</v>
      </c>
      <c r="C80" s="17" t="s">
        <v>30</v>
      </c>
      <c r="D80" s="15"/>
      <c r="E80" s="19">
        <v>2</v>
      </c>
      <c r="F80" s="13">
        <v>2</v>
      </c>
      <c r="G80" s="13">
        <v>852.99</v>
      </c>
      <c r="H80" s="94">
        <f>F80*G80/1000</f>
        <v>1.7059800000000001</v>
      </c>
      <c r="I80" s="13">
        <v>0</v>
      </c>
    </row>
    <row r="81" spans="1:21" ht="15.75" customHeight="1">
      <c r="A81" s="30">
        <v>20</v>
      </c>
      <c r="B81" s="106" t="s">
        <v>186</v>
      </c>
      <c r="C81" s="107" t="s">
        <v>116</v>
      </c>
      <c r="D81" s="37" t="s">
        <v>235</v>
      </c>
      <c r="E81" s="18">
        <v>1</v>
      </c>
      <c r="F81" s="36">
        <v>12</v>
      </c>
      <c r="G81" s="36">
        <v>58.39</v>
      </c>
      <c r="H81" s="94"/>
      <c r="I81" s="13">
        <f>G81*1</f>
        <v>58.39</v>
      </c>
    </row>
    <row r="82" spans="1:21" ht="18" hidden="1" customHeight="1">
      <c r="A82" s="30"/>
      <c r="B82" s="49" t="s">
        <v>75</v>
      </c>
      <c r="C82" s="38"/>
      <c r="D82" s="30"/>
      <c r="E82" s="30"/>
      <c r="F82" s="19"/>
      <c r="G82" s="36"/>
      <c r="H82" s="36"/>
      <c r="I82" s="19"/>
    </row>
    <row r="83" spans="1:21" ht="20.25" hidden="1" customHeight="1">
      <c r="A83" s="30">
        <v>39</v>
      </c>
      <c r="B83" s="159" t="s">
        <v>187</v>
      </c>
      <c r="C83" s="160" t="s">
        <v>76</v>
      </c>
      <c r="D83" s="131"/>
      <c r="E83" s="161"/>
      <c r="F83" s="109">
        <v>1.35</v>
      </c>
      <c r="G83" s="109">
        <v>4355.63</v>
      </c>
      <c r="H83" s="94">
        <f t="shared" ref="H83" si="8">SUM(F83*G83/1000)</f>
        <v>5.8801005000000002</v>
      </c>
      <c r="I83" s="13">
        <v>0</v>
      </c>
    </row>
    <row r="84" spans="1:21" ht="18.75" hidden="1" customHeight="1">
      <c r="A84" s="143"/>
      <c r="B84" s="142" t="s">
        <v>121</v>
      </c>
      <c r="C84" s="142"/>
      <c r="D84" s="142"/>
      <c r="E84" s="142"/>
      <c r="F84" s="142"/>
      <c r="G84" s="142"/>
      <c r="H84" s="142"/>
      <c r="I84" s="1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6.5" hidden="1" customHeight="1">
      <c r="A85" s="30">
        <v>36</v>
      </c>
      <c r="B85" s="111" t="s">
        <v>122</v>
      </c>
      <c r="C85" s="162"/>
      <c r="D85" s="163"/>
      <c r="E85" s="164"/>
      <c r="F85" s="165">
        <v>1</v>
      </c>
      <c r="G85" s="166">
        <v>26896</v>
      </c>
      <c r="H85" s="94">
        <f>G85*F85/1000</f>
        <v>26.896000000000001</v>
      </c>
      <c r="I85" s="13">
        <v>0</v>
      </c>
    </row>
    <row r="86" spans="1:21" ht="15.75" customHeight="1">
      <c r="A86" s="239" t="s">
        <v>138</v>
      </c>
      <c r="B86" s="240"/>
      <c r="C86" s="240"/>
      <c r="D86" s="240"/>
      <c r="E86" s="240"/>
      <c r="F86" s="240"/>
      <c r="G86" s="240"/>
      <c r="H86" s="240"/>
      <c r="I86" s="241"/>
    </row>
    <row r="87" spans="1:21" ht="15.75" customHeight="1">
      <c r="A87" s="30">
        <v>21</v>
      </c>
      <c r="B87" s="37" t="s">
        <v>126</v>
      </c>
      <c r="C87" s="38" t="s">
        <v>54</v>
      </c>
      <c r="D87" s="167"/>
      <c r="E87" s="36">
        <v>5836.1</v>
      </c>
      <c r="F87" s="36">
        <f>SUM(E87*12)</f>
        <v>70033.200000000012</v>
      </c>
      <c r="G87" s="36">
        <v>3.38</v>
      </c>
      <c r="H87" s="94">
        <f>SUM(F87*G87/1000)</f>
        <v>236.71221600000004</v>
      </c>
      <c r="I87" s="13">
        <f>F87/12*G87</f>
        <v>19726.018000000004</v>
      </c>
    </row>
    <row r="88" spans="1:21" ht="31.5" customHeight="1">
      <c r="A88" s="30">
        <v>22</v>
      </c>
      <c r="B88" s="168" t="s">
        <v>77</v>
      </c>
      <c r="C88" s="169"/>
      <c r="D88" s="170"/>
      <c r="E88" s="171">
        <f>E87</f>
        <v>5836.1</v>
      </c>
      <c r="F88" s="172">
        <f>E88*12</f>
        <v>70033.200000000012</v>
      </c>
      <c r="G88" s="36">
        <v>3.83</v>
      </c>
      <c r="H88" s="94">
        <f>F88*G88/1000</f>
        <v>268.22715600000009</v>
      </c>
      <c r="I88" s="13">
        <f>F88/12*G88</f>
        <v>22352.263000000006</v>
      </c>
    </row>
    <row r="89" spans="1:21" ht="15.75" customHeight="1">
      <c r="A89" s="143"/>
      <c r="B89" s="39" t="s">
        <v>79</v>
      </c>
      <c r="C89" s="40"/>
      <c r="D89" s="16"/>
      <c r="E89" s="16"/>
      <c r="F89" s="16"/>
      <c r="G89" s="19"/>
      <c r="H89" s="19"/>
      <c r="I89" s="32">
        <f>I88+I87+I81+I74+I65+I62+I58+I57+I50+I44+I43+I42+I41+I40+I39+I38+I27+I21+I20+I18+I17+I16</f>
        <v>119812.21756133335</v>
      </c>
    </row>
    <row r="90" spans="1:21" ht="15.75" customHeight="1">
      <c r="A90" s="242" t="s">
        <v>59</v>
      </c>
      <c r="B90" s="243"/>
      <c r="C90" s="243"/>
      <c r="D90" s="243"/>
      <c r="E90" s="243"/>
      <c r="F90" s="243"/>
      <c r="G90" s="243"/>
      <c r="H90" s="243"/>
      <c r="I90" s="244"/>
    </row>
    <row r="91" spans="1:21" ht="15.75" customHeight="1">
      <c r="A91" s="30">
        <v>23</v>
      </c>
      <c r="B91" s="108" t="s">
        <v>188</v>
      </c>
      <c r="C91" s="38" t="s">
        <v>169</v>
      </c>
      <c r="D91" s="15"/>
      <c r="E91" s="19"/>
      <c r="F91" s="13"/>
      <c r="G91" s="36">
        <v>273</v>
      </c>
      <c r="H91" s="94">
        <f t="shared" ref="H91:H94" si="9">G91*F91/1000</f>
        <v>0</v>
      </c>
      <c r="I91" s="117">
        <f>G91*7</f>
        <v>1911</v>
      </c>
    </row>
    <row r="92" spans="1:21" ht="17.25" customHeight="1">
      <c r="A92" s="30">
        <v>24</v>
      </c>
      <c r="B92" s="106" t="s">
        <v>189</v>
      </c>
      <c r="C92" s="107" t="s">
        <v>190</v>
      </c>
      <c r="D92" s="51"/>
      <c r="E92" s="13"/>
      <c r="F92" s="13"/>
      <c r="G92" s="36">
        <v>725.1</v>
      </c>
      <c r="H92" s="94">
        <f t="shared" si="9"/>
        <v>0</v>
      </c>
      <c r="I92" s="117">
        <f>G92*1</f>
        <v>725.1</v>
      </c>
    </row>
    <row r="93" spans="1:21" ht="15.75" customHeight="1">
      <c r="A93" s="30">
        <v>25</v>
      </c>
      <c r="B93" s="106" t="s">
        <v>191</v>
      </c>
      <c r="C93" s="107"/>
      <c r="D93" s="118"/>
      <c r="E93" s="19"/>
      <c r="F93" s="13"/>
      <c r="G93" s="36">
        <v>42</v>
      </c>
      <c r="H93" s="94">
        <f t="shared" si="9"/>
        <v>0</v>
      </c>
      <c r="I93" s="117">
        <f>G93*1</f>
        <v>42</v>
      </c>
    </row>
    <row r="94" spans="1:21" ht="31.5" customHeight="1">
      <c r="A94" s="30">
        <v>26</v>
      </c>
      <c r="B94" s="106" t="s">
        <v>150</v>
      </c>
      <c r="C94" s="107" t="s">
        <v>37</v>
      </c>
      <c r="D94" s="118"/>
      <c r="E94" s="19"/>
      <c r="F94" s="13"/>
      <c r="G94" s="36">
        <v>3914.31</v>
      </c>
      <c r="H94" s="94">
        <f t="shared" si="9"/>
        <v>0</v>
      </c>
      <c r="I94" s="117">
        <f>G94*0.01</f>
        <v>39.143099999999997</v>
      </c>
    </row>
    <row r="95" spans="1:21" ht="15.75" customHeight="1">
      <c r="A95" s="30">
        <v>27</v>
      </c>
      <c r="B95" s="106" t="s">
        <v>38</v>
      </c>
      <c r="C95" s="107" t="s">
        <v>174</v>
      </c>
      <c r="D95" s="118"/>
      <c r="E95" s="19"/>
      <c r="F95" s="13"/>
      <c r="G95" s="36">
        <v>8102.62</v>
      </c>
      <c r="H95" s="94"/>
      <c r="I95" s="117">
        <f>G95*0.01</f>
        <v>81.026200000000003</v>
      </c>
    </row>
    <row r="96" spans="1:21" ht="32.25" customHeight="1">
      <c r="A96" s="30">
        <v>28</v>
      </c>
      <c r="B96" s="106" t="s">
        <v>192</v>
      </c>
      <c r="C96" s="107" t="s">
        <v>88</v>
      </c>
      <c r="D96" s="118"/>
      <c r="E96" s="19"/>
      <c r="F96" s="13"/>
      <c r="G96" s="125">
        <v>561.86</v>
      </c>
      <c r="H96" s="94"/>
      <c r="I96" s="117">
        <f>G96*1</f>
        <v>561.86</v>
      </c>
    </row>
    <row r="97" spans="1:9" ht="15.75" customHeight="1">
      <c r="A97" s="30"/>
      <c r="B97" s="45" t="s">
        <v>51</v>
      </c>
      <c r="C97" s="41"/>
      <c r="D97" s="53"/>
      <c r="E97" s="53"/>
      <c r="F97" s="41"/>
      <c r="G97" s="41"/>
      <c r="H97" s="41"/>
      <c r="I97" s="32">
        <f>SUM(I91:I96)</f>
        <v>3360.1292999999996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I89+I97</f>
        <v>123172.34686133335</v>
      </c>
    </row>
    <row r="100" spans="1:9" ht="15.75" customHeight="1">
      <c r="A100" s="256" t="s">
        <v>242</v>
      </c>
      <c r="B100" s="256"/>
      <c r="C100" s="256"/>
      <c r="D100" s="256"/>
      <c r="E100" s="256"/>
      <c r="F100" s="256"/>
      <c r="G100" s="256"/>
      <c r="H100" s="256"/>
      <c r="I100" s="256"/>
    </row>
    <row r="101" spans="1:9" ht="15.75" customHeight="1">
      <c r="A101" s="60"/>
      <c r="B101" s="257" t="s">
        <v>243</v>
      </c>
      <c r="C101" s="257"/>
      <c r="D101" s="257"/>
      <c r="E101" s="257"/>
      <c r="F101" s="257"/>
      <c r="G101" s="257"/>
      <c r="H101" s="73"/>
      <c r="I101" s="3"/>
    </row>
    <row r="102" spans="1:9" ht="15.75" customHeight="1">
      <c r="A102" s="55"/>
      <c r="B102" s="258" t="s">
        <v>6</v>
      </c>
      <c r="C102" s="258"/>
      <c r="D102" s="258"/>
      <c r="E102" s="258"/>
      <c r="F102" s="258"/>
      <c r="G102" s="258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9" t="s">
        <v>7</v>
      </c>
      <c r="B104" s="259"/>
      <c r="C104" s="259"/>
      <c r="D104" s="259"/>
      <c r="E104" s="259"/>
      <c r="F104" s="259"/>
      <c r="G104" s="259"/>
      <c r="H104" s="259"/>
      <c r="I104" s="259"/>
    </row>
    <row r="105" spans="1:9" ht="15.75" customHeight="1">
      <c r="A105" s="259" t="s">
        <v>8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 customHeight="1">
      <c r="A106" s="260" t="s">
        <v>60</v>
      </c>
      <c r="B106" s="260"/>
      <c r="C106" s="260"/>
      <c r="D106" s="260"/>
      <c r="E106" s="260"/>
      <c r="F106" s="260"/>
      <c r="G106" s="260"/>
      <c r="H106" s="260"/>
      <c r="I106" s="260"/>
    </row>
    <row r="107" spans="1:9" ht="15.75" customHeight="1">
      <c r="A107" s="11"/>
    </row>
    <row r="108" spans="1:9" ht="15.75" customHeight="1">
      <c r="A108" s="261" t="s">
        <v>9</v>
      </c>
      <c r="B108" s="261"/>
      <c r="C108" s="261"/>
      <c r="D108" s="261"/>
      <c r="E108" s="261"/>
      <c r="F108" s="261"/>
      <c r="G108" s="261"/>
      <c r="H108" s="261"/>
      <c r="I108" s="261"/>
    </row>
    <row r="109" spans="1:9" ht="15.75" customHeight="1">
      <c r="A109" s="4"/>
    </row>
    <row r="110" spans="1:9" ht="15.75" customHeight="1">
      <c r="B110" s="58" t="s">
        <v>10</v>
      </c>
      <c r="C110" s="262" t="s">
        <v>87</v>
      </c>
      <c r="D110" s="262"/>
      <c r="E110" s="262"/>
      <c r="F110" s="262"/>
      <c r="I110" s="59"/>
    </row>
    <row r="111" spans="1:9" ht="15.75" customHeight="1">
      <c r="A111" s="55"/>
      <c r="C111" s="258" t="s">
        <v>11</v>
      </c>
      <c r="D111" s="258"/>
      <c r="E111" s="258"/>
      <c r="F111" s="258"/>
      <c r="I111" s="57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58" t="s">
        <v>13</v>
      </c>
      <c r="C113" s="264"/>
      <c r="D113" s="264"/>
      <c r="E113" s="264"/>
      <c r="F113" s="264"/>
      <c r="I113" s="59"/>
    </row>
    <row r="114" spans="1:9" ht="15.75" customHeight="1">
      <c r="A114" s="55"/>
      <c r="C114" s="245" t="s">
        <v>11</v>
      </c>
      <c r="D114" s="245"/>
      <c r="E114" s="245"/>
      <c r="F114" s="245"/>
      <c r="I114" s="57" t="s">
        <v>12</v>
      </c>
    </row>
    <row r="115" spans="1:9" ht="15.75" customHeight="1">
      <c r="A115" s="4" t="s">
        <v>14</v>
      </c>
    </row>
    <row r="116" spans="1:9" ht="15.75" customHeight="1">
      <c r="A116" s="265" t="s">
        <v>15</v>
      </c>
      <c r="B116" s="265"/>
      <c r="C116" s="265"/>
      <c r="D116" s="265"/>
      <c r="E116" s="265"/>
      <c r="F116" s="265"/>
      <c r="G116" s="265"/>
      <c r="H116" s="265"/>
      <c r="I116" s="265"/>
    </row>
    <row r="117" spans="1:9" ht="45" customHeight="1">
      <c r="A117" s="263" t="s">
        <v>16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30" customHeight="1">
      <c r="A118" s="263" t="s">
        <v>17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30" customHeight="1">
      <c r="A119" s="263" t="s">
        <v>21</v>
      </c>
      <c r="B119" s="263"/>
      <c r="C119" s="263"/>
      <c r="D119" s="263"/>
      <c r="E119" s="263"/>
      <c r="F119" s="263"/>
      <c r="G119" s="263"/>
      <c r="H119" s="263"/>
      <c r="I119" s="263"/>
    </row>
    <row r="120" spans="1:9" ht="15" customHeight="1">
      <c r="A120" s="263" t="s">
        <v>20</v>
      </c>
      <c r="B120" s="263"/>
      <c r="C120" s="263"/>
      <c r="D120" s="263"/>
      <c r="E120" s="263"/>
      <c r="F120" s="263"/>
      <c r="G120" s="263"/>
      <c r="H120" s="263"/>
      <c r="I120" s="263"/>
    </row>
  </sheetData>
  <autoFilter ref="I12:I67"/>
  <mergeCells count="29">
    <mergeCell ref="A120:I120"/>
    <mergeCell ref="C113:F113"/>
    <mergeCell ref="C114:F114"/>
    <mergeCell ref="A116:I116"/>
    <mergeCell ref="A117:I117"/>
    <mergeCell ref="A118:I118"/>
    <mergeCell ref="A106:I106"/>
    <mergeCell ref="A108:I108"/>
    <mergeCell ref="C110:F110"/>
    <mergeCell ref="C111:F111"/>
    <mergeCell ref="A119:I119"/>
    <mergeCell ref="A100:I100"/>
    <mergeCell ref="B101:G101"/>
    <mergeCell ref="B102:G102"/>
    <mergeCell ref="A104:I104"/>
    <mergeCell ref="A105:I105"/>
    <mergeCell ref="A86:I86"/>
    <mergeCell ref="A90:I90"/>
    <mergeCell ref="R72:U72"/>
    <mergeCell ref="A3:I3"/>
    <mergeCell ref="A4:I4"/>
    <mergeCell ref="A8:I8"/>
    <mergeCell ref="A10:I10"/>
    <mergeCell ref="A5:I5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103" zoomScale="60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159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286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43769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21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8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1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1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1" t="s">
        <v>27</v>
      </c>
      <c r="C32" s="122" t="s">
        <v>107</v>
      </c>
      <c r="D32" s="121" t="s">
        <v>53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29.25" customHeight="1">
      <c r="A44" s="189">
        <v>10</v>
      </c>
      <c r="B44" s="152" t="s">
        <v>178</v>
      </c>
      <c r="C44" s="153" t="s">
        <v>107</v>
      </c>
      <c r="D44" s="152" t="s">
        <v>234</v>
      </c>
      <c r="E44" s="151">
        <v>3</v>
      </c>
      <c r="F44" s="154">
        <f>E44*12/1000</f>
        <v>3.5999999999999997E-2</v>
      </c>
      <c r="G44" s="154">
        <v>19757.060000000001</v>
      </c>
      <c r="H44" s="96"/>
      <c r="I44" s="233">
        <f>G44*3/1000</f>
        <v>59.271180000000008</v>
      </c>
      <c r="J44" s="24"/>
      <c r="L44" s="20"/>
      <c r="M44" s="21"/>
      <c r="N44" s="22"/>
    </row>
    <row r="45" spans="1:14" ht="15.75" hidden="1" customHeight="1">
      <c r="A45" s="253" t="s">
        <v>136</v>
      </c>
      <c r="B45" s="254"/>
      <c r="C45" s="254"/>
      <c r="D45" s="254"/>
      <c r="E45" s="254"/>
      <c r="F45" s="254"/>
      <c r="G45" s="254"/>
      <c r="H45" s="254"/>
      <c r="I45" s="255"/>
      <c r="J45" s="24"/>
      <c r="L45" s="20"/>
      <c r="M45" s="21"/>
      <c r="N45" s="22"/>
    </row>
    <row r="46" spans="1:14" ht="15.75" hidden="1" customHeight="1">
      <c r="A46" s="40">
        <v>10</v>
      </c>
      <c r="B46" s="75" t="s">
        <v>113</v>
      </c>
      <c r="C46" s="76" t="s">
        <v>107</v>
      </c>
      <c r="D46" s="75" t="s">
        <v>41</v>
      </c>
      <c r="E46" s="77">
        <v>1571.3</v>
      </c>
      <c r="F46" s="78">
        <f>SUM(E46*2/1000)</f>
        <v>3.1425999999999998</v>
      </c>
      <c r="G46" s="13">
        <v>849.49</v>
      </c>
      <c r="H46" s="79">
        <f t="shared" ref="H46:H54" si="7">SUM(F46*G46/1000)</f>
        <v>2.6696072740000001</v>
      </c>
      <c r="I46" s="13">
        <f t="shared" ref="I46:I48" si="8">F46/2*G46</f>
        <v>1334.803637</v>
      </c>
      <c r="J46" s="24"/>
      <c r="L46" s="20"/>
      <c r="M46" s="21"/>
      <c r="N46" s="22"/>
    </row>
    <row r="47" spans="1:14" ht="15.75" hidden="1" customHeight="1">
      <c r="A47" s="40">
        <v>11</v>
      </c>
      <c r="B47" s="75" t="s">
        <v>34</v>
      </c>
      <c r="C47" s="76" t="s">
        <v>107</v>
      </c>
      <c r="D47" s="75" t="s">
        <v>41</v>
      </c>
      <c r="E47" s="77">
        <v>92.8</v>
      </c>
      <c r="F47" s="78">
        <f>SUM(E47*2/1000)</f>
        <v>0.18559999999999999</v>
      </c>
      <c r="G47" s="13">
        <v>579.48</v>
      </c>
      <c r="H47" s="79">
        <f t="shared" si="7"/>
        <v>0.10755148799999999</v>
      </c>
      <c r="I47" s="13">
        <f t="shared" si="8"/>
        <v>53.775743999999996</v>
      </c>
      <c r="J47" s="24"/>
      <c r="L47" s="20"/>
      <c r="M47" s="21"/>
      <c r="N47" s="22"/>
    </row>
    <row r="48" spans="1:14" ht="15.75" hidden="1" customHeight="1">
      <c r="A48" s="40">
        <v>12</v>
      </c>
      <c r="B48" s="75" t="s">
        <v>35</v>
      </c>
      <c r="C48" s="76" t="s">
        <v>107</v>
      </c>
      <c r="D48" s="75" t="s">
        <v>41</v>
      </c>
      <c r="E48" s="77">
        <v>4737.7</v>
      </c>
      <c r="F48" s="78">
        <f>SUM(E48*2/1000)</f>
        <v>9.4754000000000005</v>
      </c>
      <c r="G48" s="13">
        <v>579.48</v>
      </c>
      <c r="H48" s="79">
        <f t="shared" si="7"/>
        <v>5.4908047920000005</v>
      </c>
      <c r="I48" s="13">
        <f t="shared" si="8"/>
        <v>2745.4023960000004</v>
      </c>
      <c r="J48" s="24"/>
      <c r="L48" s="20"/>
      <c r="M48" s="21"/>
      <c r="N48" s="22"/>
    </row>
    <row r="49" spans="1:14" ht="15.75" hidden="1" customHeight="1">
      <c r="A49" s="40">
        <v>13</v>
      </c>
      <c r="B49" s="75" t="s">
        <v>36</v>
      </c>
      <c r="C49" s="76" t="s">
        <v>107</v>
      </c>
      <c r="D49" s="75" t="s">
        <v>41</v>
      </c>
      <c r="E49" s="77">
        <v>2811.99</v>
      </c>
      <c r="F49" s="78">
        <f>SUM(E49*2/1000)</f>
        <v>5.6239799999999995</v>
      </c>
      <c r="G49" s="13">
        <v>606.77</v>
      </c>
      <c r="H49" s="79">
        <f t="shared" si="7"/>
        <v>3.4124623445999998</v>
      </c>
      <c r="I49" s="13">
        <f>F49/2*G49</f>
        <v>1706.2311722999998</v>
      </c>
      <c r="J49" s="24"/>
      <c r="L49" s="20"/>
      <c r="M49" s="21"/>
      <c r="N49" s="22"/>
    </row>
    <row r="50" spans="1:14" ht="15.75" hidden="1" customHeight="1">
      <c r="A50" s="40">
        <v>14</v>
      </c>
      <c r="B50" s="75" t="s">
        <v>55</v>
      </c>
      <c r="C50" s="76" t="s">
        <v>107</v>
      </c>
      <c r="D50" s="75" t="s">
        <v>143</v>
      </c>
      <c r="E50" s="77">
        <v>1571.3</v>
      </c>
      <c r="F50" s="78">
        <f>SUM(E50*5/1000)</f>
        <v>7.8564999999999996</v>
      </c>
      <c r="G50" s="13">
        <v>1213.55</v>
      </c>
      <c r="H50" s="79">
        <f t="shared" si="7"/>
        <v>9.5342555749999995</v>
      </c>
      <c r="I50" s="13">
        <f>F50/5*G50</f>
        <v>1906.8511149999999</v>
      </c>
      <c r="J50" s="24"/>
      <c r="L50" s="20"/>
      <c r="M50" s="21"/>
      <c r="N50" s="22"/>
    </row>
    <row r="51" spans="1:14" ht="31.5" hidden="1" customHeight="1">
      <c r="A51" s="40">
        <v>12</v>
      </c>
      <c r="B51" s="75" t="s">
        <v>114</v>
      </c>
      <c r="C51" s="76" t="s">
        <v>107</v>
      </c>
      <c r="D51" s="75" t="s">
        <v>41</v>
      </c>
      <c r="E51" s="77">
        <v>1571.3</v>
      </c>
      <c r="F51" s="78">
        <f>SUM(E51*2/1000)</f>
        <v>3.1425999999999998</v>
      </c>
      <c r="G51" s="13">
        <v>1213.55</v>
      </c>
      <c r="H51" s="79">
        <f t="shared" si="7"/>
        <v>3.8137022300000001</v>
      </c>
      <c r="I51" s="13">
        <f t="shared" ref="I51:I52" si="9">F51/2*G51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5" t="s">
        <v>115</v>
      </c>
      <c r="C52" s="76" t="s">
        <v>37</v>
      </c>
      <c r="D52" s="75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7"/>
        <v>2.1843919999999999</v>
      </c>
      <c r="I52" s="13">
        <f t="shared" si="9"/>
        <v>1092.1959999999999</v>
      </c>
      <c r="J52" s="24"/>
      <c r="L52" s="20"/>
      <c r="M52" s="21"/>
      <c r="N52" s="22"/>
    </row>
    <row r="53" spans="1:14" ht="15.75" hidden="1" customHeight="1">
      <c r="A53" s="40">
        <v>14</v>
      </c>
      <c r="B53" s="75" t="s">
        <v>38</v>
      </c>
      <c r="C53" s="76" t="s">
        <v>39</v>
      </c>
      <c r="D53" s="75" t="s">
        <v>41</v>
      </c>
      <c r="E53" s="77">
        <v>1</v>
      </c>
      <c r="F53" s="78">
        <v>0.02</v>
      </c>
      <c r="G53" s="13">
        <v>5652.13</v>
      </c>
      <c r="H53" s="79">
        <f t="shared" si="7"/>
        <v>0.11304260000000001</v>
      </c>
      <c r="I53" s="13">
        <f>F53/2*G53</f>
        <v>56.521300000000004</v>
      </c>
      <c r="J53" s="24"/>
      <c r="L53" s="20"/>
      <c r="M53" s="21"/>
      <c r="N53" s="22"/>
    </row>
    <row r="54" spans="1:14" ht="15.75" hidden="1" customHeight="1">
      <c r="A54" s="40">
        <v>15</v>
      </c>
      <c r="B54" s="75" t="s">
        <v>40</v>
      </c>
      <c r="C54" s="76" t="s">
        <v>116</v>
      </c>
      <c r="D54" s="75" t="s">
        <v>71</v>
      </c>
      <c r="E54" s="77">
        <v>238</v>
      </c>
      <c r="F54" s="78">
        <f>SUM(E54)*3</f>
        <v>714</v>
      </c>
      <c r="G54" s="13">
        <v>65.67</v>
      </c>
      <c r="H54" s="79">
        <f t="shared" si="7"/>
        <v>46.888380000000005</v>
      </c>
      <c r="I54" s="13">
        <f>E54*G54</f>
        <v>15629.460000000001</v>
      </c>
      <c r="J54" s="24"/>
      <c r="L54" s="20"/>
      <c r="M54" s="21"/>
      <c r="N54" s="22"/>
    </row>
    <row r="55" spans="1:14" ht="15.75" customHeight="1">
      <c r="A55" s="239" t="s">
        <v>153</v>
      </c>
      <c r="B55" s="240"/>
      <c r="C55" s="240"/>
      <c r="D55" s="240"/>
      <c r="E55" s="240"/>
      <c r="F55" s="240"/>
      <c r="G55" s="240"/>
      <c r="H55" s="240"/>
      <c r="I55" s="241"/>
      <c r="J55" s="24"/>
      <c r="L55" s="20"/>
      <c r="M55" s="21"/>
      <c r="N55" s="22"/>
    </row>
    <row r="56" spans="1:14" ht="15.75" hidden="1" customHeight="1">
      <c r="A56" s="74"/>
      <c r="B56" s="47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0">
        <v>14</v>
      </c>
      <c r="B57" s="75" t="s">
        <v>132</v>
      </c>
      <c r="C57" s="76" t="s">
        <v>100</v>
      </c>
      <c r="D57" s="75" t="s">
        <v>117</v>
      </c>
      <c r="E57" s="77">
        <v>48</v>
      </c>
      <c r="F57" s="78">
        <f>E57*6/100</f>
        <v>2.88</v>
      </c>
      <c r="G57" s="85">
        <v>1547.28</v>
      </c>
      <c r="H57" s="79">
        <f>F57*G57/1000</f>
        <v>4.4561663999999999</v>
      </c>
      <c r="I57" s="13">
        <f>F57/6*G57</f>
        <v>742.69439999999997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92</v>
      </c>
      <c r="C58" s="87" t="s">
        <v>100</v>
      </c>
      <c r="D58" s="86" t="s">
        <v>133</v>
      </c>
      <c r="E58" s="88">
        <v>56</v>
      </c>
      <c r="F58" s="89">
        <f>E58*4/100</f>
        <v>2.2400000000000002</v>
      </c>
      <c r="G58" s="85">
        <v>1547.28</v>
      </c>
      <c r="H58" s="90">
        <f>F58*G58/1000</f>
        <v>3.4659072000000002</v>
      </c>
      <c r="I58" s="13">
        <f>F58/6*G58</f>
        <v>577.65120000000002</v>
      </c>
      <c r="J58" s="24"/>
      <c r="L58" s="20"/>
      <c r="M58" s="21"/>
      <c r="N58" s="22"/>
    </row>
    <row r="59" spans="1:14" ht="15.75" hidden="1" customHeight="1">
      <c r="A59" s="40">
        <v>15</v>
      </c>
      <c r="B59" s="86" t="s">
        <v>96</v>
      </c>
      <c r="C59" s="87" t="s">
        <v>97</v>
      </c>
      <c r="D59" s="86" t="s">
        <v>41</v>
      </c>
      <c r="E59" s="88">
        <v>8</v>
      </c>
      <c r="F59" s="89">
        <v>16</v>
      </c>
      <c r="G59" s="91">
        <v>180.78</v>
      </c>
      <c r="H59" s="90">
        <f>F59*G59/1000</f>
        <v>2.8924799999999999</v>
      </c>
      <c r="I59" s="13">
        <f>F59/2*G59</f>
        <v>1446.24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11</v>
      </c>
      <c r="B61" s="86" t="s">
        <v>93</v>
      </c>
      <c r="C61" s="87" t="s">
        <v>25</v>
      </c>
      <c r="D61" s="86" t="s">
        <v>234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22.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7.25" customHeight="1">
      <c r="A63" s="40"/>
      <c r="B63" s="130" t="s">
        <v>45</v>
      </c>
      <c r="C63" s="139"/>
      <c r="D63" s="15"/>
      <c r="E63" s="19"/>
      <c r="F63" s="13"/>
      <c r="G63" s="13"/>
      <c r="H63" s="96"/>
      <c r="I63" s="13"/>
      <c r="J63" s="24"/>
      <c r="L63" s="20"/>
      <c r="M63" s="21"/>
      <c r="N63" s="22"/>
    </row>
    <row r="64" spans="1:14" ht="17.25" customHeight="1">
      <c r="A64" s="40">
        <v>12</v>
      </c>
      <c r="B64" s="131" t="s">
        <v>46</v>
      </c>
      <c r="C64" s="38" t="s">
        <v>116</v>
      </c>
      <c r="D64" s="37" t="s">
        <v>240</v>
      </c>
      <c r="E64" s="18">
        <v>40</v>
      </c>
      <c r="F64" s="123">
        <v>40</v>
      </c>
      <c r="G64" s="36">
        <v>318.82</v>
      </c>
      <c r="H64" s="96"/>
      <c r="I64" s="13">
        <f>G64*2</f>
        <v>637.64</v>
      </c>
      <c r="J64" s="24"/>
      <c r="L64" s="20"/>
      <c r="M64" s="21"/>
      <c r="N64" s="22"/>
    </row>
    <row r="65" spans="1:22" ht="23.25" hidden="1" customHeight="1">
      <c r="A65" s="30">
        <v>29</v>
      </c>
      <c r="B65" s="134" t="s">
        <v>47</v>
      </c>
      <c r="C65" s="135" t="s">
        <v>116</v>
      </c>
      <c r="D65" s="134" t="s">
        <v>66</v>
      </c>
      <c r="E65" s="136">
        <v>17</v>
      </c>
      <c r="F65" s="137">
        <v>20</v>
      </c>
      <c r="G65" s="138">
        <v>76.25</v>
      </c>
      <c r="H65" s="94">
        <f t="shared" ref="H65:H71" si="10">SUM(F65*G65/1000)</f>
        <v>1.5249999999999999</v>
      </c>
      <c r="I65" s="13">
        <v>0</v>
      </c>
    </row>
    <row r="66" spans="1:22" ht="26.2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22.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1" si="11">F67*G67</f>
        <v>3740.1891900000001</v>
      </c>
    </row>
    <row r="68" spans="1:22" ht="26.2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6.2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21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1.75" hidden="1" customHeight="1">
      <c r="A71" s="30">
        <v>12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10"/>
        <v>0.74820000000000009</v>
      </c>
      <c r="I71" s="13">
        <f t="shared" si="11"/>
        <v>748.2</v>
      </c>
      <c r="J71" s="5"/>
      <c r="K71" s="5"/>
      <c r="L71" s="5"/>
      <c r="M71" s="5"/>
      <c r="N71" s="5"/>
      <c r="O71" s="5"/>
      <c r="P71" s="5"/>
      <c r="Q71" s="5"/>
      <c r="R71" s="245"/>
      <c r="S71" s="245"/>
      <c r="T71" s="245"/>
      <c r="U71" s="245"/>
    </row>
    <row r="72" spans="1:22" ht="21.75" customHeight="1">
      <c r="A72" s="30"/>
      <c r="B72" s="157" t="s">
        <v>183</v>
      </c>
      <c r="C72" s="38"/>
      <c r="D72" s="37"/>
      <c r="E72" s="18"/>
      <c r="F72" s="158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29"/>
      <c r="S72" s="229"/>
      <c r="T72" s="229"/>
      <c r="U72" s="229"/>
    </row>
    <row r="73" spans="1:22" ht="36" customHeight="1">
      <c r="A73" s="30">
        <v>13</v>
      </c>
      <c r="B73" s="37" t="s">
        <v>184</v>
      </c>
      <c r="C73" s="40" t="s">
        <v>185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29"/>
      <c r="S73" s="229"/>
      <c r="T73" s="229"/>
      <c r="U73" s="229"/>
    </row>
    <row r="74" spans="1:22" ht="16.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2.5" hidden="1" customHeight="1">
      <c r="A75" s="30">
        <v>13</v>
      </c>
      <c r="B75" s="15" t="s">
        <v>73</v>
      </c>
      <c r="C75" s="17" t="s">
        <v>31</v>
      </c>
      <c r="D75" s="15"/>
      <c r="E75" s="19">
        <v>5</v>
      </c>
      <c r="F75" s="96">
        <v>0.5</v>
      </c>
      <c r="G75" s="13">
        <v>501.62</v>
      </c>
      <c r="H75" s="94">
        <f>F75*G75/1000</f>
        <v>0.25080999999999998</v>
      </c>
      <c r="I75" s="13">
        <f>G75*0.1</f>
        <v>50.162000000000006</v>
      </c>
    </row>
    <row r="76" spans="1:22" ht="22.5" hidden="1" customHeight="1">
      <c r="A76" s="30">
        <v>14</v>
      </c>
      <c r="B76" s="15" t="s">
        <v>124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f>G76</f>
        <v>120.26</v>
      </c>
    </row>
    <row r="77" spans="1:22" ht="21" hidden="1" customHeight="1">
      <c r="A77" s="30"/>
      <c r="B77" s="15" t="s">
        <v>123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17.25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2">SUM(F78*G78/1000)</f>
        <v>0.71701999999999999</v>
      </c>
      <c r="I78" s="13">
        <v>0</v>
      </c>
    </row>
    <row r="79" spans="1:22" ht="19.5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19.5" customHeight="1">
      <c r="A80" s="30">
        <v>14</v>
      </c>
      <c r="B80" s="106" t="s">
        <v>186</v>
      </c>
      <c r="C80" s="107" t="s">
        <v>116</v>
      </c>
      <c r="D80" s="37" t="s">
        <v>234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21" hidden="1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1.75" hidden="1" customHeight="1">
      <c r="A82" s="30">
        <v>39</v>
      </c>
      <c r="B82" s="51" t="s">
        <v>125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3">SUM(F82*G82/1000)</f>
        <v>3.725244</v>
      </c>
      <c r="I82" s="13">
        <v>0</v>
      </c>
    </row>
    <row r="83" spans="1:21" ht="25.5" hidden="1" customHeight="1">
      <c r="A83" s="74"/>
      <c r="B83" s="72" t="s">
        <v>121</v>
      </c>
      <c r="C83" s="72"/>
      <c r="D83" s="72"/>
      <c r="E83" s="72"/>
      <c r="F83" s="72"/>
      <c r="G83" s="72"/>
      <c r="H83" s="72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3.25" hidden="1" customHeight="1">
      <c r="A84" s="30">
        <v>12</v>
      </c>
      <c r="B84" s="75" t="s">
        <v>122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f>G84</f>
        <v>25286</v>
      </c>
    </row>
    <row r="85" spans="1:21" ht="15.75" customHeight="1">
      <c r="A85" s="239" t="s">
        <v>137</v>
      </c>
      <c r="B85" s="240"/>
      <c r="C85" s="240"/>
      <c r="D85" s="240"/>
      <c r="E85" s="240"/>
      <c r="F85" s="240"/>
      <c r="G85" s="240"/>
      <c r="H85" s="240"/>
      <c r="I85" s="241"/>
    </row>
    <row r="86" spans="1:21" ht="15.75" customHeight="1">
      <c r="A86" s="30">
        <v>15</v>
      </c>
      <c r="B86" s="37" t="s">
        <v>126</v>
      </c>
      <c r="C86" s="38" t="s">
        <v>54</v>
      </c>
      <c r="D86" s="167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16</v>
      </c>
      <c r="B87" s="37" t="s">
        <v>77</v>
      </c>
      <c r="C87" s="38"/>
      <c r="D87" s="170"/>
      <c r="E87" s="171">
        <f>E86</f>
        <v>5836.1</v>
      </c>
      <c r="F87" s="172">
        <f>E87*12</f>
        <v>70033.200000000012</v>
      </c>
      <c r="G87" s="172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I87+I86+I80+I73+I64+I61+I33+I31+I30+I27+I21+I20+I18+I17+I16+I44</f>
        <v>95148.284790000005</v>
      </c>
    </row>
    <row r="89" spans="1:21" ht="15.75" customHeight="1">
      <c r="A89" s="242" t="s">
        <v>59</v>
      </c>
      <c r="B89" s="243"/>
      <c r="C89" s="243"/>
      <c r="D89" s="243"/>
      <c r="E89" s="243"/>
      <c r="F89" s="243"/>
      <c r="G89" s="243"/>
      <c r="H89" s="243"/>
      <c r="I89" s="244"/>
    </row>
    <row r="90" spans="1:21" ht="15.75" customHeight="1">
      <c r="A90" s="30">
        <v>17</v>
      </c>
      <c r="B90" s="108" t="s">
        <v>188</v>
      </c>
      <c r="C90" s="38" t="s">
        <v>169</v>
      </c>
      <c r="D90" s="47"/>
      <c r="E90" s="47"/>
      <c r="F90" s="47"/>
      <c r="G90" s="36">
        <v>273</v>
      </c>
      <c r="H90" s="47"/>
      <c r="I90" s="133">
        <f>G90*5</f>
        <v>1365</v>
      </c>
    </row>
    <row r="91" spans="1:21" ht="15.75" customHeight="1">
      <c r="A91" s="30">
        <v>18</v>
      </c>
      <c r="B91" s="200" t="s">
        <v>287</v>
      </c>
      <c r="C91" s="40" t="s">
        <v>211</v>
      </c>
      <c r="D91" s="41" t="s">
        <v>293</v>
      </c>
      <c r="E91" s="47"/>
      <c r="F91" s="47"/>
      <c r="G91" s="36">
        <v>416.53</v>
      </c>
      <c r="H91" s="47"/>
      <c r="I91" s="133">
        <f>G91*0.05</f>
        <v>20.826499999999999</v>
      </c>
    </row>
    <row r="92" spans="1:21" ht="16.5" customHeight="1">
      <c r="A92" s="30">
        <v>19</v>
      </c>
      <c r="B92" s="106" t="s">
        <v>209</v>
      </c>
      <c r="C92" s="107" t="s">
        <v>158</v>
      </c>
      <c r="D92" s="41" t="s">
        <v>293</v>
      </c>
      <c r="E92" s="47"/>
      <c r="F92" s="47"/>
      <c r="G92" s="36">
        <v>214.07</v>
      </c>
      <c r="H92" s="47"/>
      <c r="I92" s="133">
        <f>G92*1</f>
        <v>214.07</v>
      </c>
    </row>
    <row r="93" spans="1:21" ht="16.5" customHeight="1">
      <c r="A93" s="30">
        <v>20</v>
      </c>
      <c r="B93" s="106" t="s">
        <v>81</v>
      </c>
      <c r="C93" s="107" t="s">
        <v>116</v>
      </c>
      <c r="D93" s="47"/>
      <c r="E93" s="47"/>
      <c r="F93" s="47"/>
      <c r="G93" s="36">
        <v>207.55</v>
      </c>
      <c r="H93" s="47"/>
      <c r="I93" s="133">
        <f>G93*2</f>
        <v>415.1</v>
      </c>
    </row>
    <row r="94" spans="1:21" ht="31.5" customHeight="1">
      <c r="A94" s="30">
        <v>21</v>
      </c>
      <c r="B94" s="106" t="s">
        <v>86</v>
      </c>
      <c r="C94" s="107" t="s">
        <v>88</v>
      </c>
      <c r="D94" s="30" t="s">
        <v>292</v>
      </c>
      <c r="E94" s="47"/>
      <c r="F94" s="47"/>
      <c r="G94" s="36">
        <v>644.72</v>
      </c>
      <c r="H94" s="47"/>
      <c r="I94" s="133">
        <f>G94*1</f>
        <v>644.72</v>
      </c>
    </row>
    <row r="95" spans="1:21" ht="15.75" customHeight="1">
      <c r="A95" s="30">
        <v>22</v>
      </c>
      <c r="B95" s="106" t="s">
        <v>291</v>
      </c>
      <c r="C95" s="107" t="s">
        <v>264</v>
      </c>
      <c r="D95" s="41" t="s">
        <v>290</v>
      </c>
      <c r="E95" s="47"/>
      <c r="F95" s="47"/>
      <c r="G95" s="36">
        <v>650</v>
      </c>
      <c r="H95" s="47"/>
      <c r="I95" s="133">
        <f>G95*15</f>
        <v>9750</v>
      </c>
    </row>
    <row r="96" spans="1:21" ht="17.25" customHeight="1">
      <c r="A96" s="30">
        <v>23</v>
      </c>
      <c r="B96" s="106" t="s">
        <v>288</v>
      </c>
      <c r="C96" s="107" t="s">
        <v>289</v>
      </c>
      <c r="D96" s="47"/>
      <c r="E96" s="47"/>
      <c r="F96" s="47"/>
      <c r="G96" s="36">
        <v>26095.37</v>
      </c>
      <c r="H96" s="47"/>
      <c r="I96" s="133">
        <f>G96*0.01</f>
        <v>260.95369999999997</v>
      </c>
    </row>
    <row r="97" spans="1:9" ht="15.75" customHeight="1">
      <c r="A97" s="30"/>
      <c r="B97" s="45" t="s">
        <v>51</v>
      </c>
      <c r="C97" s="41"/>
      <c r="D97" s="53"/>
      <c r="E97" s="53"/>
      <c r="F97" s="41">
        <v>1</v>
      </c>
      <c r="G97" s="41"/>
      <c r="H97" s="41"/>
      <c r="I97" s="32">
        <f>SUM(I90:I96)</f>
        <v>12670.670199999999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I88+I97</f>
        <v>107818.95499</v>
      </c>
    </row>
    <row r="100" spans="1:9" ht="15.75" customHeight="1">
      <c r="A100" s="256" t="s">
        <v>294</v>
      </c>
      <c r="B100" s="256"/>
      <c r="C100" s="256"/>
      <c r="D100" s="256"/>
      <c r="E100" s="256"/>
      <c r="F100" s="256"/>
      <c r="G100" s="256"/>
      <c r="H100" s="256"/>
      <c r="I100" s="256"/>
    </row>
    <row r="101" spans="1:9" ht="15.75" customHeight="1">
      <c r="A101" s="66"/>
      <c r="B101" s="257" t="s">
        <v>317</v>
      </c>
      <c r="C101" s="257"/>
      <c r="D101" s="257"/>
      <c r="E101" s="257"/>
      <c r="F101" s="257"/>
      <c r="G101" s="257"/>
      <c r="H101" s="73"/>
      <c r="I101" s="3"/>
    </row>
    <row r="102" spans="1:9" ht="15.75" customHeight="1">
      <c r="A102" s="69"/>
      <c r="B102" s="258" t="s">
        <v>6</v>
      </c>
      <c r="C102" s="258"/>
      <c r="D102" s="258"/>
      <c r="E102" s="258"/>
      <c r="F102" s="258"/>
      <c r="G102" s="258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59" t="s">
        <v>7</v>
      </c>
      <c r="B104" s="259"/>
      <c r="C104" s="259"/>
      <c r="D104" s="259"/>
      <c r="E104" s="259"/>
      <c r="F104" s="259"/>
      <c r="G104" s="259"/>
      <c r="H104" s="259"/>
      <c r="I104" s="259"/>
    </row>
    <row r="105" spans="1:9" ht="15.75" customHeight="1">
      <c r="A105" s="259" t="s">
        <v>8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 customHeight="1">
      <c r="A106" s="260" t="s">
        <v>60</v>
      </c>
      <c r="B106" s="260"/>
      <c r="C106" s="260"/>
      <c r="D106" s="260"/>
      <c r="E106" s="260"/>
      <c r="F106" s="260"/>
      <c r="G106" s="260"/>
      <c r="H106" s="260"/>
      <c r="I106" s="260"/>
    </row>
    <row r="107" spans="1:9" ht="15.75" customHeight="1">
      <c r="A107" s="11"/>
    </row>
    <row r="108" spans="1:9" ht="15.75" customHeight="1">
      <c r="A108" s="261" t="s">
        <v>9</v>
      </c>
      <c r="B108" s="261"/>
      <c r="C108" s="261"/>
      <c r="D108" s="261"/>
      <c r="E108" s="261"/>
      <c r="F108" s="261"/>
      <c r="G108" s="261"/>
      <c r="H108" s="261"/>
      <c r="I108" s="261"/>
    </row>
    <row r="109" spans="1:9" ht="15.75" customHeight="1">
      <c r="A109" s="4"/>
    </row>
    <row r="110" spans="1:9" ht="15.75" customHeight="1">
      <c r="B110" s="70" t="s">
        <v>10</v>
      </c>
      <c r="C110" s="262" t="s">
        <v>87</v>
      </c>
      <c r="D110" s="262"/>
      <c r="E110" s="262"/>
      <c r="F110" s="262"/>
      <c r="I110" s="68"/>
    </row>
    <row r="111" spans="1:9" ht="15.75" customHeight="1">
      <c r="A111" s="69"/>
      <c r="C111" s="258" t="s">
        <v>11</v>
      </c>
      <c r="D111" s="258"/>
      <c r="E111" s="258"/>
      <c r="F111" s="258"/>
      <c r="I111" s="67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70" t="s">
        <v>13</v>
      </c>
      <c r="C113" s="264"/>
      <c r="D113" s="264"/>
      <c r="E113" s="264"/>
      <c r="F113" s="264"/>
      <c r="I113" s="68"/>
    </row>
    <row r="114" spans="1:9" ht="15.75" customHeight="1">
      <c r="A114" s="69"/>
      <c r="C114" s="245" t="s">
        <v>11</v>
      </c>
      <c r="D114" s="245"/>
      <c r="E114" s="245"/>
      <c r="F114" s="245"/>
      <c r="I114" s="67" t="s">
        <v>12</v>
      </c>
    </row>
    <row r="115" spans="1:9" ht="15.75" customHeight="1">
      <c r="A115" s="4" t="s">
        <v>14</v>
      </c>
    </row>
    <row r="116" spans="1:9" ht="15.75" customHeight="1">
      <c r="A116" s="265" t="s">
        <v>15</v>
      </c>
      <c r="B116" s="265"/>
      <c r="C116" s="265"/>
      <c r="D116" s="265"/>
      <c r="E116" s="265"/>
      <c r="F116" s="265"/>
      <c r="G116" s="265"/>
      <c r="H116" s="265"/>
      <c r="I116" s="265"/>
    </row>
    <row r="117" spans="1:9" ht="45" customHeight="1">
      <c r="A117" s="263" t="s">
        <v>16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30" customHeight="1">
      <c r="A118" s="263" t="s">
        <v>17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30" customHeight="1">
      <c r="A119" s="263" t="s">
        <v>21</v>
      </c>
      <c r="B119" s="263"/>
      <c r="C119" s="263"/>
      <c r="D119" s="263"/>
      <c r="E119" s="263"/>
      <c r="F119" s="263"/>
      <c r="G119" s="263"/>
      <c r="H119" s="263"/>
      <c r="I119" s="263"/>
    </row>
    <row r="120" spans="1:9" ht="15" customHeight="1">
      <c r="A120" s="263" t="s">
        <v>20</v>
      </c>
      <c r="B120" s="263"/>
      <c r="C120" s="263"/>
      <c r="D120" s="263"/>
      <c r="E120" s="263"/>
      <c r="F120" s="263"/>
      <c r="G120" s="263"/>
      <c r="H120" s="263"/>
      <c r="I120" s="263"/>
    </row>
  </sheetData>
  <autoFilter ref="I12:I66"/>
  <mergeCells count="29">
    <mergeCell ref="A116:I116"/>
    <mergeCell ref="A117:I117"/>
    <mergeCell ref="A118:I118"/>
    <mergeCell ref="A119:I119"/>
    <mergeCell ref="A120:I120"/>
    <mergeCell ref="R71:U71"/>
    <mergeCell ref="C114:F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4"/>
  <sheetViews>
    <sheetView view="pageBreakPreview" topLeftCell="A81" zoomScale="60" workbookViewId="0">
      <selection activeCell="B43" sqref="B43:I4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160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295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43799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6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6.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52" t="s">
        <v>83</v>
      </c>
      <c r="B29" s="252"/>
      <c r="C29" s="252"/>
      <c r="D29" s="252"/>
      <c r="E29" s="252"/>
      <c r="F29" s="252"/>
      <c r="G29" s="252"/>
      <c r="H29" s="252"/>
      <c r="I29" s="25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7</v>
      </c>
      <c r="B39" s="152" t="s">
        <v>26</v>
      </c>
      <c r="C39" s="122" t="s">
        <v>32</v>
      </c>
      <c r="D39" s="121"/>
      <c r="E39" s="140"/>
      <c r="F39" s="123">
        <v>8</v>
      </c>
      <c r="G39" s="123">
        <v>2189</v>
      </c>
      <c r="H39" s="79">
        <f t="shared" ref="H39:H45" si="7">SUM(F39*G39/1000)</f>
        <v>17.512</v>
      </c>
      <c r="I39" s="13">
        <f>G39*0.4</f>
        <v>875.6</v>
      </c>
      <c r="J39" s="24"/>
    </row>
    <row r="40" spans="1:14" ht="15.75" customHeight="1">
      <c r="A40" s="33">
        <v>8</v>
      </c>
      <c r="B40" s="152" t="s">
        <v>67</v>
      </c>
      <c r="C40" s="153" t="s">
        <v>29</v>
      </c>
      <c r="D40" s="152" t="s">
        <v>237</v>
      </c>
      <c r="E40" s="154">
        <v>567.9</v>
      </c>
      <c r="F40" s="154">
        <f>SUM(E40*30/1000)</f>
        <v>17.036999999999999</v>
      </c>
      <c r="G40" s="154">
        <v>3014.36</v>
      </c>
      <c r="H40" s="79">
        <f t="shared" si="7"/>
        <v>51.35565132</v>
      </c>
      <c r="I40" s="13">
        <f>F40/6*G40</f>
        <v>8559.2752199999995</v>
      </c>
      <c r="J40" s="24"/>
    </row>
    <row r="41" spans="1:14" ht="17.25" customHeight="1">
      <c r="A41" s="33">
        <v>9</v>
      </c>
      <c r="B41" s="121" t="s">
        <v>68</v>
      </c>
      <c r="C41" s="122" t="s">
        <v>29</v>
      </c>
      <c r="D41" s="121" t="s">
        <v>238</v>
      </c>
      <c r="E41" s="123">
        <v>108</v>
      </c>
      <c r="F41" s="154">
        <f>SUM(E41*155/1000)</f>
        <v>16.739999999999998</v>
      </c>
      <c r="G41" s="123">
        <v>502.82</v>
      </c>
      <c r="H41" s="79">
        <f t="shared" si="7"/>
        <v>8.4172068000000007</v>
      </c>
      <c r="I41" s="13">
        <f>G41*F41/6</f>
        <v>1402.8678</v>
      </c>
      <c r="J41" s="24"/>
    </row>
    <row r="42" spans="1:14" ht="45" customHeight="1">
      <c r="A42" s="33">
        <v>10</v>
      </c>
      <c r="B42" s="121" t="s">
        <v>82</v>
      </c>
      <c r="C42" s="122" t="s">
        <v>107</v>
      </c>
      <c r="D42" s="121" t="s">
        <v>239</v>
      </c>
      <c r="E42" s="123">
        <v>108</v>
      </c>
      <c r="F42" s="154">
        <f>SUM(E42*35/1000)</f>
        <v>3.78</v>
      </c>
      <c r="G42" s="123">
        <v>8319.2999999999993</v>
      </c>
      <c r="H42" s="79">
        <f t="shared" si="7"/>
        <v>31.446953999999995</v>
      </c>
      <c r="I42" s="13">
        <f>F42/6*G42</f>
        <v>5241.1589999999997</v>
      </c>
      <c r="J42" s="24"/>
    </row>
    <row r="43" spans="1:14" ht="17.25" customHeight="1">
      <c r="A43" s="33">
        <v>11</v>
      </c>
      <c r="B43" s="121" t="s">
        <v>112</v>
      </c>
      <c r="C43" s="122" t="s">
        <v>107</v>
      </c>
      <c r="D43" s="121" t="s">
        <v>239</v>
      </c>
      <c r="E43" s="123">
        <v>108</v>
      </c>
      <c r="F43" s="154">
        <f>SUM(E43*35/1000)</f>
        <v>3.78</v>
      </c>
      <c r="G43" s="123">
        <v>614.55999999999995</v>
      </c>
      <c r="H43" s="79">
        <f t="shared" si="7"/>
        <v>2.3230367999999997</v>
      </c>
      <c r="I43" s="13">
        <f>F43/7.5*G43</f>
        <v>309.73823999999996</v>
      </c>
      <c r="J43" s="24"/>
    </row>
    <row r="44" spans="1:14" ht="15.75" customHeight="1">
      <c r="A44" s="33">
        <v>12</v>
      </c>
      <c r="B44" s="152" t="s">
        <v>70</v>
      </c>
      <c r="C44" s="153" t="s">
        <v>33</v>
      </c>
      <c r="D44" s="152"/>
      <c r="E44" s="151"/>
      <c r="F44" s="154">
        <v>0.9</v>
      </c>
      <c r="G44" s="154">
        <v>800</v>
      </c>
      <c r="H44" s="79">
        <f t="shared" si="7"/>
        <v>0.72</v>
      </c>
      <c r="I44" s="13">
        <f>F44/7.5*G44</f>
        <v>96.000000000000014</v>
      </c>
      <c r="J44" s="24"/>
      <c r="L44" s="20"/>
      <c r="M44" s="21"/>
      <c r="N44" s="22"/>
    </row>
    <row r="45" spans="1:14" ht="29.25" customHeight="1">
      <c r="A45" s="33">
        <v>13</v>
      </c>
      <c r="B45" s="152" t="s">
        <v>178</v>
      </c>
      <c r="C45" s="153" t="s">
        <v>107</v>
      </c>
      <c r="D45" s="152" t="s">
        <v>240</v>
      </c>
      <c r="E45" s="151">
        <v>3</v>
      </c>
      <c r="F45" s="154">
        <f>E45*12/1000</f>
        <v>3.5999999999999997E-2</v>
      </c>
      <c r="G45" s="154">
        <v>19757.060000000001</v>
      </c>
      <c r="H45" s="79">
        <f t="shared" si="7"/>
        <v>0.71125415999999997</v>
      </c>
      <c r="I45" s="13">
        <f>G45*F45/6</f>
        <v>118.54235999999999</v>
      </c>
      <c r="J45" s="24"/>
      <c r="L45" s="20"/>
      <c r="M45" s="21"/>
      <c r="N45" s="22"/>
    </row>
    <row r="46" spans="1:14" ht="15.75" hidden="1" customHeight="1">
      <c r="A46" s="253" t="s">
        <v>136</v>
      </c>
      <c r="B46" s="254"/>
      <c r="C46" s="254"/>
      <c r="D46" s="254"/>
      <c r="E46" s="254"/>
      <c r="F46" s="254"/>
      <c r="G46" s="254"/>
      <c r="H46" s="254"/>
      <c r="I46" s="255"/>
      <c r="J46" s="24"/>
      <c r="L46" s="20"/>
      <c r="M46" s="21"/>
      <c r="N46" s="22"/>
    </row>
    <row r="47" spans="1:14" ht="15.75" hidden="1" customHeight="1">
      <c r="A47" s="40">
        <v>10</v>
      </c>
      <c r="B47" s="75" t="s">
        <v>113</v>
      </c>
      <c r="C47" s="76" t="s">
        <v>107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8">SUM(F47*G47/1000)</f>
        <v>2.6696072740000001</v>
      </c>
      <c r="I47" s="13">
        <f t="shared" ref="I47:I49" si="9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5" t="s">
        <v>34</v>
      </c>
      <c r="C48" s="76" t="s">
        <v>107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8"/>
        <v>0.10755148799999999</v>
      </c>
      <c r="I48" s="13">
        <f t="shared" si="9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5" t="s">
        <v>35</v>
      </c>
      <c r="C49" s="76" t="s">
        <v>107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8"/>
        <v>5.4908047920000005</v>
      </c>
      <c r="I49" s="13">
        <f t="shared" si="9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5" t="s">
        <v>36</v>
      </c>
      <c r="C50" s="76" t="s">
        <v>107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8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5" t="s">
        <v>55</v>
      </c>
      <c r="C51" s="76" t="s">
        <v>107</v>
      </c>
      <c r="D51" s="75" t="s">
        <v>143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8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5" t="s">
        <v>114</v>
      </c>
      <c r="C52" s="76" t="s">
        <v>107</v>
      </c>
      <c r="D52" s="75" t="s">
        <v>41</v>
      </c>
      <c r="E52" s="77">
        <v>1571.3</v>
      </c>
      <c r="F52" s="78">
        <f>SUM(E52*2/1000)</f>
        <v>3.1425999999999998</v>
      </c>
      <c r="G52" s="13">
        <v>1213.55</v>
      </c>
      <c r="H52" s="79">
        <f t="shared" si="8"/>
        <v>3.8137022300000001</v>
      </c>
      <c r="I52" s="13">
        <f t="shared" ref="I52:I53" si="10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5" t="s">
        <v>115</v>
      </c>
      <c r="C53" s="76" t="s">
        <v>37</v>
      </c>
      <c r="D53" s="75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8"/>
        <v>2.1843919999999999</v>
      </c>
      <c r="I53" s="13">
        <f t="shared" si="10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8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5" t="s">
        <v>40</v>
      </c>
      <c r="C55" s="76" t="s">
        <v>116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8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239" t="s">
        <v>153</v>
      </c>
      <c r="B56" s="240"/>
      <c r="C56" s="240"/>
      <c r="D56" s="240"/>
      <c r="E56" s="240"/>
      <c r="F56" s="240"/>
      <c r="G56" s="240"/>
      <c r="H56" s="240"/>
      <c r="I56" s="241"/>
      <c r="J56" s="24"/>
      <c r="L56" s="20"/>
      <c r="M56" s="21"/>
      <c r="N56" s="22"/>
    </row>
    <row r="57" spans="1:14" ht="15.75" customHeight="1">
      <c r="A57" s="23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12</v>
      </c>
      <c r="B58" s="111" t="s">
        <v>132</v>
      </c>
      <c r="C58" s="112" t="s">
        <v>100</v>
      </c>
      <c r="D58" s="111" t="s">
        <v>117</v>
      </c>
      <c r="E58" s="140">
        <v>147</v>
      </c>
      <c r="F58" s="123">
        <f>E58*6/100</f>
        <v>8.82</v>
      </c>
      <c r="G58" s="155">
        <v>2218.11</v>
      </c>
      <c r="H58" s="79">
        <f>F58*G58/1000</f>
        <v>19.563730200000002</v>
      </c>
      <c r="I58" s="13">
        <f>F58/6*G58</f>
        <v>3260.6217000000001</v>
      </c>
      <c r="J58" s="24"/>
      <c r="L58" s="20"/>
      <c r="M58" s="21"/>
      <c r="N58" s="22"/>
    </row>
    <row r="59" spans="1:14" ht="15.75" customHeight="1">
      <c r="A59" s="40">
        <v>14</v>
      </c>
      <c r="B59" s="37" t="s">
        <v>92</v>
      </c>
      <c r="C59" s="38" t="s">
        <v>100</v>
      </c>
      <c r="D59" s="37" t="s">
        <v>234</v>
      </c>
      <c r="E59" s="236">
        <v>17.579999999999998</v>
      </c>
      <c r="F59" s="114">
        <f>E59*6/100</f>
        <v>1.0548</v>
      </c>
      <c r="G59" s="155">
        <v>2218.11</v>
      </c>
      <c r="H59" s="90">
        <f>F59*G59/1000</f>
        <v>2.339662428</v>
      </c>
      <c r="I59" s="13">
        <f>F59/6*G59</f>
        <v>389.943738</v>
      </c>
      <c r="J59" s="24"/>
      <c r="L59" s="20"/>
      <c r="M59" s="21"/>
      <c r="N59" s="22"/>
    </row>
    <row r="60" spans="1:14" ht="16.5" hidden="1" customHeight="1">
      <c r="A60" s="40">
        <v>15</v>
      </c>
      <c r="B60" s="235" t="s">
        <v>96</v>
      </c>
      <c r="C60" s="237" t="s">
        <v>97</v>
      </c>
      <c r="D60" s="235" t="s">
        <v>41</v>
      </c>
      <c r="E60" s="113">
        <v>8</v>
      </c>
      <c r="F60" s="114">
        <v>16</v>
      </c>
      <c r="G60" s="156">
        <v>259.16000000000003</v>
      </c>
      <c r="H60" s="90">
        <f>F60*G60/1000</f>
        <v>4.14656</v>
      </c>
      <c r="I60" s="13">
        <f>F60/2*G60</f>
        <v>2073.2800000000002</v>
      </c>
      <c r="J60" s="24"/>
      <c r="L60" s="20"/>
      <c r="M60" s="21"/>
      <c r="N60" s="22"/>
    </row>
    <row r="61" spans="1:14" ht="15.75" customHeight="1">
      <c r="A61" s="40"/>
      <c r="B61" s="20"/>
      <c r="C61" s="186"/>
      <c r="D61" s="20"/>
      <c r="E61" s="97"/>
      <c r="F61" s="96"/>
      <c r="G61" s="234"/>
      <c r="H61" s="96"/>
      <c r="I61" s="13"/>
      <c r="J61" s="24"/>
      <c r="L61" s="20"/>
      <c r="M61" s="21"/>
      <c r="N61" s="22"/>
    </row>
    <row r="62" spans="1:14" ht="15.75" customHeight="1">
      <c r="A62" s="40"/>
      <c r="B62" s="231" t="s">
        <v>43</v>
      </c>
      <c r="C62" s="231"/>
      <c r="D62" s="231"/>
      <c r="E62" s="231"/>
      <c r="F62" s="231"/>
      <c r="G62" s="231"/>
      <c r="H62" s="231"/>
      <c r="I62" s="35"/>
      <c r="J62" s="24"/>
      <c r="L62" s="20"/>
      <c r="M62" s="21"/>
      <c r="N62" s="22"/>
    </row>
    <row r="63" spans="1:14" ht="15.75" customHeight="1">
      <c r="A63" s="40">
        <v>15</v>
      </c>
      <c r="B63" s="86" t="s">
        <v>93</v>
      </c>
      <c r="C63" s="87" t="s">
        <v>25</v>
      </c>
      <c r="D63" s="86" t="s">
        <v>234</v>
      </c>
      <c r="E63" s="88">
        <v>331.5</v>
      </c>
      <c r="F63" s="89">
        <v>2400</v>
      </c>
      <c r="G63" s="92">
        <v>1.4</v>
      </c>
      <c r="H63" s="90">
        <f>G63*F63/1000</f>
        <v>3.36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0">
        <v>14</v>
      </c>
      <c r="B64" s="86" t="s">
        <v>44</v>
      </c>
      <c r="C64" s="87" t="s">
        <v>25</v>
      </c>
      <c r="D64" s="86" t="s">
        <v>53</v>
      </c>
      <c r="E64" s="88">
        <v>1571.3</v>
      </c>
      <c r="F64" s="89">
        <f>E64/100</f>
        <v>15.712999999999999</v>
      </c>
      <c r="G64" s="93">
        <v>793.61</v>
      </c>
      <c r="H64" s="90">
        <f>G64*F64/1000</f>
        <v>12.469993929999999</v>
      </c>
      <c r="I64" s="13">
        <v>0</v>
      </c>
      <c r="J64" s="24"/>
      <c r="L64" s="20"/>
      <c r="M64" s="21"/>
      <c r="N64" s="22"/>
    </row>
    <row r="65" spans="1:22" ht="15.75" customHeight="1">
      <c r="A65" s="40"/>
      <c r="B65" s="231" t="s">
        <v>45</v>
      </c>
      <c r="C65" s="17"/>
      <c r="D65" s="37"/>
      <c r="E65" s="37"/>
      <c r="F65" s="16"/>
      <c r="G65" s="30"/>
      <c r="H65" s="30"/>
      <c r="I65" s="19"/>
      <c r="J65" s="24"/>
      <c r="L65" s="20"/>
      <c r="M65" s="21"/>
      <c r="N65" s="22"/>
    </row>
    <row r="66" spans="1:22" ht="18.75" customHeight="1">
      <c r="A66" s="40">
        <v>16</v>
      </c>
      <c r="B66" s="131" t="s">
        <v>46</v>
      </c>
      <c r="C66" s="38" t="s">
        <v>116</v>
      </c>
      <c r="D66" s="37" t="s">
        <v>239</v>
      </c>
      <c r="E66" s="18">
        <v>40</v>
      </c>
      <c r="F66" s="123">
        <v>40</v>
      </c>
      <c r="G66" s="36">
        <v>318.82</v>
      </c>
      <c r="H66" s="94">
        <f t="shared" ref="H66:H73" si="11">SUM(F66*G66/1000)</f>
        <v>12.752799999999999</v>
      </c>
      <c r="I66" s="13">
        <f>G66*6</f>
        <v>1912.92</v>
      </c>
      <c r="J66" s="24"/>
      <c r="L66" s="20"/>
    </row>
    <row r="67" spans="1:22" ht="17.25" hidden="1" customHeight="1">
      <c r="A67" s="30">
        <v>29</v>
      </c>
      <c r="B67" s="15" t="s">
        <v>47</v>
      </c>
      <c r="C67" s="17" t="s">
        <v>116</v>
      </c>
      <c r="D67" s="15" t="s">
        <v>66</v>
      </c>
      <c r="E67" s="19">
        <v>17</v>
      </c>
      <c r="F67" s="78">
        <v>20</v>
      </c>
      <c r="G67" s="13">
        <v>76.25</v>
      </c>
      <c r="H67" s="94">
        <f t="shared" si="11"/>
        <v>1.5249999999999999</v>
      </c>
      <c r="I67" s="13">
        <v>0</v>
      </c>
    </row>
    <row r="68" spans="1:22" ht="21" hidden="1" customHeight="1">
      <c r="A68" s="30">
        <v>26</v>
      </c>
      <c r="B68" s="15" t="s">
        <v>48</v>
      </c>
      <c r="C68" s="17" t="s">
        <v>118</v>
      </c>
      <c r="D68" s="15" t="s">
        <v>53</v>
      </c>
      <c r="E68" s="77">
        <v>22639</v>
      </c>
      <c r="F68" s="13">
        <f>SUM(E68/100)</f>
        <v>226.39</v>
      </c>
      <c r="G68" s="13">
        <v>212.15</v>
      </c>
      <c r="H68" s="94">
        <f t="shared" si="11"/>
        <v>48.0286385</v>
      </c>
      <c r="I68" s="13">
        <f>F68*G68</f>
        <v>48028.638500000001</v>
      </c>
    </row>
    <row r="69" spans="1:22" ht="20.25" hidden="1" customHeight="1">
      <c r="A69" s="30">
        <v>27</v>
      </c>
      <c r="B69" s="15" t="s">
        <v>49</v>
      </c>
      <c r="C69" s="17" t="s">
        <v>119</v>
      </c>
      <c r="D69" s="15"/>
      <c r="E69" s="77">
        <v>22639</v>
      </c>
      <c r="F69" s="13">
        <f>SUM(E69/1000)</f>
        <v>22.638999999999999</v>
      </c>
      <c r="G69" s="13">
        <v>165.21</v>
      </c>
      <c r="H69" s="94">
        <f t="shared" si="11"/>
        <v>3.7401891900000002</v>
      </c>
      <c r="I69" s="13">
        <f t="shared" ref="I69:I73" si="12">F69*G69</f>
        <v>3740.1891900000001</v>
      </c>
    </row>
    <row r="70" spans="1:22" ht="18.75" hidden="1" customHeight="1">
      <c r="A70" s="30">
        <v>28</v>
      </c>
      <c r="B70" s="15" t="s">
        <v>50</v>
      </c>
      <c r="C70" s="17" t="s">
        <v>76</v>
      </c>
      <c r="D70" s="15" t="s">
        <v>53</v>
      </c>
      <c r="E70" s="77">
        <v>3145</v>
      </c>
      <c r="F70" s="13">
        <f>SUM(E70/100)</f>
        <v>31.45</v>
      </c>
      <c r="G70" s="13">
        <v>2074.63</v>
      </c>
      <c r="H70" s="94">
        <f t="shared" si="11"/>
        <v>65.247113499999998</v>
      </c>
      <c r="I70" s="13">
        <f t="shared" si="12"/>
        <v>65247.113499999999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9.5" hidden="1" customHeight="1">
      <c r="A71" s="30">
        <v>29</v>
      </c>
      <c r="B71" s="95" t="s">
        <v>120</v>
      </c>
      <c r="C71" s="17" t="s">
        <v>33</v>
      </c>
      <c r="D71" s="15"/>
      <c r="E71" s="77">
        <v>20.28</v>
      </c>
      <c r="F71" s="13">
        <f>SUM(E71)</f>
        <v>20.28</v>
      </c>
      <c r="G71" s="13">
        <v>42.67</v>
      </c>
      <c r="H71" s="94">
        <f t="shared" si="11"/>
        <v>0.86534760000000011</v>
      </c>
      <c r="I71" s="13">
        <f t="shared" si="12"/>
        <v>865.34760000000006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4.25" hidden="1" customHeight="1">
      <c r="A72" s="30">
        <v>30</v>
      </c>
      <c r="B72" s="95" t="s">
        <v>145</v>
      </c>
      <c r="C72" s="17" t="s">
        <v>33</v>
      </c>
      <c r="D72" s="15"/>
      <c r="E72" s="77">
        <v>20.28</v>
      </c>
      <c r="F72" s="13">
        <f>SUM(E72)</f>
        <v>20.28</v>
      </c>
      <c r="G72" s="13">
        <v>39.81</v>
      </c>
      <c r="H72" s="94">
        <f t="shared" si="11"/>
        <v>0.80734680000000014</v>
      </c>
      <c r="I72" s="13">
        <f t="shared" si="12"/>
        <v>807.34680000000014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6.5" hidden="1" customHeight="1">
      <c r="A73" s="30">
        <v>12</v>
      </c>
      <c r="B73" s="15" t="s">
        <v>56</v>
      </c>
      <c r="C73" s="17" t="s">
        <v>57</v>
      </c>
      <c r="D73" s="15" t="s">
        <v>53</v>
      </c>
      <c r="E73" s="19">
        <v>15</v>
      </c>
      <c r="F73" s="78">
        <f>SUM(E73)</f>
        <v>15</v>
      </c>
      <c r="G73" s="13">
        <v>49.88</v>
      </c>
      <c r="H73" s="94">
        <f t="shared" si="11"/>
        <v>0.74820000000000009</v>
      </c>
      <c r="I73" s="13">
        <f t="shared" si="12"/>
        <v>748.2</v>
      </c>
      <c r="J73" s="5"/>
      <c r="K73" s="5"/>
      <c r="L73" s="5"/>
      <c r="M73" s="5"/>
      <c r="N73" s="5"/>
      <c r="O73" s="5"/>
      <c r="P73" s="5"/>
      <c r="Q73" s="5"/>
      <c r="R73" s="245"/>
      <c r="S73" s="245"/>
      <c r="T73" s="245"/>
      <c r="U73" s="245"/>
    </row>
    <row r="74" spans="1:22" ht="16.5" customHeight="1">
      <c r="A74" s="30"/>
      <c r="B74" s="157" t="s">
        <v>183</v>
      </c>
      <c r="C74" s="38"/>
      <c r="D74" s="37"/>
      <c r="E74" s="18"/>
      <c r="F74" s="158"/>
      <c r="G74" s="36"/>
      <c r="H74" s="94"/>
      <c r="I74" s="13"/>
      <c r="J74" s="5"/>
      <c r="K74" s="5"/>
      <c r="L74" s="5"/>
      <c r="M74" s="5"/>
      <c r="N74" s="5"/>
      <c r="O74" s="5"/>
      <c r="P74" s="5"/>
      <c r="Q74" s="5"/>
      <c r="R74" s="230"/>
      <c r="S74" s="230"/>
      <c r="T74" s="230"/>
      <c r="U74" s="230"/>
    </row>
    <row r="75" spans="1:22" ht="32.25" customHeight="1">
      <c r="A75" s="30">
        <v>17</v>
      </c>
      <c r="B75" s="37" t="s">
        <v>184</v>
      </c>
      <c r="C75" s="40" t="s">
        <v>185</v>
      </c>
      <c r="D75" s="37"/>
      <c r="E75" s="18">
        <v>5836.1</v>
      </c>
      <c r="F75" s="36">
        <f>E75*12</f>
        <v>70033.200000000012</v>
      </c>
      <c r="G75" s="36">
        <v>2.4900000000000002</v>
      </c>
      <c r="H75" s="94"/>
      <c r="I75" s="13">
        <f>G75*F75/12</f>
        <v>14531.889000000003</v>
      </c>
      <c r="J75" s="5"/>
      <c r="K75" s="5"/>
      <c r="L75" s="5"/>
      <c r="M75" s="5"/>
      <c r="N75" s="5"/>
      <c r="O75" s="5"/>
      <c r="P75" s="5"/>
      <c r="Q75" s="5"/>
      <c r="R75" s="230"/>
      <c r="S75" s="230"/>
      <c r="T75" s="230"/>
      <c r="U75" s="230"/>
    </row>
    <row r="76" spans="1:22" ht="17.25" customHeight="1">
      <c r="A76" s="30"/>
      <c r="B76" s="48" t="s">
        <v>72</v>
      </c>
      <c r="C76" s="48"/>
      <c r="D76" s="48"/>
      <c r="E76" s="48"/>
      <c r="F76" s="19"/>
      <c r="G76" s="30"/>
      <c r="H76" s="30"/>
      <c r="I76" s="19"/>
    </row>
    <row r="77" spans="1:22" ht="16.5" customHeight="1">
      <c r="A77" s="30">
        <v>18</v>
      </c>
      <c r="B77" s="15" t="s">
        <v>73</v>
      </c>
      <c r="C77" s="17" t="s">
        <v>31</v>
      </c>
      <c r="D77" s="15"/>
      <c r="E77" s="19">
        <v>5</v>
      </c>
      <c r="F77" s="96">
        <v>0.5</v>
      </c>
      <c r="G77" s="125">
        <v>719.08</v>
      </c>
      <c r="H77" s="94">
        <f>F77*G77/1000</f>
        <v>0.35954000000000003</v>
      </c>
      <c r="I77" s="13">
        <f>G77*1.6</f>
        <v>1150.528</v>
      </c>
    </row>
    <row r="78" spans="1:22" ht="17.25" hidden="1" customHeight="1">
      <c r="A78" s="30">
        <v>14</v>
      </c>
      <c r="B78" s="15" t="s">
        <v>124</v>
      </c>
      <c r="C78" s="17" t="s">
        <v>30</v>
      </c>
      <c r="D78" s="15"/>
      <c r="E78" s="19">
        <v>1</v>
      </c>
      <c r="F78" s="13">
        <v>1</v>
      </c>
      <c r="G78" s="13">
        <v>120.26</v>
      </c>
      <c r="H78" s="94">
        <f>G78*F78/1000</f>
        <v>0.12026000000000001</v>
      </c>
      <c r="I78" s="13">
        <f>G78</f>
        <v>120.26</v>
      </c>
    </row>
    <row r="79" spans="1:22" ht="18.75" hidden="1" customHeight="1">
      <c r="A79" s="30"/>
      <c r="B79" s="15" t="s">
        <v>123</v>
      </c>
      <c r="C79" s="17" t="s">
        <v>30</v>
      </c>
      <c r="D79" s="15"/>
      <c r="E79" s="19">
        <v>1</v>
      </c>
      <c r="F79" s="96">
        <v>1</v>
      </c>
      <c r="G79" s="13">
        <v>99.85</v>
      </c>
      <c r="H79" s="94">
        <f>G79*F79/1000</f>
        <v>9.9849999999999994E-2</v>
      </c>
      <c r="I79" s="13">
        <v>0</v>
      </c>
    </row>
    <row r="80" spans="1:22" ht="20.25" hidden="1" customHeight="1">
      <c r="A80" s="30"/>
      <c r="B80" s="15" t="s">
        <v>85</v>
      </c>
      <c r="C80" s="17" t="s">
        <v>30</v>
      </c>
      <c r="D80" s="15"/>
      <c r="E80" s="19">
        <v>2</v>
      </c>
      <c r="F80" s="78">
        <f>SUM(E80)</f>
        <v>2</v>
      </c>
      <c r="G80" s="13">
        <v>358.51</v>
      </c>
      <c r="H80" s="94">
        <f t="shared" ref="H80" si="13">SUM(F80*G80/1000)</f>
        <v>0.71701999999999999</v>
      </c>
      <c r="I80" s="13">
        <v>0</v>
      </c>
    </row>
    <row r="81" spans="1:21" ht="20.25" customHeight="1">
      <c r="A81" s="30">
        <v>19</v>
      </c>
      <c r="B81" s="106" t="s">
        <v>186</v>
      </c>
      <c r="C81" s="107" t="s">
        <v>116</v>
      </c>
      <c r="D81" s="37" t="s">
        <v>234</v>
      </c>
      <c r="E81" s="18">
        <v>1</v>
      </c>
      <c r="F81" s="36">
        <v>12</v>
      </c>
      <c r="G81" s="36">
        <v>58.39</v>
      </c>
      <c r="H81" s="94"/>
      <c r="I81" s="13">
        <f>G81*F81/12</f>
        <v>58.390000000000008</v>
      </c>
    </row>
    <row r="82" spans="1:21" ht="22.5" hidden="1" customHeight="1">
      <c r="A82" s="30"/>
      <c r="B82" s="49" t="s">
        <v>75</v>
      </c>
      <c r="C82" s="38"/>
      <c r="D82" s="30"/>
      <c r="E82" s="30"/>
      <c r="F82" s="19"/>
      <c r="G82" s="36"/>
      <c r="H82" s="36"/>
      <c r="I82" s="19"/>
    </row>
    <row r="83" spans="1:21" ht="24" hidden="1" customHeight="1">
      <c r="A83" s="30">
        <v>39</v>
      </c>
      <c r="B83" s="51" t="s">
        <v>125</v>
      </c>
      <c r="C83" s="17" t="s">
        <v>76</v>
      </c>
      <c r="D83" s="15"/>
      <c r="E83" s="19"/>
      <c r="F83" s="13">
        <v>1.35</v>
      </c>
      <c r="G83" s="13">
        <v>2759.44</v>
      </c>
      <c r="H83" s="94">
        <f t="shared" ref="H83" si="14">SUM(F83*G83/1000)</f>
        <v>3.725244</v>
      </c>
      <c r="I83" s="13">
        <v>0</v>
      </c>
    </row>
    <row r="84" spans="1:21" ht="23.25" hidden="1" customHeight="1">
      <c r="A84" s="232"/>
      <c r="B84" s="231" t="s">
        <v>121</v>
      </c>
      <c r="C84" s="231"/>
      <c r="D84" s="231"/>
      <c r="E84" s="231"/>
      <c r="F84" s="231"/>
      <c r="G84" s="231"/>
      <c r="H84" s="231"/>
      <c r="I84" s="1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21" hidden="1" customHeight="1">
      <c r="A85" s="30">
        <v>12</v>
      </c>
      <c r="B85" s="75" t="s">
        <v>122</v>
      </c>
      <c r="C85" s="17"/>
      <c r="D85" s="15"/>
      <c r="E85" s="97"/>
      <c r="F85" s="13">
        <v>1</v>
      </c>
      <c r="G85" s="13">
        <v>25286</v>
      </c>
      <c r="H85" s="94">
        <f>G85*F85/1000</f>
        <v>25.286000000000001</v>
      </c>
      <c r="I85" s="13">
        <f>G85</f>
        <v>25286</v>
      </c>
    </row>
    <row r="86" spans="1:21" ht="15.75" customHeight="1">
      <c r="A86" s="239" t="s">
        <v>137</v>
      </c>
      <c r="B86" s="240"/>
      <c r="C86" s="240"/>
      <c r="D86" s="240"/>
      <c r="E86" s="240"/>
      <c r="F86" s="240"/>
      <c r="G86" s="240"/>
      <c r="H86" s="240"/>
      <c r="I86" s="241"/>
    </row>
    <row r="87" spans="1:21" ht="15.75" customHeight="1">
      <c r="A87" s="30">
        <v>20</v>
      </c>
      <c r="B87" s="37" t="s">
        <v>126</v>
      </c>
      <c r="C87" s="38" t="s">
        <v>54</v>
      </c>
      <c r="D87" s="167"/>
      <c r="E87" s="36">
        <v>5836.1</v>
      </c>
      <c r="F87" s="36">
        <f>SUM(E87*12)</f>
        <v>70033.200000000012</v>
      </c>
      <c r="G87" s="36">
        <v>3.38</v>
      </c>
      <c r="H87" s="94">
        <f>SUM(F87*G87/1000)</f>
        <v>236.71221600000004</v>
      </c>
      <c r="I87" s="13">
        <f>F87/12*G87</f>
        <v>19726.018000000004</v>
      </c>
    </row>
    <row r="88" spans="1:21" ht="31.5" customHeight="1">
      <c r="A88" s="30">
        <v>21</v>
      </c>
      <c r="B88" s="37" t="s">
        <v>77</v>
      </c>
      <c r="C88" s="38"/>
      <c r="D88" s="170"/>
      <c r="E88" s="171">
        <f>E87</f>
        <v>5836.1</v>
      </c>
      <c r="F88" s="172">
        <f>E88*12</f>
        <v>70033.200000000012</v>
      </c>
      <c r="G88" s="172">
        <v>3.83</v>
      </c>
      <c r="H88" s="94">
        <f>F88*G88/1000</f>
        <v>268.22715600000009</v>
      </c>
      <c r="I88" s="13">
        <f>F88/12*G88</f>
        <v>22352.263000000006</v>
      </c>
    </row>
    <row r="89" spans="1:21" ht="15.75" customHeight="1">
      <c r="A89" s="232"/>
      <c r="B89" s="39" t="s">
        <v>79</v>
      </c>
      <c r="C89" s="40"/>
      <c r="D89" s="16"/>
      <c r="E89" s="16"/>
      <c r="F89" s="16"/>
      <c r="G89" s="19"/>
      <c r="H89" s="19"/>
      <c r="I89" s="32">
        <f>I88+I87+I81+I75+I66+I63+I59+I45+I44+I43+I42+I41+I40+I39+I27+I21+I20+I18+I17+I16+I77</f>
        <v>107073.25741333334</v>
      </c>
    </row>
    <row r="90" spans="1:21" ht="15.75" customHeight="1">
      <c r="A90" s="242" t="s">
        <v>59</v>
      </c>
      <c r="B90" s="243"/>
      <c r="C90" s="243"/>
      <c r="D90" s="243"/>
      <c r="E90" s="243"/>
      <c r="F90" s="243"/>
      <c r="G90" s="243"/>
      <c r="H90" s="243"/>
      <c r="I90" s="244"/>
    </row>
    <row r="91" spans="1:21" ht="18.75" customHeight="1">
      <c r="A91" s="30">
        <v>22</v>
      </c>
      <c r="B91" s="108" t="s">
        <v>188</v>
      </c>
      <c r="C91" s="38" t="s">
        <v>169</v>
      </c>
      <c r="D91" s="51"/>
      <c r="E91" s="36"/>
      <c r="F91" s="36">
        <f>(3+3+30+25+15+20+20+3+15+15+20+10+3+10+15+3+10)/3</f>
        <v>73.333333333333329</v>
      </c>
      <c r="G91" s="36">
        <v>273</v>
      </c>
      <c r="H91" s="98">
        <f t="shared" ref="H91" si="15">G91*F91/1000</f>
        <v>20.02</v>
      </c>
      <c r="I91" s="19">
        <f>G91*4</f>
        <v>1092</v>
      </c>
    </row>
    <row r="92" spans="1:21" ht="17.25" customHeight="1">
      <c r="A92" s="30">
        <v>23</v>
      </c>
      <c r="B92" s="106" t="s">
        <v>296</v>
      </c>
      <c r="C92" s="107" t="s">
        <v>25</v>
      </c>
      <c r="D92" s="51"/>
      <c r="E92" s="36"/>
      <c r="F92" s="36">
        <v>13</v>
      </c>
      <c r="G92" s="36">
        <v>1.4</v>
      </c>
      <c r="H92" s="98">
        <f>G92*F92/1000</f>
        <v>1.8200000000000001E-2</v>
      </c>
      <c r="I92" s="19">
        <f>G92*25</f>
        <v>35</v>
      </c>
    </row>
    <row r="93" spans="1:21" ht="14.25" customHeight="1">
      <c r="A93" s="30">
        <v>24</v>
      </c>
      <c r="B93" s="106" t="s">
        <v>209</v>
      </c>
      <c r="C93" s="107" t="s">
        <v>158</v>
      </c>
      <c r="D93" s="40" t="s">
        <v>302</v>
      </c>
      <c r="E93" s="18"/>
      <c r="F93" s="36">
        <f>2/100</f>
        <v>0.02</v>
      </c>
      <c r="G93" s="36">
        <v>214.07</v>
      </c>
      <c r="H93" s="98">
        <f>G93*F93/1000</f>
        <v>4.2813999999999994E-3</v>
      </c>
      <c r="I93" s="19">
        <f>G93*1</f>
        <v>214.07</v>
      </c>
    </row>
    <row r="94" spans="1:21" ht="18" customHeight="1">
      <c r="A94" s="30">
        <v>25</v>
      </c>
      <c r="B94" s="106" t="s">
        <v>288</v>
      </c>
      <c r="C94" s="107" t="s">
        <v>289</v>
      </c>
      <c r="D94" s="40"/>
      <c r="E94" s="18"/>
      <c r="F94" s="36"/>
      <c r="G94" s="36">
        <v>26095.37</v>
      </c>
      <c r="H94" s="98"/>
      <c r="I94" s="19">
        <f>G94*0.01</f>
        <v>260.95369999999997</v>
      </c>
    </row>
    <row r="95" spans="1:21" ht="30.75" customHeight="1">
      <c r="A95" s="30">
        <v>26</v>
      </c>
      <c r="B95" s="106" t="s">
        <v>297</v>
      </c>
      <c r="C95" s="107" t="s">
        <v>80</v>
      </c>
      <c r="D95" s="40" t="s">
        <v>300</v>
      </c>
      <c r="E95" s="18"/>
      <c r="F95" s="36"/>
      <c r="G95" s="36">
        <v>762.87</v>
      </c>
      <c r="H95" s="98"/>
      <c r="I95" s="19">
        <f>G95*6</f>
        <v>4577.22</v>
      </c>
    </row>
    <row r="96" spans="1:21" ht="18" customHeight="1">
      <c r="A96" s="30">
        <v>27</v>
      </c>
      <c r="B96" s="106" t="s">
        <v>298</v>
      </c>
      <c r="C96" s="107" t="s">
        <v>88</v>
      </c>
      <c r="D96" s="40" t="s">
        <v>299</v>
      </c>
      <c r="E96" s="18"/>
      <c r="F96" s="36"/>
      <c r="G96" s="36">
        <v>342.67</v>
      </c>
      <c r="H96" s="98"/>
      <c r="I96" s="19">
        <f>G96*1</f>
        <v>342.67</v>
      </c>
    </row>
    <row r="97" spans="1:9" ht="29.25" customHeight="1">
      <c r="A97" s="30">
        <v>28</v>
      </c>
      <c r="B97" s="132" t="s">
        <v>215</v>
      </c>
      <c r="C97" s="40" t="s">
        <v>213</v>
      </c>
      <c r="D97" s="40" t="s">
        <v>301</v>
      </c>
      <c r="E97" s="18"/>
      <c r="F97" s="36"/>
      <c r="G97" s="36">
        <v>441.25</v>
      </c>
      <c r="H97" s="98"/>
      <c r="I97" s="19">
        <f>G97*1</f>
        <v>441.25</v>
      </c>
    </row>
    <row r="98" spans="1:9" ht="29.25" customHeight="1">
      <c r="A98" s="30">
        <v>29</v>
      </c>
      <c r="B98" s="106" t="s">
        <v>150</v>
      </c>
      <c r="C98" s="107" t="s">
        <v>37</v>
      </c>
      <c r="D98" s="40"/>
      <c r="E98" s="18"/>
      <c r="F98" s="36"/>
      <c r="G98" s="36">
        <v>3914.31</v>
      </c>
      <c r="H98" s="98"/>
      <c r="I98" s="19">
        <f>G98*0.05</f>
        <v>195.71550000000002</v>
      </c>
    </row>
    <row r="99" spans="1:9" ht="15.75" customHeight="1">
      <c r="A99" s="30">
        <v>30</v>
      </c>
      <c r="B99" s="106" t="s">
        <v>81</v>
      </c>
      <c r="C99" s="107" t="s">
        <v>116</v>
      </c>
      <c r="D99" s="40"/>
      <c r="E99" s="18"/>
      <c r="F99" s="36"/>
      <c r="G99" s="36">
        <v>207.55</v>
      </c>
      <c r="H99" s="98"/>
      <c r="I99" s="19">
        <f>G99*2</f>
        <v>415.1</v>
      </c>
    </row>
    <row r="100" spans="1:9" ht="15.75" customHeight="1">
      <c r="A100" s="30">
        <v>31</v>
      </c>
      <c r="B100" s="106" t="s">
        <v>303</v>
      </c>
      <c r="C100" s="107" t="s">
        <v>304</v>
      </c>
      <c r="D100" s="40"/>
      <c r="E100" s="18"/>
      <c r="F100" s="36"/>
      <c r="G100" s="36">
        <v>477.34</v>
      </c>
      <c r="H100" s="98"/>
      <c r="I100" s="19">
        <f>G100*2</f>
        <v>954.68</v>
      </c>
    </row>
    <row r="101" spans="1:9" ht="15.75" customHeight="1">
      <c r="A101" s="30"/>
      <c r="B101" s="45" t="s">
        <v>51</v>
      </c>
      <c r="C101" s="41"/>
      <c r="D101" s="53"/>
      <c r="E101" s="53"/>
      <c r="F101" s="41"/>
      <c r="G101" s="41"/>
      <c r="H101" s="41"/>
      <c r="I101" s="32">
        <f>SUM(I91:I100)</f>
        <v>8528.6592000000001</v>
      </c>
    </row>
    <row r="102" spans="1:9" ht="15.75" customHeight="1">
      <c r="A102" s="30"/>
      <c r="B102" s="51" t="s">
        <v>78</v>
      </c>
      <c r="C102" s="16"/>
      <c r="D102" s="16"/>
      <c r="E102" s="16"/>
      <c r="F102" s="42"/>
      <c r="G102" s="43"/>
      <c r="H102" s="43"/>
      <c r="I102" s="18">
        <v>0</v>
      </c>
    </row>
    <row r="103" spans="1:9" ht="15.75" customHeight="1">
      <c r="A103" s="54"/>
      <c r="B103" s="46" t="s">
        <v>139</v>
      </c>
      <c r="C103" s="34"/>
      <c r="D103" s="34"/>
      <c r="E103" s="34"/>
      <c r="F103" s="34"/>
      <c r="G103" s="34"/>
      <c r="H103" s="34"/>
      <c r="I103" s="44">
        <f>I89+I101</f>
        <v>115601.91661333333</v>
      </c>
    </row>
    <row r="104" spans="1:9" ht="15.75" customHeight="1">
      <c r="A104" s="256" t="s">
        <v>305</v>
      </c>
      <c r="B104" s="256"/>
      <c r="C104" s="256"/>
      <c r="D104" s="256"/>
      <c r="E104" s="256"/>
      <c r="F104" s="256"/>
      <c r="G104" s="256"/>
      <c r="H104" s="256"/>
      <c r="I104" s="256"/>
    </row>
    <row r="105" spans="1:9" ht="15.75" customHeight="1">
      <c r="A105" s="66"/>
      <c r="B105" s="257" t="s">
        <v>306</v>
      </c>
      <c r="C105" s="257"/>
      <c r="D105" s="257"/>
      <c r="E105" s="257"/>
      <c r="F105" s="257"/>
      <c r="G105" s="257"/>
      <c r="H105" s="73"/>
      <c r="I105" s="3"/>
    </row>
    <row r="106" spans="1:9" ht="15.75" customHeight="1">
      <c r="A106" s="99"/>
      <c r="B106" s="258" t="s">
        <v>6</v>
      </c>
      <c r="C106" s="258"/>
      <c r="D106" s="258"/>
      <c r="E106" s="258"/>
      <c r="F106" s="258"/>
      <c r="G106" s="258"/>
      <c r="H106" s="25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59" t="s">
        <v>7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259" t="s">
        <v>8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 customHeight="1">
      <c r="A110" s="260" t="s">
        <v>60</v>
      </c>
      <c r="B110" s="260"/>
      <c r="C110" s="260"/>
      <c r="D110" s="260"/>
      <c r="E110" s="260"/>
      <c r="F110" s="260"/>
      <c r="G110" s="260"/>
      <c r="H110" s="260"/>
      <c r="I110" s="260"/>
    </row>
    <row r="111" spans="1:9" ht="15.75" customHeight="1">
      <c r="A111" s="11"/>
    </row>
    <row r="112" spans="1:9" ht="15.75" customHeight="1">
      <c r="A112" s="261" t="s">
        <v>9</v>
      </c>
      <c r="B112" s="261"/>
      <c r="C112" s="261"/>
      <c r="D112" s="261"/>
      <c r="E112" s="261"/>
      <c r="F112" s="261"/>
      <c r="G112" s="261"/>
      <c r="H112" s="261"/>
      <c r="I112" s="261"/>
    </row>
    <row r="113" spans="1:9" ht="15.75" customHeight="1">
      <c r="A113" s="4"/>
    </row>
    <row r="114" spans="1:9" ht="15.75" customHeight="1">
      <c r="B114" s="104" t="s">
        <v>10</v>
      </c>
      <c r="C114" s="262" t="s">
        <v>87</v>
      </c>
      <c r="D114" s="262"/>
      <c r="E114" s="262"/>
      <c r="F114" s="262"/>
      <c r="I114" s="105"/>
    </row>
    <row r="115" spans="1:9" ht="15.75" customHeight="1">
      <c r="A115" s="99"/>
      <c r="C115" s="258" t="s">
        <v>11</v>
      </c>
      <c r="D115" s="258"/>
      <c r="E115" s="258"/>
      <c r="F115" s="258"/>
      <c r="I115" s="103" t="s">
        <v>12</v>
      </c>
    </row>
    <row r="116" spans="1:9" ht="15.75" customHeight="1">
      <c r="A116" s="26"/>
      <c r="C116" s="12"/>
      <c r="D116" s="12"/>
      <c r="E116" s="12"/>
      <c r="G116" s="12"/>
      <c r="H116" s="12"/>
    </row>
    <row r="117" spans="1:9" ht="15.75" customHeight="1">
      <c r="B117" s="104" t="s">
        <v>13</v>
      </c>
      <c r="C117" s="264"/>
      <c r="D117" s="264"/>
      <c r="E117" s="264"/>
      <c r="F117" s="264"/>
      <c r="I117" s="105"/>
    </row>
    <row r="118" spans="1:9" ht="15.75" customHeight="1">
      <c r="A118" s="99"/>
      <c r="C118" s="245" t="s">
        <v>11</v>
      </c>
      <c r="D118" s="245"/>
      <c r="E118" s="245"/>
      <c r="F118" s="245"/>
      <c r="I118" s="103" t="s">
        <v>12</v>
      </c>
    </row>
    <row r="119" spans="1:9" ht="15.75" customHeight="1">
      <c r="A119" s="4" t="s">
        <v>14</v>
      </c>
    </row>
    <row r="120" spans="1:9" ht="15.75" customHeight="1">
      <c r="A120" s="265" t="s">
        <v>15</v>
      </c>
      <c r="B120" s="265"/>
      <c r="C120" s="265"/>
      <c r="D120" s="265"/>
      <c r="E120" s="265"/>
      <c r="F120" s="265"/>
      <c r="G120" s="265"/>
      <c r="H120" s="265"/>
      <c r="I120" s="265"/>
    </row>
    <row r="121" spans="1:9" ht="45" customHeight="1">
      <c r="A121" s="263" t="s">
        <v>16</v>
      </c>
      <c r="B121" s="263"/>
      <c r="C121" s="263"/>
      <c r="D121" s="263"/>
      <c r="E121" s="263"/>
      <c r="F121" s="263"/>
      <c r="G121" s="263"/>
      <c r="H121" s="263"/>
      <c r="I121" s="263"/>
    </row>
    <row r="122" spans="1:9" ht="30" customHeight="1">
      <c r="A122" s="263" t="s">
        <v>17</v>
      </c>
      <c r="B122" s="263"/>
      <c r="C122" s="263"/>
      <c r="D122" s="263"/>
      <c r="E122" s="263"/>
      <c r="F122" s="263"/>
      <c r="G122" s="263"/>
      <c r="H122" s="263"/>
      <c r="I122" s="263"/>
    </row>
    <row r="123" spans="1:9" ht="30" customHeight="1">
      <c r="A123" s="263" t="s">
        <v>21</v>
      </c>
      <c r="B123" s="263"/>
      <c r="C123" s="263"/>
      <c r="D123" s="263"/>
      <c r="E123" s="263"/>
      <c r="F123" s="263"/>
      <c r="G123" s="263"/>
      <c r="H123" s="263"/>
      <c r="I123" s="263"/>
    </row>
    <row r="124" spans="1:9" ht="15" customHeight="1">
      <c r="A124" s="263" t="s">
        <v>20</v>
      </c>
      <c r="B124" s="263"/>
      <c r="C124" s="263"/>
      <c r="D124" s="263"/>
      <c r="E124" s="263"/>
      <c r="F124" s="263"/>
      <c r="G124" s="263"/>
      <c r="H124" s="263"/>
      <c r="I124" s="263"/>
    </row>
  </sheetData>
  <autoFilter ref="I12:I68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3:U73"/>
    <mergeCell ref="C118:F118"/>
    <mergeCell ref="A90:I90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86:I86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3"/>
  <sheetViews>
    <sheetView tabSelected="1" workbookViewId="0">
      <selection activeCell="L99" sqref="L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161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307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43830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7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8.7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52" t="s">
        <v>83</v>
      </c>
      <c r="B29" s="252"/>
      <c r="C29" s="252"/>
      <c r="D29" s="252"/>
      <c r="E29" s="252"/>
      <c r="F29" s="252"/>
      <c r="G29" s="252"/>
      <c r="H29" s="252"/>
      <c r="I29" s="25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7</v>
      </c>
      <c r="B39" s="75" t="s">
        <v>26</v>
      </c>
      <c r="C39" s="76" t="s">
        <v>32</v>
      </c>
      <c r="D39" s="75" t="s">
        <v>308</v>
      </c>
      <c r="E39" s="77"/>
      <c r="F39" s="78">
        <v>10</v>
      </c>
      <c r="G39" s="123">
        <v>2189</v>
      </c>
      <c r="H39" s="79">
        <f t="shared" ref="H39" si="7">SUM(F39*G39/1000)</f>
        <v>21.89</v>
      </c>
      <c r="I39" s="13">
        <f>G39*1.4</f>
        <v>3064.6</v>
      </c>
      <c r="J39" s="24"/>
    </row>
    <row r="40" spans="1:14" ht="15.75" customHeight="1">
      <c r="A40" s="33">
        <v>8</v>
      </c>
      <c r="B40" s="152" t="s">
        <v>67</v>
      </c>
      <c r="C40" s="153" t="s">
        <v>29</v>
      </c>
      <c r="D40" s="152" t="s">
        <v>237</v>
      </c>
      <c r="E40" s="154">
        <v>567.9</v>
      </c>
      <c r="F40" s="154">
        <f>SUM(E40*30/1000)</f>
        <v>17.036999999999999</v>
      </c>
      <c r="G40" s="154">
        <v>3014.36</v>
      </c>
      <c r="H40" s="79">
        <f t="shared" ref="H40:H45" si="8">SUM(F40*G40/1000)</f>
        <v>51.35565132</v>
      </c>
      <c r="I40" s="13">
        <f>F40/6*G40</f>
        <v>8559.2752199999995</v>
      </c>
      <c r="J40" s="24"/>
    </row>
    <row r="41" spans="1:14" ht="18.75" hidden="1" customHeight="1">
      <c r="A41" s="33">
        <v>8</v>
      </c>
      <c r="B41" s="121" t="s">
        <v>68</v>
      </c>
      <c r="C41" s="122" t="s">
        <v>29</v>
      </c>
      <c r="D41" s="121" t="s">
        <v>238</v>
      </c>
      <c r="E41" s="123">
        <v>108</v>
      </c>
      <c r="F41" s="154">
        <f>SUM(E41*155/1000)</f>
        <v>16.739999999999998</v>
      </c>
      <c r="G41" s="123">
        <v>502.82</v>
      </c>
      <c r="H41" s="79">
        <f t="shared" si="8"/>
        <v>8.4172068000000007</v>
      </c>
      <c r="I41" s="13">
        <f>G41*F41/6</f>
        <v>1402.8678</v>
      </c>
      <c r="J41" s="24"/>
    </row>
    <row r="42" spans="1:14" ht="15.75" customHeight="1">
      <c r="A42" s="33">
        <v>9</v>
      </c>
      <c r="B42" s="121" t="s">
        <v>68</v>
      </c>
      <c r="C42" s="122" t="s">
        <v>29</v>
      </c>
      <c r="D42" s="121" t="s">
        <v>238</v>
      </c>
      <c r="E42" s="123">
        <v>108</v>
      </c>
      <c r="F42" s="154">
        <f>SUM(E42*155/1000)</f>
        <v>16.739999999999998</v>
      </c>
      <c r="G42" s="123">
        <v>502.82</v>
      </c>
      <c r="H42" s="79">
        <f t="shared" si="8"/>
        <v>8.4172068000000007</v>
      </c>
      <c r="I42" s="13">
        <f>G42*F42/6</f>
        <v>1402.8678</v>
      </c>
      <c r="J42" s="24"/>
    </row>
    <row r="43" spans="1:14" ht="47.25" customHeight="1">
      <c r="A43" s="33">
        <v>10</v>
      </c>
      <c r="B43" s="121" t="s">
        <v>82</v>
      </c>
      <c r="C43" s="122" t="s">
        <v>107</v>
      </c>
      <c r="D43" s="121" t="s">
        <v>239</v>
      </c>
      <c r="E43" s="123">
        <v>108</v>
      </c>
      <c r="F43" s="154">
        <f>SUM(E43*35/1000)</f>
        <v>3.78</v>
      </c>
      <c r="G43" s="123">
        <v>8319.2999999999993</v>
      </c>
      <c r="H43" s="79">
        <f t="shared" si="8"/>
        <v>31.446953999999995</v>
      </c>
      <c r="I43" s="13">
        <f>F43/6*G43</f>
        <v>5241.1589999999997</v>
      </c>
      <c r="J43" s="24"/>
    </row>
    <row r="44" spans="1:14" ht="15.75" customHeight="1">
      <c r="A44" s="33">
        <v>11</v>
      </c>
      <c r="B44" s="121" t="s">
        <v>112</v>
      </c>
      <c r="C44" s="122" t="s">
        <v>107</v>
      </c>
      <c r="D44" s="121" t="s">
        <v>239</v>
      </c>
      <c r="E44" s="123">
        <v>108</v>
      </c>
      <c r="F44" s="154">
        <f>SUM(E44*35/1000)</f>
        <v>3.78</v>
      </c>
      <c r="G44" s="123">
        <v>614.55999999999995</v>
      </c>
      <c r="H44" s="79">
        <f t="shared" si="8"/>
        <v>2.3230367999999997</v>
      </c>
      <c r="I44" s="13">
        <f>F44/7.5*G44</f>
        <v>309.73823999999996</v>
      </c>
      <c r="J44" s="24"/>
      <c r="L44" s="20"/>
      <c r="M44" s="21"/>
      <c r="N44" s="22"/>
    </row>
    <row r="45" spans="1:14" ht="15.75" customHeight="1">
      <c r="A45" s="33">
        <v>12</v>
      </c>
      <c r="B45" s="152" t="s">
        <v>70</v>
      </c>
      <c r="C45" s="153" t="s">
        <v>33</v>
      </c>
      <c r="D45" s="152"/>
      <c r="E45" s="151"/>
      <c r="F45" s="154">
        <v>0.9</v>
      </c>
      <c r="G45" s="154">
        <v>800</v>
      </c>
      <c r="H45" s="79">
        <f t="shared" si="8"/>
        <v>0.72</v>
      </c>
      <c r="I45" s="13">
        <f>F45/7.5*G45</f>
        <v>96.000000000000014</v>
      </c>
      <c r="J45" s="24"/>
      <c r="L45" s="20"/>
      <c r="M45" s="21"/>
      <c r="N45" s="22"/>
    </row>
    <row r="46" spans="1:14" ht="28.5" customHeight="1">
      <c r="A46" s="189"/>
      <c r="B46" s="152" t="s">
        <v>178</v>
      </c>
      <c r="C46" s="153" t="s">
        <v>107</v>
      </c>
      <c r="D46" s="152" t="s">
        <v>240</v>
      </c>
      <c r="E46" s="151">
        <v>3</v>
      </c>
      <c r="F46" s="154">
        <f>E46*12/1000</f>
        <v>3.5999999999999997E-2</v>
      </c>
      <c r="G46" s="154">
        <v>19757.060000000001</v>
      </c>
      <c r="H46" s="79">
        <f t="shared" ref="H46" si="9">SUM(F46*G46/1000)</f>
        <v>0.71125415999999997</v>
      </c>
      <c r="I46" s="13">
        <f>G46*F46/6</f>
        <v>118.54235999999999</v>
      </c>
      <c r="J46" s="24"/>
      <c r="L46" s="20"/>
      <c r="M46" s="21"/>
      <c r="N46" s="22"/>
    </row>
    <row r="47" spans="1:14" ht="15.75" customHeight="1">
      <c r="A47" s="253" t="s">
        <v>136</v>
      </c>
      <c r="B47" s="254"/>
      <c r="C47" s="254"/>
      <c r="D47" s="254"/>
      <c r="E47" s="254"/>
      <c r="F47" s="254"/>
      <c r="G47" s="254"/>
      <c r="H47" s="254"/>
      <c r="I47" s="255"/>
      <c r="J47" s="24"/>
      <c r="L47" s="20"/>
      <c r="M47" s="21"/>
      <c r="N47" s="22"/>
    </row>
    <row r="48" spans="1:14" ht="15.75" hidden="1" customHeight="1">
      <c r="A48" s="40">
        <v>10</v>
      </c>
      <c r="B48" s="75" t="s">
        <v>113</v>
      </c>
      <c r="C48" s="76" t="s">
        <v>107</v>
      </c>
      <c r="D48" s="75" t="s">
        <v>41</v>
      </c>
      <c r="E48" s="77">
        <v>1571.3</v>
      </c>
      <c r="F48" s="78">
        <f>SUM(E48*2/1000)</f>
        <v>3.1425999999999998</v>
      </c>
      <c r="G48" s="13">
        <v>849.49</v>
      </c>
      <c r="H48" s="79">
        <f t="shared" ref="H48:H56" si="10">SUM(F48*G48/1000)</f>
        <v>2.6696072740000001</v>
      </c>
      <c r="I48" s="13">
        <f t="shared" ref="I48:I50" si="11">F48/2*G48</f>
        <v>1334.803637</v>
      </c>
      <c r="J48" s="24"/>
      <c r="L48" s="20"/>
      <c r="M48" s="21"/>
      <c r="N48" s="22"/>
    </row>
    <row r="49" spans="1:14" ht="15.75" hidden="1" customHeight="1">
      <c r="A49" s="40">
        <v>11</v>
      </c>
      <c r="B49" s="75" t="s">
        <v>34</v>
      </c>
      <c r="C49" s="76" t="s">
        <v>107</v>
      </c>
      <c r="D49" s="75" t="s">
        <v>41</v>
      </c>
      <c r="E49" s="77">
        <v>92.8</v>
      </c>
      <c r="F49" s="78">
        <f>SUM(E49*2/1000)</f>
        <v>0.18559999999999999</v>
      </c>
      <c r="G49" s="13">
        <v>579.48</v>
      </c>
      <c r="H49" s="79">
        <f t="shared" si="10"/>
        <v>0.10755148799999999</v>
      </c>
      <c r="I49" s="13">
        <f t="shared" si="11"/>
        <v>53.775743999999996</v>
      </c>
      <c r="J49" s="24"/>
      <c r="L49" s="20"/>
      <c r="M49" s="21"/>
      <c r="N49" s="22"/>
    </row>
    <row r="50" spans="1:14" ht="15.75" hidden="1" customHeight="1">
      <c r="A50" s="40">
        <v>12</v>
      </c>
      <c r="B50" s="75" t="s">
        <v>35</v>
      </c>
      <c r="C50" s="76" t="s">
        <v>107</v>
      </c>
      <c r="D50" s="75" t="s">
        <v>41</v>
      </c>
      <c r="E50" s="77">
        <v>4737.7</v>
      </c>
      <c r="F50" s="78">
        <f>SUM(E50*2/1000)</f>
        <v>9.4754000000000005</v>
      </c>
      <c r="G50" s="13">
        <v>579.48</v>
      </c>
      <c r="H50" s="79">
        <f t="shared" si="10"/>
        <v>5.4908047920000005</v>
      </c>
      <c r="I50" s="13">
        <f t="shared" si="11"/>
        <v>2745.4023960000004</v>
      </c>
      <c r="J50" s="24"/>
      <c r="L50" s="20"/>
      <c r="M50" s="21"/>
      <c r="N50" s="22"/>
    </row>
    <row r="51" spans="1:14" ht="15.75" hidden="1" customHeight="1">
      <c r="A51" s="40">
        <v>13</v>
      </c>
      <c r="B51" s="75" t="s">
        <v>36</v>
      </c>
      <c r="C51" s="76" t="s">
        <v>107</v>
      </c>
      <c r="D51" s="75" t="s">
        <v>41</v>
      </c>
      <c r="E51" s="77">
        <v>2811.99</v>
      </c>
      <c r="F51" s="78">
        <f>SUM(E51*2/1000)</f>
        <v>5.6239799999999995</v>
      </c>
      <c r="G51" s="13">
        <v>606.77</v>
      </c>
      <c r="H51" s="79">
        <f t="shared" si="10"/>
        <v>3.4124623445999998</v>
      </c>
      <c r="I51" s="13">
        <f>F51/2*G51</f>
        <v>1706.2311722999998</v>
      </c>
      <c r="J51" s="24"/>
      <c r="L51" s="20"/>
      <c r="M51" s="21"/>
      <c r="N51" s="22"/>
    </row>
    <row r="52" spans="1:14" ht="15.75" customHeight="1">
      <c r="A52" s="40">
        <v>13</v>
      </c>
      <c r="B52" s="121" t="s">
        <v>55</v>
      </c>
      <c r="C52" s="122" t="s">
        <v>107</v>
      </c>
      <c r="D52" s="121" t="s">
        <v>234</v>
      </c>
      <c r="E52" s="140">
        <v>5836.1</v>
      </c>
      <c r="F52" s="123">
        <f>SUM(E52*5/1000)</f>
        <v>29.180499999999999</v>
      </c>
      <c r="G52" s="36">
        <v>1739.68</v>
      </c>
      <c r="H52" s="79">
        <f t="shared" si="10"/>
        <v>50.764732240000001</v>
      </c>
      <c r="I52" s="13">
        <f>F52/5*G52</f>
        <v>10152.946448000001</v>
      </c>
      <c r="J52" s="24"/>
      <c r="L52" s="20"/>
      <c r="M52" s="21"/>
      <c r="N52" s="22"/>
    </row>
    <row r="53" spans="1:14" ht="31.5" hidden="1" customHeight="1">
      <c r="A53" s="40">
        <v>10</v>
      </c>
      <c r="B53" s="75" t="s">
        <v>114</v>
      </c>
      <c r="C53" s="76" t="s">
        <v>107</v>
      </c>
      <c r="D53" s="75" t="s">
        <v>41</v>
      </c>
      <c r="E53" s="77">
        <v>1571.3</v>
      </c>
      <c r="F53" s="78">
        <f>SUM(E53*2/1000)</f>
        <v>3.1425999999999998</v>
      </c>
      <c r="G53" s="13">
        <v>1213.55</v>
      </c>
      <c r="H53" s="79">
        <f t="shared" si="10"/>
        <v>3.8137022300000001</v>
      </c>
      <c r="I53" s="13">
        <f t="shared" ref="I53:I54" si="12">F53/2*G53</f>
        <v>1906.8511149999999</v>
      </c>
      <c r="J53" s="24"/>
      <c r="L53" s="20"/>
      <c r="M53" s="21"/>
      <c r="N53" s="22"/>
    </row>
    <row r="54" spans="1:14" ht="31.5" hidden="1" customHeight="1">
      <c r="A54" s="40">
        <v>11</v>
      </c>
      <c r="B54" s="75" t="s">
        <v>115</v>
      </c>
      <c r="C54" s="76" t="s">
        <v>37</v>
      </c>
      <c r="D54" s="75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10"/>
        <v>2.1843919999999999</v>
      </c>
      <c r="I54" s="13">
        <f t="shared" si="12"/>
        <v>1092.1959999999999</v>
      </c>
      <c r="J54" s="24"/>
      <c r="L54" s="20"/>
      <c r="M54" s="21"/>
      <c r="N54" s="22"/>
    </row>
    <row r="55" spans="1:14" ht="15.75" hidden="1" customHeight="1">
      <c r="A55" s="40">
        <v>12</v>
      </c>
      <c r="B55" s="75" t="s">
        <v>38</v>
      </c>
      <c r="C55" s="76" t="s">
        <v>39</v>
      </c>
      <c r="D55" s="75" t="s">
        <v>41</v>
      </c>
      <c r="E55" s="77">
        <v>1</v>
      </c>
      <c r="F55" s="78">
        <v>0.02</v>
      </c>
      <c r="G55" s="13">
        <v>5652.13</v>
      </c>
      <c r="H55" s="79">
        <f t="shared" si="10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hidden="1" customHeight="1">
      <c r="A56" s="40">
        <v>13</v>
      </c>
      <c r="B56" s="75" t="s">
        <v>40</v>
      </c>
      <c r="C56" s="76" t="s">
        <v>116</v>
      </c>
      <c r="D56" s="75" t="s">
        <v>71</v>
      </c>
      <c r="E56" s="77">
        <v>238</v>
      </c>
      <c r="F56" s="78">
        <f>SUM(E56)*3</f>
        <v>714</v>
      </c>
      <c r="G56" s="13">
        <v>65.67</v>
      </c>
      <c r="H56" s="79">
        <f t="shared" si="10"/>
        <v>46.888380000000005</v>
      </c>
      <c r="I56" s="13">
        <f>E56*G56</f>
        <v>15629.460000000001</v>
      </c>
      <c r="J56" s="24"/>
      <c r="L56" s="20"/>
      <c r="M56" s="21"/>
      <c r="N56" s="22"/>
    </row>
    <row r="57" spans="1:14" ht="15.75" customHeight="1">
      <c r="A57" s="239" t="s">
        <v>137</v>
      </c>
      <c r="B57" s="240"/>
      <c r="C57" s="240"/>
      <c r="D57" s="240"/>
      <c r="E57" s="240"/>
      <c r="F57" s="240"/>
      <c r="G57" s="240"/>
      <c r="H57" s="240"/>
      <c r="I57" s="241"/>
      <c r="J57" s="24"/>
      <c r="L57" s="20"/>
      <c r="M57" s="21"/>
      <c r="N57" s="22"/>
    </row>
    <row r="58" spans="1:14" ht="15.75" customHeight="1">
      <c r="A58" s="102"/>
      <c r="B58" s="47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0">
        <v>13</v>
      </c>
      <c r="B59" s="75" t="s">
        <v>132</v>
      </c>
      <c r="C59" s="76" t="s">
        <v>100</v>
      </c>
      <c r="D59" s="75" t="s">
        <v>117</v>
      </c>
      <c r="E59" s="77">
        <v>48</v>
      </c>
      <c r="F59" s="78">
        <f>E59*6/100</f>
        <v>2.88</v>
      </c>
      <c r="G59" s="85">
        <v>1547.28</v>
      </c>
      <c r="H59" s="79">
        <f>F59*G59/1000</f>
        <v>4.4561663999999999</v>
      </c>
      <c r="I59" s="13">
        <f>F59/6*G59</f>
        <v>742.69439999999997</v>
      </c>
      <c r="J59" s="24"/>
      <c r="L59" s="20"/>
      <c r="M59" s="21"/>
      <c r="N59" s="22"/>
    </row>
    <row r="60" spans="1:14" ht="15.75" customHeight="1">
      <c r="A60" s="40">
        <v>14</v>
      </c>
      <c r="B60" s="37" t="s">
        <v>92</v>
      </c>
      <c r="C60" s="38" t="s">
        <v>100</v>
      </c>
      <c r="D60" s="37" t="s">
        <v>234</v>
      </c>
      <c r="E60" s="236">
        <v>17.579999999999998</v>
      </c>
      <c r="F60" s="114">
        <f>E60*6/100</f>
        <v>1.0548</v>
      </c>
      <c r="G60" s="155">
        <v>2218.11</v>
      </c>
      <c r="H60" s="90">
        <f>F60*G60/1000</f>
        <v>2.339662428</v>
      </c>
      <c r="I60" s="13">
        <f>F60/6*G60</f>
        <v>389.943738</v>
      </c>
      <c r="J60" s="24"/>
      <c r="L60" s="20"/>
      <c r="M60" s="21"/>
      <c r="N60" s="22"/>
    </row>
    <row r="61" spans="1:14" ht="15.75" hidden="1" customHeight="1">
      <c r="A61" s="40">
        <v>15</v>
      </c>
      <c r="B61" s="86" t="s">
        <v>96</v>
      </c>
      <c r="C61" s="87" t="s">
        <v>97</v>
      </c>
      <c r="D61" s="86" t="s">
        <v>41</v>
      </c>
      <c r="E61" s="88">
        <v>8</v>
      </c>
      <c r="F61" s="89">
        <v>16</v>
      </c>
      <c r="G61" s="91">
        <v>180.78</v>
      </c>
      <c r="H61" s="90">
        <f>F61*G61/1000</f>
        <v>2.8924799999999999</v>
      </c>
      <c r="I61" s="13">
        <f>F61/2*G61</f>
        <v>1446.24</v>
      </c>
      <c r="J61" s="24"/>
      <c r="L61" s="20"/>
      <c r="M61" s="21"/>
      <c r="N61" s="22"/>
    </row>
    <row r="62" spans="1:14" ht="15.75" customHeight="1">
      <c r="A62" s="40"/>
      <c r="B62" s="101" t="s">
        <v>43</v>
      </c>
      <c r="C62" s="101"/>
      <c r="D62" s="101"/>
      <c r="E62" s="101"/>
      <c r="F62" s="101"/>
      <c r="G62" s="101"/>
      <c r="H62" s="101"/>
      <c r="I62" s="35"/>
      <c r="J62" s="24"/>
      <c r="L62" s="20"/>
      <c r="M62" s="21"/>
      <c r="N62" s="22"/>
    </row>
    <row r="63" spans="1:14" ht="15.75" customHeight="1">
      <c r="A63" s="40">
        <v>15</v>
      </c>
      <c r="B63" s="86" t="s">
        <v>93</v>
      </c>
      <c r="C63" s="87" t="s">
        <v>25</v>
      </c>
      <c r="D63" s="86" t="s">
        <v>144</v>
      </c>
      <c r="E63" s="88">
        <v>331.5</v>
      </c>
      <c r="F63" s="89">
        <v>2400</v>
      </c>
      <c r="G63" s="92">
        <v>1.4</v>
      </c>
      <c r="H63" s="90">
        <f>G63*F63/1000</f>
        <v>3.36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0">
        <v>14</v>
      </c>
      <c r="B64" s="86" t="s">
        <v>44</v>
      </c>
      <c r="C64" s="87" t="s">
        <v>25</v>
      </c>
      <c r="D64" s="86" t="s">
        <v>53</v>
      </c>
      <c r="E64" s="88">
        <v>1571.3</v>
      </c>
      <c r="F64" s="89">
        <f>E64/100</f>
        <v>15.712999999999999</v>
      </c>
      <c r="G64" s="93">
        <v>793.61</v>
      </c>
      <c r="H64" s="90">
        <f>G64*F64/1000</f>
        <v>12.469993929999999</v>
      </c>
      <c r="I64" s="13">
        <v>0</v>
      </c>
      <c r="J64" s="24"/>
      <c r="L64" s="20"/>
      <c r="M64" s="21"/>
      <c r="N64" s="22"/>
    </row>
    <row r="65" spans="1:22" ht="15.75" customHeight="1">
      <c r="A65" s="40"/>
      <c r="B65" s="101" t="s">
        <v>45</v>
      </c>
      <c r="C65" s="17"/>
      <c r="D65" s="37"/>
      <c r="E65" s="37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0">
        <v>16</v>
      </c>
      <c r="B66" s="15" t="s">
        <v>46</v>
      </c>
      <c r="C66" s="17" t="s">
        <v>116</v>
      </c>
      <c r="D66" s="15" t="s">
        <v>239</v>
      </c>
      <c r="E66" s="19">
        <v>35</v>
      </c>
      <c r="F66" s="78">
        <v>35</v>
      </c>
      <c r="G66" s="125">
        <v>318.82</v>
      </c>
      <c r="H66" s="94">
        <f t="shared" ref="H66:H73" si="13">SUM(F66*G66/1000)</f>
        <v>11.1587</v>
      </c>
      <c r="I66" s="13">
        <f>G66*6</f>
        <v>1912.92</v>
      </c>
      <c r="J66" s="24"/>
      <c r="L66" s="20"/>
    </row>
    <row r="67" spans="1:22" ht="15.75" hidden="1" customHeight="1">
      <c r="A67" s="30">
        <v>29</v>
      </c>
      <c r="B67" s="15" t="s">
        <v>47</v>
      </c>
      <c r="C67" s="17" t="s">
        <v>116</v>
      </c>
      <c r="D67" s="15" t="s">
        <v>66</v>
      </c>
      <c r="E67" s="19">
        <v>17</v>
      </c>
      <c r="F67" s="78">
        <v>20</v>
      </c>
      <c r="G67" s="13">
        <v>76.25</v>
      </c>
      <c r="H67" s="94">
        <f t="shared" si="13"/>
        <v>1.5249999999999999</v>
      </c>
      <c r="I67" s="13">
        <v>0</v>
      </c>
    </row>
    <row r="68" spans="1:22" ht="15.75" hidden="1" customHeight="1">
      <c r="A68" s="30">
        <v>26</v>
      </c>
      <c r="B68" s="15" t="s">
        <v>48</v>
      </c>
      <c r="C68" s="17" t="s">
        <v>118</v>
      </c>
      <c r="D68" s="15" t="s">
        <v>53</v>
      </c>
      <c r="E68" s="77">
        <v>22639</v>
      </c>
      <c r="F68" s="13">
        <f>SUM(E68/100)</f>
        <v>226.39</v>
      </c>
      <c r="G68" s="13">
        <v>212.15</v>
      </c>
      <c r="H68" s="94">
        <f t="shared" si="13"/>
        <v>48.0286385</v>
      </c>
      <c r="I68" s="13">
        <f>F68*G68</f>
        <v>48028.638500000001</v>
      </c>
    </row>
    <row r="69" spans="1:22" ht="15.75" hidden="1" customHeight="1">
      <c r="A69" s="30">
        <v>27</v>
      </c>
      <c r="B69" s="15" t="s">
        <v>49</v>
      </c>
      <c r="C69" s="17" t="s">
        <v>119</v>
      </c>
      <c r="D69" s="15"/>
      <c r="E69" s="77">
        <v>22639</v>
      </c>
      <c r="F69" s="13">
        <f>SUM(E69/1000)</f>
        <v>22.638999999999999</v>
      </c>
      <c r="G69" s="13">
        <v>165.21</v>
      </c>
      <c r="H69" s="94">
        <f t="shared" si="13"/>
        <v>3.7401891900000002</v>
      </c>
      <c r="I69" s="13">
        <f t="shared" ref="I69:I73" si="14">F69*G69</f>
        <v>3740.1891900000001</v>
      </c>
    </row>
    <row r="70" spans="1:22" ht="15.75" hidden="1" customHeight="1">
      <c r="A70" s="30">
        <v>28</v>
      </c>
      <c r="B70" s="15" t="s">
        <v>50</v>
      </c>
      <c r="C70" s="17" t="s">
        <v>76</v>
      </c>
      <c r="D70" s="15" t="s">
        <v>53</v>
      </c>
      <c r="E70" s="77">
        <v>3145</v>
      </c>
      <c r="F70" s="13">
        <f>SUM(E70/100)</f>
        <v>31.45</v>
      </c>
      <c r="G70" s="13">
        <v>2074.63</v>
      </c>
      <c r="H70" s="94">
        <f t="shared" si="13"/>
        <v>65.247113499999998</v>
      </c>
      <c r="I70" s="13">
        <f t="shared" si="14"/>
        <v>65247.113499999999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5.75" hidden="1" customHeight="1">
      <c r="A71" s="30">
        <v>29</v>
      </c>
      <c r="B71" s="95" t="s">
        <v>120</v>
      </c>
      <c r="C71" s="17" t="s">
        <v>33</v>
      </c>
      <c r="D71" s="15"/>
      <c r="E71" s="77">
        <v>20.28</v>
      </c>
      <c r="F71" s="13">
        <f>SUM(E71)</f>
        <v>20.28</v>
      </c>
      <c r="G71" s="13">
        <v>42.67</v>
      </c>
      <c r="H71" s="94">
        <f t="shared" si="13"/>
        <v>0.86534760000000011</v>
      </c>
      <c r="I71" s="13">
        <f t="shared" si="14"/>
        <v>865.34760000000006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5.75" hidden="1" customHeight="1">
      <c r="A72" s="30">
        <v>30</v>
      </c>
      <c r="B72" s="95" t="s">
        <v>145</v>
      </c>
      <c r="C72" s="17" t="s">
        <v>33</v>
      </c>
      <c r="D72" s="15"/>
      <c r="E72" s="77">
        <v>20.28</v>
      </c>
      <c r="F72" s="13">
        <f>SUM(E72)</f>
        <v>20.28</v>
      </c>
      <c r="G72" s="13">
        <v>39.81</v>
      </c>
      <c r="H72" s="94">
        <f t="shared" si="13"/>
        <v>0.80734680000000014</v>
      </c>
      <c r="I72" s="13">
        <f t="shared" si="14"/>
        <v>807.34680000000014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5.75" hidden="1" customHeight="1">
      <c r="A73" s="30">
        <v>12</v>
      </c>
      <c r="B73" s="15" t="s">
        <v>56</v>
      </c>
      <c r="C73" s="17" t="s">
        <v>57</v>
      </c>
      <c r="D73" s="15" t="s">
        <v>53</v>
      </c>
      <c r="E73" s="19">
        <v>15</v>
      </c>
      <c r="F73" s="78">
        <f>SUM(E73)</f>
        <v>15</v>
      </c>
      <c r="G73" s="13">
        <v>49.88</v>
      </c>
      <c r="H73" s="94">
        <f t="shared" si="13"/>
        <v>0.74820000000000009</v>
      </c>
      <c r="I73" s="13">
        <f t="shared" si="14"/>
        <v>748.2</v>
      </c>
      <c r="J73" s="5"/>
      <c r="K73" s="5"/>
      <c r="L73" s="5"/>
      <c r="M73" s="5"/>
      <c r="N73" s="5"/>
      <c r="O73" s="5"/>
      <c r="P73" s="5"/>
      <c r="Q73" s="5"/>
      <c r="R73" s="245"/>
      <c r="S73" s="245"/>
      <c r="T73" s="245"/>
      <c r="U73" s="245"/>
    </row>
    <row r="74" spans="1:22" ht="15.75" customHeight="1">
      <c r="A74" s="30"/>
      <c r="B74" s="157" t="s">
        <v>183</v>
      </c>
      <c r="C74" s="38"/>
      <c r="D74" s="37"/>
      <c r="E74" s="18"/>
      <c r="F74" s="158"/>
      <c r="G74" s="36"/>
      <c r="H74" s="94"/>
      <c r="I74" s="13"/>
      <c r="J74" s="5"/>
      <c r="K74" s="5"/>
      <c r="L74" s="5"/>
      <c r="M74" s="5"/>
      <c r="N74" s="5"/>
      <c r="O74" s="5"/>
      <c r="P74" s="5"/>
      <c r="Q74" s="5"/>
      <c r="R74" s="238"/>
      <c r="S74" s="238"/>
      <c r="T74" s="238"/>
      <c r="U74" s="238"/>
    </row>
    <row r="75" spans="1:22" ht="33" customHeight="1">
      <c r="A75" s="30">
        <v>17</v>
      </c>
      <c r="B75" s="37" t="s">
        <v>184</v>
      </c>
      <c r="C75" s="40" t="s">
        <v>185</v>
      </c>
      <c r="D75" s="37"/>
      <c r="E75" s="18">
        <v>5836.1</v>
      </c>
      <c r="F75" s="36">
        <f>E75*12</f>
        <v>70033.200000000012</v>
      </c>
      <c r="G75" s="36">
        <v>2.4900000000000002</v>
      </c>
      <c r="H75" s="94"/>
      <c r="I75" s="13">
        <f>G75*F75/12</f>
        <v>14531.889000000003</v>
      </c>
      <c r="J75" s="5"/>
      <c r="K75" s="5"/>
      <c r="L75" s="5"/>
      <c r="M75" s="5"/>
      <c r="N75" s="5"/>
      <c r="O75" s="5"/>
      <c r="P75" s="5"/>
      <c r="Q75" s="5"/>
      <c r="R75" s="238"/>
      <c r="S75" s="238"/>
      <c r="T75" s="238"/>
      <c r="U75" s="238"/>
    </row>
    <row r="76" spans="1:22" ht="16.5" customHeight="1">
      <c r="A76" s="30"/>
      <c r="B76" s="48" t="s">
        <v>72</v>
      </c>
      <c r="C76" s="48"/>
      <c r="D76" s="48"/>
      <c r="E76" s="48"/>
      <c r="F76" s="19"/>
      <c r="G76" s="30"/>
      <c r="H76" s="30"/>
      <c r="I76" s="19"/>
    </row>
    <row r="77" spans="1:22" ht="18.75" hidden="1" customHeight="1">
      <c r="A77" s="30">
        <v>17</v>
      </c>
      <c r="B77" s="15" t="s">
        <v>73</v>
      </c>
      <c r="C77" s="17" t="s">
        <v>31</v>
      </c>
      <c r="D77" s="15"/>
      <c r="E77" s="19">
        <v>5</v>
      </c>
      <c r="F77" s="96">
        <v>0.5</v>
      </c>
      <c r="G77" s="13">
        <v>501.62</v>
      </c>
      <c r="H77" s="94">
        <f>F77*G77/1000</f>
        <v>0.25080999999999998</v>
      </c>
      <c r="I77" s="13">
        <f>G77*0.1</f>
        <v>50.162000000000006</v>
      </c>
    </row>
    <row r="78" spans="1:22" ht="19.5" hidden="1" customHeight="1">
      <c r="A78" s="30">
        <v>14</v>
      </c>
      <c r="B78" s="15" t="s">
        <v>124</v>
      </c>
      <c r="C78" s="17" t="s">
        <v>30</v>
      </c>
      <c r="D78" s="15"/>
      <c r="E78" s="19">
        <v>1</v>
      </c>
      <c r="F78" s="13">
        <v>1</v>
      </c>
      <c r="G78" s="13">
        <v>120.26</v>
      </c>
      <c r="H78" s="94">
        <f>G78*F78/1000</f>
        <v>0.12026000000000001</v>
      </c>
      <c r="I78" s="13">
        <f>G78</f>
        <v>120.26</v>
      </c>
    </row>
    <row r="79" spans="1:22" ht="21" hidden="1" customHeight="1">
      <c r="A79" s="30"/>
      <c r="B79" s="15" t="s">
        <v>123</v>
      </c>
      <c r="C79" s="17" t="s">
        <v>30</v>
      </c>
      <c r="D79" s="15"/>
      <c r="E79" s="19">
        <v>1</v>
      </c>
      <c r="F79" s="96">
        <v>1</v>
      </c>
      <c r="G79" s="13">
        <v>99.85</v>
      </c>
      <c r="H79" s="94">
        <f>G79*F79/1000</f>
        <v>9.9849999999999994E-2</v>
      </c>
      <c r="I79" s="13">
        <v>0</v>
      </c>
    </row>
    <row r="80" spans="1:22" ht="17.25" hidden="1" customHeight="1">
      <c r="A80" s="30"/>
      <c r="B80" s="15" t="s">
        <v>85</v>
      </c>
      <c r="C80" s="17" t="s">
        <v>30</v>
      </c>
      <c r="D80" s="15"/>
      <c r="E80" s="19">
        <v>2</v>
      </c>
      <c r="F80" s="78">
        <f>SUM(E80)</f>
        <v>2</v>
      </c>
      <c r="G80" s="13">
        <v>358.51</v>
      </c>
      <c r="H80" s="94">
        <f t="shared" ref="H80" si="15">SUM(F80*G80/1000)</f>
        <v>0.71701999999999999</v>
      </c>
      <c r="I80" s="13">
        <v>0</v>
      </c>
    </row>
    <row r="81" spans="1:21" ht="21" hidden="1" customHeight="1">
      <c r="A81" s="30">
        <v>18</v>
      </c>
      <c r="B81" s="15" t="s">
        <v>74</v>
      </c>
      <c r="C81" s="17" t="s">
        <v>30</v>
      </c>
      <c r="D81" s="15"/>
      <c r="E81" s="19">
        <v>2</v>
      </c>
      <c r="F81" s="13">
        <v>2</v>
      </c>
      <c r="G81" s="13">
        <v>852.99</v>
      </c>
      <c r="H81" s="94">
        <f>F81*G81/1000</f>
        <v>1.7059800000000001</v>
      </c>
      <c r="I81" s="13">
        <f>G81</f>
        <v>852.99</v>
      </c>
    </row>
    <row r="82" spans="1:21" ht="21" customHeight="1">
      <c r="A82" s="30">
        <v>18</v>
      </c>
      <c r="B82" s="106" t="s">
        <v>186</v>
      </c>
      <c r="C82" s="107" t="s">
        <v>116</v>
      </c>
      <c r="D82" s="37" t="s">
        <v>234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16.5" hidden="1" customHeight="1">
      <c r="A83" s="30"/>
      <c r="B83" s="49" t="s">
        <v>75</v>
      </c>
      <c r="C83" s="38"/>
      <c r="D83" s="30"/>
      <c r="E83" s="30"/>
      <c r="F83" s="19"/>
      <c r="G83" s="36"/>
      <c r="H83" s="36"/>
      <c r="I83" s="19"/>
    </row>
    <row r="84" spans="1:21" ht="15.75" hidden="1" customHeight="1">
      <c r="A84" s="30">
        <v>39</v>
      </c>
      <c r="B84" s="51" t="s">
        <v>125</v>
      </c>
      <c r="C84" s="17" t="s">
        <v>76</v>
      </c>
      <c r="D84" s="15"/>
      <c r="E84" s="19"/>
      <c r="F84" s="13">
        <v>1.35</v>
      </c>
      <c r="G84" s="13">
        <v>2759.44</v>
      </c>
      <c r="H84" s="94">
        <f t="shared" ref="H84" si="16">SUM(F84*G84/1000)</f>
        <v>3.725244</v>
      </c>
      <c r="I84" s="13">
        <v>0</v>
      </c>
    </row>
    <row r="85" spans="1:21" ht="18" hidden="1" customHeight="1">
      <c r="A85" s="102"/>
      <c r="B85" s="101" t="s">
        <v>121</v>
      </c>
      <c r="C85" s="101"/>
      <c r="D85" s="101"/>
      <c r="E85" s="101"/>
      <c r="F85" s="101"/>
      <c r="G85" s="101"/>
      <c r="H85" s="101"/>
      <c r="I85" s="1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9.5" hidden="1" customHeight="1">
      <c r="A86" s="30">
        <v>12</v>
      </c>
      <c r="B86" s="75" t="s">
        <v>122</v>
      </c>
      <c r="C86" s="17"/>
      <c r="D86" s="15"/>
      <c r="E86" s="97"/>
      <c r="F86" s="13">
        <v>1</v>
      </c>
      <c r="G86" s="13">
        <v>25286</v>
      </c>
      <c r="H86" s="94">
        <f>G86*F86/1000</f>
        <v>25.286000000000001</v>
      </c>
      <c r="I86" s="13">
        <f>G86</f>
        <v>25286</v>
      </c>
    </row>
    <row r="87" spans="1:21" ht="15.75" customHeight="1">
      <c r="A87" s="239" t="s">
        <v>138</v>
      </c>
      <c r="B87" s="240"/>
      <c r="C87" s="240"/>
      <c r="D87" s="240"/>
      <c r="E87" s="240"/>
      <c r="F87" s="240"/>
      <c r="G87" s="240"/>
      <c r="H87" s="240"/>
      <c r="I87" s="241"/>
    </row>
    <row r="88" spans="1:21" ht="15.75" customHeight="1">
      <c r="A88" s="30">
        <v>19</v>
      </c>
      <c r="B88" s="37" t="s">
        <v>126</v>
      </c>
      <c r="C88" s="38" t="s">
        <v>54</v>
      </c>
      <c r="D88" s="167"/>
      <c r="E88" s="36">
        <v>5836.1</v>
      </c>
      <c r="F88" s="36">
        <f>SUM(E88*12)</f>
        <v>70033.200000000012</v>
      </c>
      <c r="G88" s="36">
        <v>3.38</v>
      </c>
      <c r="H88" s="94">
        <f>SUM(F88*G88/1000)</f>
        <v>236.71221600000004</v>
      </c>
      <c r="I88" s="13">
        <f>F88/12*G88</f>
        <v>19726.018000000004</v>
      </c>
    </row>
    <row r="89" spans="1:21" ht="31.5" customHeight="1">
      <c r="A89" s="30">
        <v>20</v>
      </c>
      <c r="B89" s="37" t="s">
        <v>77</v>
      </c>
      <c r="C89" s="38"/>
      <c r="D89" s="170"/>
      <c r="E89" s="171">
        <f>E88</f>
        <v>5836.1</v>
      </c>
      <c r="F89" s="172">
        <f>E89*12</f>
        <v>70033.200000000012</v>
      </c>
      <c r="G89" s="172">
        <v>3.83</v>
      </c>
      <c r="H89" s="94">
        <f>F89*G89/1000</f>
        <v>268.22715600000009</v>
      </c>
      <c r="I89" s="13">
        <f>F89/12*G89</f>
        <v>22352.263000000006</v>
      </c>
    </row>
    <row r="90" spans="1:21" ht="15.75" customHeight="1">
      <c r="A90" s="102"/>
      <c r="B90" s="39" t="s">
        <v>79</v>
      </c>
      <c r="C90" s="40"/>
      <c r="D90" s="16"/>
      <c r="E90" s="16"/>
      <c r="F90" s="16"/>
      <c r="G90" s="19"/>
      <c r="H90" s="19"/>
      <c r="I90" s="32">
        <f>I89+I88+I82+I75+I63+I60+I52+I46+I45+I44+I43+I42+I40+I39+I27+I21+I20+I18+I17+I16+I66</f>
        <v>118264.67586133335</v>
      </c>
    </row>
    <row r="91" spans="1:21" ht="15.75" customHeight="1">
      <c r="A91" s="242" t="s">
        <v>59</v>
      </c>
      <c r="B91" s="243"/>
      <c r="C91" s="243"/>
      <c r="D91" s="243"/>
      <c r="E91" s="243"/>
      <c r="F91" s="243"/>
      <c r="G91" s="243"/>
      <c r="H91" s="243"/>
      <c r="I91" s="244"/>
    </row>
    <row r="92" spans="1:21" ht="18" customHeight="1">
      <c r="A92" s="30">
        <v>21</v>
      </c>
      <c r="B92" s="108" t="s">
        <v>188</v>
      </c>
      <c r="C92" s="38" t="s">
        <v>169</v>
      </c>
      <c r="D92" s="17"/>
      <c r="E92" s="36"/>
      <c r="F92" s="36">
        <f>(3+3+30+25+15+20+20+3+15+15+20+10+3+10+15+3+10)/3</f>
        <v>73.333333333333329</v>
      </c>
      <c r="G92" s="36">
        <v>273</v>
      </c>
      <c r="H92" s="98">
        <f t="shared" ref="H92" si="17">G92*F92/1000</f>
        <v>20.02</v>
      </c>
      <c r="I92" s="19">
        <f>G92*28</f>
        <v>7644</v>
      </c>
    </row>
    <row r="93" spans="1:21" ht="21" customHeight="1">
      <c r="A93" s="30">
        <v>22</v>
      </c>
      <c r="B93" s="108" t="s">
        <v>175</v>
      </c>
      <c r="C93" s="38" t="s">
        <v>176</v>
      </c>
      <c r="D93" s="17"/>
      <c r="E93" s="36"/>
      <c r="F93" s="36">
        <v>13</v>
      </c>
      <c r="G93" s="36">
        <v>218</v>
      </c>
      <c r="H93" s="98">
        <f>G93*F93/1000</f>
        <v>2.8340000000000001</v>
      </c>
      <c r="I93" s="19">
        <f>G93*2</f>
        <v>436</v>
      </c>
    </row>
    <row r="94" spans="1:21" ht="16.5" customHeight="1">
      <c r="A94" s="30">
        <v>23</v>
      </c>
      <c r="B94" s="110" t="s">
        <v>165</v>
      </c>
      <c r="C94" s="107" t="s">
        <v>116</v>
      </c>
      <c r="D94" s="17" t="s">
        <v>299</v>
      </c>
      <c r="E94" s="36"/>
      <c r="F94" s="36"/>
      <c r="G94" s="36">
        <v>207.32</v>
      </c>
      <c r="H94" s="98"/>
      <c r="I94" s="19">
        <f>G94*1</f>
        <v>207.32</v>
      </c>
    </row>
    <row r="95" spans="1:21" ht="16.5" customHeight="1">
      <c r="A95" s="30">
        <v>24</v>
      </c>
      <c r="B95" s="106" t="s">
        <v>209</v>
      </c>
      <c r="C95" s="107" t="s">
        <v>158</v>
      </c>
      <c r="D95" s="17" t="s">
        <v>309</v>
      </c>
      <c r="E95" s="36"/>
      <c r="F95" s="36"/>
      <c r="G95" s="36">
        <v>214.07</v>
      </c>
      <c r="H95" s="98"/>
      <c r="I95" s="19">
        <f>G95*1</f>
        <v>214.07</v>
      </c>
    </row>
    <row r="96" spans="1:21" ht="16.5" customHeight="1">
      <c r="A96" s="30">
        <v>25</v>
      </c>
      <c r="B96" s="106" t="s">
        <v>81</v>
      </c>
      <c r="C96" s="107" t="s">
        <v>116</v>
      </c>
      <c r="D96" s="17"/>
      <c r="E96" s="36"/>
      <c r="F96" s="36"/>
      <c r="G96" s="36">
        <v>207.55</v>
      </c>
      <c r="H96" s="98"/>
      <c r="I96" s="19">
        <f>G96*3</f>
        <v>622.65000000000009</v>
      </c>
    </row>
    <row r="97" spans="1:9" ht="31.5" customHeight="1">
      <c r="A97" s="30">
        <v>26</v>
      </c>
      <c r="B97" s="106" t="s">
        <v>154</v>
      </c>
      <c r="C97" s="107" t="s">
        <v>155</v>
      </c>
      <c r="D97" s="17" t="s">
        <v>310</v>
      </c>
      <c r="E97" s="36"/>
      <c r="F97" s="36"/>
      <c r="G97" s="36">
        <v>59.21</v>
      </c>
      <c r="H97" s="98"/>
      <c r="I97" s="19">
        <f>G97*1</f>
        <v>59.21</v>
      </c>
    </row>
    <row r="98" spans="1:9" ht="28.5" customHeight="1">
      <c r="A98" s="30">
        <v>27</v>
      </c>
      <c r="B98" s="106" t="s">
        <v>150</v>
      </c>
      <c r="C98" s="107" t="s">
        <v>37</v>
      </c>
      <c r="D98" s="51"/>
      <c r="E98" s="36"/>
      <c r="F98" s="36"/>
      <c r="G98" s="36">
        <v>3914.31</v>
      </c>
      <c r="H98" s="98"/>
      <c r="I98" s="19">
        <f>G98*0.01</f>
        <v>39.143099999999997</v>
      </c>
    </row>
    <row r="99" spans="1:9" ht="15.75" customHeight="1">
      <c r="A99" s="30">
        <v>28</v>
      </c>
      <c r="B99" s="106" t="s">
        <v>288</v>
      </c>
      <c r="C99" s="107" t="s">
        <v>289</v>
      </c>
      <c r="D99" s="51"/>
      <c r="E99" s="36"/>
      <c r="F99" s="36"/>
      <c r="G99" s="125">
        <v>26095.37</v>
      </c>
      <c r="H99" s="98"/>
      <c r="I99" s="19">
        <f>G99*0.01</f>
        <v>260.95369999999997</v>
      </c>
    </row>
    <row r="100" spans="1:9" ht="15.75" customHeight="1">
      <c r="A100" s="30"/>
      <c r="B100" s="45" t="s">
        <v>51</v>
      </c>
      <c r="C100" s="41"/>
      <c r="D100" s="53"/>
      <c r="E100" s="53"/>
      <c r="F100" s="41">
        <v>1</v>
      </c>
      <c r="G100" s="41"/>
      <c r="H100" s="41"/>
      <c r="I100" s="32">
        <f>SUM(I92:I99)</f>
        <v>9483.3467999999975</v>
      </c>
    </row>
    <row r="101" spans="1:9" ht="15.75" customHeight="1">
      <c r="A101" s="30"/>
      <c r="B101" s="51" t="s">
        <v>78</v>
      </c>
      <c r="C101" s="16"/>
      <c r="D101" s="16"/>
      <c r="E101" s="16"/>
      <c r="F101" s="42"/>
      <c r="G101" s="43"/>
      <c r="H101" s="43"/>
      <c r="I101" s="18">
        <v>0</v>
      </c>
    </row>
    <row r="102" spans="1:9" ht="15.75" customHeight="1">
      <c r="A102" s="54"/>
      <c r="B102" s="46" t="s">
        <v>139</v>
      </c>
      <c r="C102" s="34"/>
      <c r="D102" s="34"/>
      <c r="E102" s="34"/>
      <c r="F102" s="34"/>
      <c r="G102" s="34"/>
      <c r="H102" s="34"/>
      <c r="I102" s="44">
        <f>I90+I100</f>
        <v>127748.02266133335</v>
      </c>
    </row>
    <row r="103" spans="1:9" ht="15.75" customHeight="1">
      <c r="A103" s="256" t="s">
        <v>311</v>
      </c>
      <c r="B103" s="256"/>
      <c r="C103" s="256"/>
      <c r="D103" s="256"/>
      <c r="E103" s="256"/>
      <c r="F103" s="256"/>
      <c r="G103" s="256"/>
      <c r="H103" s="256"/>
      <c r="I103" s="256"/>
    </row>
    <row r="104" spans="1:9" ht="15.75" customHeight="1">
      <c r="A104" s="66"/>
      <c r="B104" s="257" t="s">
        <v>312</v>
      </c>
      <c r="C104" s="257"/>
      <c r="D104" s="257"/>
      <c r="E104" s="257"/>
      <c r="F104" s="257"/>
      <c r="G104" s="257"/>
      <c r="H104" s="73"/>
      <c r="I104" s="3"/>
    </row>
    <row r="105" spans="1:9" ht="15.75" customHeight="1">
      <c r="A105" s="99"/>
      <c r="B105" s="258" t="s">
        <v>6</v>
      </c>
      <c r="C105" s="258"/>
      <c r="D105" s="258"/>
      <c r="E105" s="258"/>
      <c r="F105" s="258"/>
      <c r="G105" s="258"/>
      <c r="H105" s="25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59" t="s">
        <v>7</v>
      </c>
      <c r="B107" s="259"/>
      <c r="C107" s="259"/>
      <c r="D107" s="259"/>
      <c r="E107" s="259"/>
      <c r="F107" s="259"/>
      <c r="G107" s="259"/>
      <c r="H107" s="259"/>
      <c r="I107" s="259"/>
    </row>
    <row r="108" spans="1:9" ht="15.75" customHeight="1">
      <c r="A108" s="259" t="s">
        <v>8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260" t="s">
        <v>60</v>
      </c>
      <c r="B109" s="260"/>
      <c r="C109" s="260"/>
      <c r="D109" s="260"/>
      <c r="E109" s="260"/>
      <c r="F109" s="260"/>
      <c r="G109" s="260"/>
      <c r="H109" s="260"/>
      <c r="I109" s="260"/>
    </row>
    <row r="110" spans="1:9" ht="15.75" customHeight="1">
      <c r="A110" s="11"/>
    </row>
    <row r="111" spans="1:9" ht="15.75" customHeight="1">
      <c r="A111" s="261" t="s">
        <v>9</v>
      </c>
      <c r="B111" s="261"/>
      <c r="C111" s="261"/>
      <c r="D111" s="261"/>
      <c r="E111" s="261"/>
      <c r="F111" s="261"/>
      <c r="G111" s="261"/>
      <c r="H111" s="261"/>
      <c r="I111" s="261"/>
    </row>
    <row r="112" spans="1:9" ht="15.75" customHeight="1">
      <c r="A112" s="4"/>
    </row>
    <row r="113" spans="1:9" ht="15.75" customHeight="1">
      <c r="B113" s="104" t="s">
        <v>10</v>
      </c>
      <c r="C113" s="262" t="s">
        <v>87</v>
      </c>
      <c r="D113" s="262"/>
      <c r="E113" s="262"/>
      <c r="F113" s="262"/>
      <c r="I113" s="105"/>
    </row>
    <row r="114" spans="1:9" ht="15.75" customHeight="1">
      <c r="A114" s="99"/>
      <c r="C114" s="258" t="s">
        <v>11</v>
      </c>
      <c r="D114" s="258"/>
      <c r="E114" s="258"/>
      <c r="F114" s="258"/>
      <c r="I114" s="103" t="s">
        <v>12</v>
      </c>
    </row>
    <row r="115" spans="1:9" ht="15.75" customHeight="1">
      <c r="A115" s="26"/>
      <c r="C115" s="12"/>
      <c r="D115" s="12"/>
      <c r="E115" s="12"/>
      <c r="G115" s="12"/>
      <c r="H115" s="12"/>
    </row>
    <row r="116" spans="1:9" ht="15.75" customHeight="1">
      <c r="B116" s="104" t="s">
        <v>13</v>
      </c>
      <c r="C116" s="264"/>
      <c r="D116" s="264"/>
      <c r="E116" s="264"/>
      <c r="F116" s="264"/>
      <c r="I116" s="105"/>
    </row>
    <row r="117" spans="1:9" ht="15.75" customHeight="1">
      <c r="A117" s="99"/>
      <c r="C117" s="245" t="s">
        <v>11</v>
      </c>
      <c r="D117" s="245"/>
      <c r="E117" s="245"/>
      <c r="F117" s="245"/>
      <c r="I117" s="103" t="s">
        <v>12</v>
      </c>
    </row>
    <row r="118" spans="1:9" ht="15.75" customHeight="1">
      <c r="A118" s="4" t="s">
        <v>14</v>
      </c>
    </row>
    <row r="119" spans="1:9" ht="15.75" customHeight="1">
      <c r="A119" s="265" t="s">
        <v>15</v>
      </c>
      <c r="B119" s="265"/>
      <c r="C119" s="265"/>
      <c r="D119" s="265"/>
      <c r="E119" s="265"/>
      <c r="F119" s="265"/>
      <c r="G119" s="265"/>
      <c r="H119" s="265"/>
      <c r="I119" s="265"/>
    </row>
    <row r="120" spans="1:9" ht="45" customHeight="1">
      <c r="A120" s="263" t="s">
        <v>16</v>
      </c>
      <c r="B120" s="263"/>
      <c r="C120" s="263"/>
      <c r="D120" s="263"/>
      <c r="E120" s="263"/>
      <c r="F120" s="263"/>
      <c r="G120" s="263"/>
      <c r="H120" s="263"/>
      <c r="I120" s="263"/>
    </row>
    <row r="121" spans="1:9" ht="30" customHeight="1">
      <c r="A121" s="263" t="s">
        <v>17</v>
      </c>
      <c r="B121" s="263"/>
      <c r="C121" s="263"/>
      <c r="D121" s="263"/>
      <c r="E121" s="263"/>
      <c r="F121" s="263"/>
      <c r="G121" s="263"/>
      <c r="H121" s="263"/>
      <c r="I121" s="263"/>
    </row>
    <row r="122" spans="1:9" ht="30" customHeight="1">
      <c r="A122" s="263" t="s">
        <v>21</v>
      </c>
      <c r="B122" s="263"/>
      <c r="C122" s="263"/>
      <c r="D122" s="263"/>
      <c r="E122" s="263"/>
      <c r="F122" s="263"/>
      <c r="G122" s="263"/>
      <c r="H122" s="263"/>
      <c r="I122" s="263"/>
    </row>
    <row r="123" spans="1:9" ht="15" customHeight="1">
      <c r="A123" s="263" t="s">
        <v>20</v>
      </c>
      <c r="B123" s="263"/>
      <c r="C123" s="263"/>
      <c r="D123" s="263"/>
      <c r="E123" s="263"/>
      <c r="F123" s="263"/>
      <c r="G123" s="263"/>
      <c r="H123" s="263"/>
      <c r="I123" s="263"/>
    </row>
  </sheetData>
  <autoFilter ref="I12:I68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73:U73"/>
    <mergeCell ref="C117:F117"/>
    <mergeCell ref="A91:I91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87:I87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3"/>
  <sheetViews>
    <sheetView topLeftCell="A75" workbookViewId="0">
      <selection activeCell="C97" sqref="C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5.85546875" hidden="1" customWidth="1"/>
    <col min="6" max="6" width="1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193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146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194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43524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5.75" hidden="1" customHeight="1">
      <c r="A19" s="30"/>
      <c r="B19" s="121" t="s">
        <v>101</v>
      </c>
      <c r="C19" s="122" t="s">
        <v>102</v>
      </c>
      <c r="D19" s="121" t="s">
        <v>103</v>
      </c>
      <c r="E19" s="146">
        <v>51.2</v>
      </c>
      <c r="F19" s="147">
        <f>SUM(E19/10)</f>
        <v>5.12</v>
      </c>
      <c r="G19" s="147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21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0.2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hidden="1" customHeight="1">
      <c r="A22" s="30"/>
      <c r="B22" s="121" t="s">
        <v>104</v>
      </c>
      <c r="C22" s="122" t="s">
        <v>52</v>
      </c>
      <c r="D22" s="121" t="s">
        <v>103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9.5" hidden="1" customHeight="1">
      <c r="A23" s="30"/>
      <c r="B23" s="121" t="s">
        <v>105</v>
      </c>
      <c r="C23" s="122" t="s">
        <v>52</v>
      </c>
      <c r="D23" s="121" t="s">
        <v>103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" hidden="1" customHeight="1">
      <c r="A24" s="30"/>
      <c r="B24" s="121" t="s">
        <v>98</v>
      </c>
      <c r="C24" s="122" t="s">
        <v>52</v>
      </c>
      <c r="D24" s="121" t="s">
        <v>53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7.25" hidden="1" customHeight="1">
      <c r="A25" s="40">
        <v>6</v>
      </c>
      <c r="B25" s="121" t="s">
        <v>128</v>
      </c>
      <c r="C25" s="122" t="s">
        <v>52</v>
      </c>
      <c r="D25" s="121" t="s">
        <v>53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121" t="s">
        <v>99</v>
      </c>
      <c r="C26" s="122" t="s">
        <v>52</v>
      </c>
      <c r="D26" s="121" t="s">
        <v>53</v>
      </c>
      <c r="E26" s="146">
        <v>37.5</v>
      </c>
      <c r="F26" s="147">
        <f>SUM(E26/100)</f>
        <v>0.375</v>
      </c>
      <c r="G26" s="147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106</v>
      </c>
      <c r="C30" s="76" t="s">
        <v>107</v>
      </c>
      <c r="D30" s="75" t="s">
        <v>108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141</v>
      </c>
      <c r="C31" s="76" t="s">
        <v>107</v>
      </c>
      <c r="D31" s="75" t="s">
        <v>109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107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129</v>
      </c>
      <c r="C33" s="76" t="s">
        <v>39</v>
      </c>
      <c r="D33" s="75" t="s">
        <v>140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110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5.75" hidden="1" customHeight="1">
      <c r="A38" s="33">
        <v>8</v>
      </c>
      <c r="B38" s="75" t="s">
        <v>26</v>
      </c>
      <c r="C38" s="76" t="s">
        <v>32</v>
      </c>
      <c r="D38" s="75"/>
      <c r="E38" s="77"/>
      <c r="F38" s="78">
        <v>10</v>
      </c>
      <c r="G38" s="78">
        <v>1527.22</v>
      </c>
      <c r="H38" s="79">
        <f t="shared" ref="H38:H43" si="4">SUM(F38*G38/1000)</f>
        <v>15.272200000000002</v>
      </c>
      <c r="I38" s="13">
        <f>F38/6*G38</f>
        <v>2545.3666666666668</v>
      </c>
      <c r="J38" s="24"/>
    </row>
    <row r="39" spans="1:14" ht="15.75" customHeight="1">
      <c r="A39" s="33">
        <v>7</v>
      </c>
      <c r="B39" s="152" t="s">
        <v>67</v>
      </c>
      <c r="C39" s="153" t="s">
        <v>29</v>
      </c>
      <c r="D39" s="152" t="s">
        <v>237</v>
      </c>
      <c r="E39" s="154">
        <v>567.9</v>
      </c>
      <c r="F39" s="154">
        <f>SUM(E39*30/1000)</f>
        <v>17.036999999999999</v>
      </c>
      <c r="G39" s="154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8.75" customHeight="1">
      <c r="A40" s="33">
        <v>8</v>
      </c>
      <c r="B40" s="121" t="s">
        <v>68</v>
      </c>
      <c r="C40" s="122" t="s">
        <v>29</v>
      </c>
      <c r="D40" s="121" t="s">
        <v>238</v>
      </c>
      <c r="E40" s="123">
        <v>108</v>
      </c>
      <c r="F40" s="154">
        <f>SUM(E40*155/1000)</f>
        <v>16.739999999999998</v>
      </c>
      <c r="G40" s="123">
        <v>502.82</v>
      </c>
      <c r="H40" s="79">
        <f t="shared" si="4"/>
        <v>8.4172068000000007</v>
      </c>
      <c r="I40" s="13">
        <f>G40*F40/6</f>
        <v>1402.8678</v>
      </c>
      <c r="J40" s="24"/>
    </row>
    <row r="41" spans="1:14" ht="47.25" customHeight="1">
      <c r="A41" s="33">
        <v>9</v>
      </c>
      <c r="B41" s="121" t="s">
        <v>82</v>
      </c>
      <c r="C41" s="122" t="s">
        <v>107</v>
      </c>
      <c r="D41" s="121" t="s">
        <v>239</v>
      </c>
      <c r="E41" s="123">
        <v>108</v>
      </c>
      <c r="F41" s="154">
        <f>SUM(E41*35/1000)</f>
        <v>3.78</v>
      </c>
      <c r="G41" s="123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15.75" customHeight="1">
      <c r="A42" s="33">
        <v>10</v>
      </c>
      <c r="B42" s="121" t="s">
        <v>112</v>
      </c>
      <c r="C42" s="122" t="s">
        <v>107</v>
      </c>
      <c r="D42" s="121" t="s">
        <v>239</v>
      </c>
      <c r="E42" s="123">
        <v>108</v>
      </c>
      <c r="F42" s="154">
        <f>SUM(E42*35/1000)</f>
        <v>3.78</v>
      </c>
      <c r="G42" s="123">
        <v>614.55999999999995</v>
      </c>
      <c r="H42" s="79">
        <f t="shared" si="4"/>
        <v>2.3230367999999997</v>
      </c>
      <c r="I42" s="13">
        <f>F42/7.5*G42</f>
        <v>309.73823999999996</v>
      </c>
      <c r="J42" s="24"/>
      <c r="L42" s="20"/>
      <c r="M42" s="21"/>
      <c r="N42" s="22"/>
    </row>
    <row r="43" spans="1:14" ht="15.75" customHeight="1">
      <c r="A43" s="144">
        <v>11</v>
      </c>
      <c r="B43" s="180" t="s">
        <v>70</v>
      </c>
      <c r="C43" s="181" t="s">
        <v>33</v>
      </c>
      <c r="D43" s="180"/>
      <c r="E43" s="182"/>
      <c r="F43" s="183">
        <v>0.9</v>
      </c>
      <c r="G43" s="183">
        <v>800</v>
      </c>
      <c r="H43" s="90">
        <f t="shared" si="4"/>
        <v>0.72</v>
      </c>
      <c r="I43" s="117">
        <f>F43/7.5*G43</f>
        <v>96.000000000000014</v>
      </c>
      <c r="J43" s="24"/>
      <c r="L43" s="20"/>
      <c r="M43" s="21"/>
      <c r="N43" s="22"/>
    </row>
    <row r="44" spans="1:14" ht="31.5" customHeight="1">
      <c r="A44" s="33">
        <v>12</v>
      </c>
      <c r="B44" s="152" t="s">
        <v>178</v>
      </c>
      <c r="C44" s="153" t="s">
        <v>107</v>
      </c>
      <c r="D44" s="152" t="s">
        <v>244</v>
      </c>
      <c r="E44" s="151">
        <v>3</v>
      </c>
      <c r="F44" s="154">
        <f>E44*12/1000</f>
        <v>3.5999999999999997E-2</v>
      </c>
      <c r="G44" s="154">
        <v>19757.060000000001</v>
      </c>
      <c r="H44" s="13"/>
      <c r="I44" s="13">
        <f>G44*F44/6</f>
        <v>118.54235999999999</v>
      </c>
      <c r="J44" s="24"/>
      <c r="L44" s="20"/>
      <c r="M44" s="21"/>
      <c r="N44" s="22"/>
    </row>
    <row r="45" spans="1:14" ht="15.75" customHeight="1">
      <c r="A45" s="253" t="s">
        <v>166</v>
      </c>
      <c r="B45" s="254"/>
      <c r="C45" s="254"/>
      <c r="D45" s="254"/>
      <c r="E45" s="254"/>
      <c r="F45" s="254"/>
      <c r="G45" s="254"/>
      <c r="H45" s="254"/>
      <c r="I45" s="255"/>
      <c r="J45" s="24"/>
      <c r="L45" s="20"/>
      <c r="M45" s="21"/>
      <c r="N45" s="22"/>
    </row>
    <row r="46" spans="1:14" ht="15.75" hidden="1" customHeight="1">
      <c r="A46" s="40">
        <v>15</v>
      </c>
      <c r="B46" s="75" t="s">
        <v>113</v>
      </c>
      <c r="C46" s="76" t="s">
        <v>107</v>
      </c>
      <c r="D46" s="75" t="s">
        <v>41</v>
      </c>
      <c r="E46" s="77">
        <v>1571.3</v>
      </c>
      <c r="F46" s="78">
        <f>SUM(E46*2/1000)</f>
        <v>3.1425999999999998</v>
      </c>
      <c r="G46" s="13">
        <v>849.49</v>
      </c>
      <c r="H46" s="79">
        <f t="shared" ref="H46:H54" si="5">SUM(F46*G46/1000)</f>
        <v>2.6696072740000001</v>
      </c>
      <c r="I46" s="13">
        <v>0</v>
      </c>
      <c r="J46" s="24"/>
      <c r="L46" s="20"/>
      <c r="M46" s="21"/>
      <c r="N46" s="22"/>
    </row>
    <row r="47" spans="1:14" ht="15.75" hidden="1" customHeight="1">
      <c r="A47" s="40"/>
      <c r="B47" s="75" t="s">
        <v>34</v>
      </c>
      <c r="C47" s="76" t="s">
        <v>107</v>
      </c>
      <c r="D47" s="75" t="s">
        <v>41</v>
      </c>
      <c r="E47" s="77">
        <v>92.8</v>
      </c>
      <c r="F47" s="78">
        <f>SUM(E47*2/1000)</f>
        <v>0.18559999999999999</v>
      </c>
      <c r="G47" s="13">
        <v>579.48</v>
      </c>
      <c r="H47" s="79">
        <f t="shared" si="5"/>
        <v>0.10755148799999999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40">
        <v>16</v>
      </c>
      <c r="B48" s="75" t="s">
        <v>35</v>
      </c>
      <c r="C48" s="76" t="s">
        <v>107</v>
      </c>
      <c r="D48" s="75" t="s">
        <v>41</v>
      </c>
      <c r="E48" s="77">
        <v>4737.7</v>
      </c>
      <c r="F48" s="78">
        <f>SUM(E48*2/1000)</f>
        <v>9.4754000000000005</v>
      </c>
      <c r="G48" s="13">
        <v>579.48</v>
      </c>
      <c r="H48" s="79">
        <f t="shared" si="5"/>
        <v>5.4908047920000005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17</v>
      </c>
      <c r="B49" s="75" t="s">
        <v>36</v>
      </c>
      <c r="C49" s="76" t="s">
        <v>107</v>
      </c>
      <c r="D49" s="75" t="s">
        <v>41</v>
      </c>
      <c r="E49" s="77">
        <v>2811.99</v>
      </c>
      <c r="F49" s="78">
        <f>SUM(E49*2/1000)</f>
        <v>5.6239799999999995</v>
      </c>
      <c r="G49" s="13">
        <v>606.77</v>
      </c>
      <c r="H49" s="79">
        <f t="shared" si="5"/>
        <v>3.4124623445999998</v>
      </c>
      <c r="I49" s="13">
        <v>0</v>
      </c>
      <c r="J49" s="24"/>
      <c r="L49" s="20"/>
      <c r="M49" s="21"/>
      <c r="N49" s="22"/>
    </row>
    <row r="50" spans="1:14" ht="15.75" customHeight="1">
      <c r="A50" s="40">
        <v>13</v>
      </c>
      <c r="B50" s="121" t="s">
        <v>55</v>
      </c>
      <c r="C50" s="122" t="s">
        <v>107</v>
      </c>
      <c r="D50" s="121" t="s">
        <v>234</v>
      </c>
      <c r="E50" s="140">
        <v>5836.1</v>
      </c>
      <c r="F50" s="123">
        <f>SUM(E50*5/1000)</f>
        <v>29.180499999999999</v>
      </c>
      <c r="G50" s="36">
        <v>1739.68</v>
      </c>
      <c r="H50" s="79">
        <f t="shared" si="5"/>
        <v>50.764732240000001</v>
      </c>
      <c r="I50" s="13">
        <f>F50/5*G50</f>
        <v>10152.946448000001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114</v>
      </c>
      <c r="C51" s="76" t="s">
        <v>107</v>
      </c>
      <c r="D51" s="75" t="s">
        <v>41</v>
      </c>
      <c r="E51" s="77">
        <v>1571.3</v>
      </c>
      <c r="F51" s="78">
        <f>SUM(E51*2/1000)</f>
        <v>3.1425999999999998</v>
      </c>
      <c r="G51" s="13">
        <v>1213.55</v>
      </c>
      <c r="H51" s="79">
        <f t="shared" si="5"/>
        <v>3.8137022300000001</v>
      </c>
      <c r="I51" s="13">
        <v>0</v>
      </c>
      <c r="J51" s="24"/>
      <c r="L51" s="20"/>
      <c r="M51" s="21"/>
      <c r="N51" s="22"/>
    </row>
    <row r="52" spans="1:14" ht="31.5" hidden="1" customHeight="1">
      <c r="A52" s="40">
        <v>14</v>
      </c>
      <c r="B52" s="75" t="s">
        <v>115</v>
      </c>
      <c r="C52" s="76" t="s">
        <v>37</v>
      </c>
      <c r="D52" s="75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5"/>
        <v>2.1843919999999999</v>
      </c>
      <c r="I52" s="13">
        <v>0</v>
      </c>
      <c r="J52" s="24"/>
      <c r="L52" s="20"/>
      <c r="M52" s="21"/>
      <c r="N52" s="22"/>
    </row>
    <row r="53" spans="1:14" ht="15.75" hidden="1" customHeight="1">
      <c r="A53" s="40">
        <v>15</v>
      </c>
      <c r="B53" s="75" t="s">
        <v>38</v>
      </c>
      <c r="C53" s="76" t="s">
        <v>39</v>
      </c>
      <c r="D53" s="75" t="s">
        <v>41</v>
      </c>
      <c r="E53" s="77">
        <v>1</v>
      </c>
      <c r="F53" s="78">
        <v>0.02</v>
      </c>
      <c r="G53" s="13">
        <v>5652.13</v>
      </c>
      <c r="H53" s="79">
        <f t="shared" si="5"/>
        <v>0.11304260000000001</v>
      </c>
      <c r="I53" s="13">
        <v>0</v>
      </c>
      <c r="J53" s="24"/>
      <c r="L53" s="20"/>
      <c r="M53" s="21"/>
      <c r="N53" s="22"/>
    </row>
    <row r="54" spans="1:14" ht="18" customHeight="1">
      <c r="A54" s="40">
        <v>14</v>
      </c>
      <c r="B54" s="121" t="s">
        <v>40</v>
      </c>
      <c r="C54" s="122" t="s">
        <v>116</v>
      </c>
      <c r="D54" s="222">
        <v>43514</v>
      </c>
      <c r="E54" s="140">
        <v>238</v>
      </c>
      <c r="F54" s="123">
        <f>SUM(E54)*3</f>
        <v>714</v>
      </c>
      <c r="G54" s="109">
        <v>94.16</v>
      </c>
      <c r="H54" s="79">
        <f t="shared" si="5"/>
        <v>67.230239999999995</v>
      </c>
      <c r="I54" s="13">
        <f>E54*G54</f>
        <v>22410.079999999998</v>
      </c>
      <c r="J54" s="24"/>
      <c r="L54" s="20"/>
      <c r="M54" s="21"/>
      <c r="N54" s="22"/>
    </row>
    <row r="55" spans="1:14" ht="15.75" customHeight="1">
      <c r="A55" s="239" t="s">
        <v>201</v>
      </c>
      <c r="B55" s="240"/>
      <c r="C55" s="240"/>
      <c r="D55" s="240"/>
      <c r="E55" s="240"/>
      <c r="F55" s="240"/>
      <c r="G55" s="240"/>
      <c r="H55" s="240"/>
      <c r="I55" s="241"/>
      <c r="J55" s="24"/>
      <c r="L55" s="20"/>
      <c r="M55" s="21"/>
      <c r="N55" s="22"/>
    </row>
    <row r="56" spans="1:14" ht="15.75" customHeight="1">
      <c r="A56" s="175"/>
      <c r="B56" s="47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0">
        <v>15</v>
      </c>
      <c r="B57" s="75" t="s">
        <v>132</v>
      </c>
      <c r="C57" s="76" t="s">
        <v>100</v>
      </c>
      <c r="D57" s="75" t="s">
        <v>168</v>
      </c>
      <c r="E57" s="77">
        <v>48</v>
      </c>
      <c r="F57" s="78">
        <f>E57*6/100</f>
        <v>2.88</v>
      </c>
      <c r="G57" s="85">
        <v>1547.28</v>
      </c>
      <c r="H57" s="79">
        <f>F57*G57/1000</f>
        <v>4.4561663999999999</v>
      </c>
      <c r="I57" s="13">
        <f>G57*0.7</f>
        <v>1083.096</v>
      </c>
      <c r="J57" s="24"/>
      <c r="L57" s="20"/>
      <c r="M57" s="21"/>
      <c r="N57" s="22"/>
    </row>
    <row r="58" spans="1:14" ht="15.75" customHeight="1">
      <c r="A58" s="40">
        <v>15</v>
      </c>
      <c r="B58" s="111" t="s">
        <v>92</v>
      </c>
      <c r="C58" s="112" t="s">
        <v>100</v>
      </c>
      <c r="D58" s="111" t="s">
        <v>234</v>
      </c>
      <c r="E58" s="113">
        <v>17.579999999999998</v>
      </c>
      <c r="F58" s="114">
        <f>E58*6/100</f>
        <v>1.0548</v>
      </c>
      <c r="G58" s="155">
        <v>2218.11</v>
      </c>
      <c r="H58" s="90">
        <f>F58*G58/1000</f>
        <v>2.339662428</v>
      </c>
      <c r="I58" s="13">
        <f>F58/6*G58</f>
        <v>389.943738</v>
      </c>
      <c r="J58" s="24"/>
      <c r="L58" s="20"/>
      <c r="M58" s="21"/>
      <c r="N58" s="22"/>
    </row>
    <row r="59" spans="1:14" ht="15.75" hidden="1" customHeight="1">
      <c r="A59" s="40"/>
      <c r="B59" s="86" t="s">
        <v>96</v>
      </c>
      <c r="C59" s="87" t="s">
        <v>97</v>
      </c>
      <c r="D59" s="86" t="s">
        <v>41</v>
      </c>
      <c r="E59" s="88">
        <v>8</v>
      </c>
      <c r="F59" s="89">
        <v>16</v>
      </c>
      <c r="G59" s="91">
        <v>180.78</v>
      </c>
      <c r="H59" s="90">
        <f>F59*G59/1000</f>
        <v>2.8924799999999999</v>
      </c>
      <c r="I59" s="13">
        <v>0</v>
      </c>
      <c r="J59" s="24"/>
      <c r="L59" s="20"/>
      <c r="M59" s="21"/>
      <c r="N59" s="22"/>
    </row>
    <row r="60" spans="1:14" ht="15.75" customHeight="1">
      <c r="A60" s="40"/>
      <c r="B60" s="174" t="s">
        <v>43</v>
      </c>
      <c r="C60" s="174"/>
      <c r="D60" s="174"/>
      <c r="E60" s="174"/>
      <c r="F60" s="174"/>
      <c r="G60" s="174"/>
      <c r="H60" s="174"/>
      <c r="I60" s="35"/>
      <c r="J60" s="24"/>
      <c r="L60" s="20"/>
      <c r="M60" s="21"/>
      <c r="N60" s="22"/>
    </row>
    <row r="61" spans="1:14" ht="15.75" customHeight="1">
      <c r="A61" s="40">
        <v>16</v>
      </c>
      <c r="B61" s="111" t="s">
        <v>93</v>
      </c>
      <c r="C61" s="112" t="s">
        <v>25</v>
      </c>
      <c r="D61" s="111" t="s">
        <v>234</v>
      </c>
      <c r="E61" s="113">
        <v>200</v>
      </c>
      <c r="F61" s="114">
        <f>E61*12</f>
        <v>2400</v>
      </c>
      <c r="G61" s="115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174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17</v>
      </c>
      <c r="B64" s="131" t="s">
        <v>46</v>
      </c>
      <c r="C64" s="38" t="s">
        <v>116</v>
      </c>
      <c r="D64" s="37" t="s">
        <v>233</v>
      </c>
      <c r="E64" s="18">
        <v>40</v>
      </c>
      <c r="F64" s="123">
        <v>40</v>
      </c>
      <c r="G64" s="36">
        <v>318.82</v>
      </c>
      <c r="H64" s="94">
        <f t="shared" ref="H64:H71" si="6">SUM(F64*G64/1000)</f>
        <v>12.752799999999999</v>
      </c>
      <c r="I64" s="13">
        <f>G64*8</f>
        <v>2550.56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6"/>
        <v>1.5249999999999999</v>
      </c>
      <c r="I65" s="13">
        <v>0</v>
      </c>
    </row>
    <row r="66" spans="1:22" ht="15.75" hidden="1" customHeight="1">
      <c r="A66" s="30">
        <v>8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6"/>
        <v>48.0286385</v>
      </c>
      <c r="I66" s="13">
        <v>0</v>
      </c>
    </row>
    <row r="67" spans="1:22" ht="15.75" hidden="1" customHeight="1">
      <c r="A67" s="30">
        <v>9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6"/>
        <v>3.7401891900000002</v>
      </c>
      <c r="I67" s="13">
        <v>0</v>
      </c>
    </row>
    <row r="68" spans="1:22" ht="15.75" hidden="1" customHeight="1">
      <c r="A68" s="30">
        <v>10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6"/>
        <v>65.247113499999998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11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6"/>
        <v>0.86534760000000011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12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6"/>
        <v>0.80734680000000014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9.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6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5"/>
      <c r="S71" s="245"/>
      <c r="T71" s="245"/>
      <c r="U71" s="245"/>
    </row>
    <row r="72" spans="1:22" ht="19.5" customHeight="1">
      <c r="A72" s="30"/>
      <c r="B72" s="157" t="s">
        <v>183</v>
      </c>
      <c r="C72" s="38"/>
      <c r="D72" s="37"/>
      <c r="E72" s="18"/>
      <c r="F72" s="158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173"/>
      <c r="S72" s="173"/>
      <c r="T72" s="173"/>
      <c r="U72" s="173"/>
    </row>
    <row r="73" spans="1:22" ht="34.5" customHeight="1">
      <c r="A73" s="30">
        <v>18</v>
      </c>
      <c r="B73" s="37" t="s">
        <v>184</v>
      </c>
      <c r="C73" s="40" t="s">
        <v>185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173"/>
      <c r="S73" s="173"/>
      <c r="T73" s="173"/>
      <c r="U73" s="173"/>
    </row>
    <row r="74" spans="1:22" ht="15.7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15.75" customHeight="1">
      <c r="A75" s="30">
        <v>19</v>
      </c>
      <c r="B75" s="37" t="s">
        <v>123</v>
      </c>
      <c r="C75" s="38" t="s">
        <v>30</v>
      </c>
      <c r="D75" s="37"/>
      <c r="E75" s="18">
        <v>8</v>
      </c>
      <c r="F75" s="158">
        <v>8</v>
      </c>
      <c r="G75" s="36">
        <v>143.13999999999999</v>
      </c>
      <c r="H75" s="179"/>
      <c r="I75" s="19">
        <f>G75*1</f>
        <v>143.13999999999999</v>
      </c>
    </row>
    <row r="76" spans="1:22" ht="15.75" customHeight="1">
      <c r="A76" s="30">
        <v>20</v>
      </c>
      <c r="B76" s="37" t="s">
        <v>73</v>
      </c>
      <c r="C76" s="38" t="s">
        <v>31</v>
      </c>
      <c r="D76" s="37"/>
      <c r="E76" s="18">
        <v>20</v>
      </c>
      <c r="F76" s="36">
        <v>2</v>
      </c>
      <c r="G76" s="36">
        <v>719.08</v>
      </c>
      <c r="H76" s="94">
        <f>F76*G76/1000</f>
        <v>1.4381600000000001</v>
      </c>
      <c r="I76" s="13">
        <f>G76*0.1</f>
        <v>71.908000000000001</v>
      </c>
    </row>
    <row r="77" spans="1:22" ht="17.25" hidden="1" customHeight="1">
      <c r="A77" s="30"/>
      <c r="B77" s="15" t="s">
        <v>124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v>0</v>
      </c>
    </row>
    <row r="78" spans="1:22" ht="16.5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7">SUM(F78*G78/1000)</f>
        <v>0.71701999999999999</v>
      </c>
      <c r="I78" s="13">
        <v>0</v>
      </c>
    </row>
    <row r="79" spans="1:22" ht="21.75" hidden="1" customHeight="1">
      <c r="A79" s="30">
        <v>17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v>0</v>
      </c>
    </row>
    <row r="80" spans="1:22" ht="22.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32.25" hidden="1" customHeight="1">
      <c r="A81" s="30">
        <v>39</v>
      </c>
      <c r="B81" s="51" t="s">
        <v>125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8">SUM(F81*G81/1000)</f>
        <v>3.725244</v>
      </c>
      <c r="I81" s="13">
        <v>0</v>
      </c>
    </row>
    <row r="82" spans="1:21" ht="20.25" customHeight="1">
      <c r="A82" s="30">
        <v>21</v>
      </c>
      <c r="B82" s="106" t="s">
        <v>186</v>
      </c>
      <c r="C82" s="107" t="s">
        <v>116</v>
      </c>
      <c r="D82" s="37" t="s">
        <v>163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26.25" hidden="1" customHeight="1">
      <c r="A83" s="175"/>
      <c r="B83" s="174" t="s">
        <v>121</v>
      </c>
      <c r="C83" s="174"/>
      <c r="D83" s="174"/>
      <c r="E83" s="174"/>
      <c r="F83" s="174"/>
      <c r="G83" s="174"/>
      <c r="H83" s="174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.75" hidden="1" customHeight="1">
      <c r="A84" s="30">
        <v>36</v>
      </c>
      <c r="B84" s="75" t="s">
        <v>122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v>0</v>
      </c>
    </row>
    <row r="85" spans="1:21" ht="15.75" customHeight="1">
      <c r="A85" s="239" t="s">
        <v>138</v>
      </c>
      <c r="B85" s="240"/>
      <c r="C85" s="240"/>
      <c r="D85" s="240"/>
      <c r="E85" s="240"/>
      <c r="F85" s="240"/>
      <c r="G85" s="240"/>
      <c r="H85" s="240"/>
      <c r="I85" s="241"/>
    </row>
    <row r="86" spans="1:21" ht="15.75" customHeight="1">
      <c r="A86" s="30">
        <v>22</v>
      </c>
      <c r="B86" s="37" t="s">
        <v>126</v>
      </c>
      <c r="C86" s="169" t="s">
        <v>54</v>
      </c>
      <c r="D86" s="167"/>
      <c r="E86" s="36">
        <v>5836.1</v>
      </c>
      <c r="F86" s="36">
        <f>SUM(E86*12)</f>
        <v>70033.200000000012</v>
      </c>
      <c r="G86" s="184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23</v>
      </c>
      <c r="B87" s="37" t="s">
        <v>77</v>
      </c>
      <c r="C87" s="38"/>
      <c r="D87" s="170"/>
      <c r="E87" s="171">
        <f>E86</f>
        <v>5836.1</v>
      </c>
      <c r="F87" s="172">
        <f>E87*12</f>
        <v>70033.200000000012</v>
      </c>
      <c r="G87" s="172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175"/>
      <c r="B88" s="39" t="s">
        <v>79</v>
      </c>
      <c r="C88" s="40"/>
      <c r="D88" s="16"/>
      <c r="E88" s="16"/>
      <c r="F88" s="16"/>
      <c r="G88" s="19"/>
      <c r="H88" s="19"/>
      <c r="I88" s="32">
        <f>I87+I86+I82+I76+I75+I73+I64+I61+I58+I50+I44+I43+I42+I41+I40+I39+I27+I21+I20+I18+I17+I16+I54</f>
        <v>138462.84386133336</v>
      </c>
    </row>
    <row r="89" spans="1:21" ht="15.75" customHeight="1">
      <c r="A89" s="242" t="s">
        <v>59</v>
      </c>
      <c r="B89" s="243"/>
      <c r="C89" s="243"/>
      <c r="D89" s="243"/>
      <c r="E89" s="243"/>
      <c r="F89" s="243"/>
      <c r="G89" s="243"/>
      <c r="H89" s="243"/>
      <c r="I89" s="244"/>
    </row>
    <row r="90" spans="1:21" s="119" customFormat="1" ht="17.25" customHeight="1">
      <c r="A90" s="30">
        <v>24</v>
      </c>
      <c r="B90" s="108" t="s">
        <v>188</v>
      </c>
      <c r="C90" s="38" t="s">
        <v>169</v>
      </c>
      <c r="D90" s="37"/>
      <c r="E90" s="18"/>
      <c r="F90" s="36"/>
      <c r="G90" s="36">
        <v>273</v>
      </c>
      <c r="H90" s="98">
        <f t="shared" ref="H90" si="9">G90*F90/1000</f>
        <v>0</v>
      </c>
      <c r="I90" s="13">
        <f>G90*9</f>
        <v>2457</v>
      </c>
    </row>
    <row r="91" spans="1:21" s="119" customFormat="1" ht="17.25" customHeight="1">
      <c r="A91" s="30">
        <v>25</v>
      </c>
      <c r="B91" s="108" t="s">
        <v>175</v>
      </c>
      <c r="C91" s="38" t="s">
        <v>176</v>
      </c>
      <c r="D91" s="37"/>
      <c r="E91" s="18"/>
      <c r="F91" s="36"/>
      <c r="G91" s="36">
        <v>218</v>
      </c>
      <c r="H91" s="98"/>
      <c r="I91" s="13">
        <f t="shared" ref="I91:I97" si="10">G91*1</f>
        <v>218</v>
      </c>
    </row>
    <row r="92" spans="1:21" s="119" customFormat="1" ht="17.25" customHeight="1">
      <c r="A92" s="30">
        <v>26</v>
      </c>
      <c r="B92" s="110" t="s">
        <v>165</v>
      </c>
      <c r="C92" s="107" t="s">
        <v>116</v>
      </c>
      <c r="D92" s="37"/>
      <c r="E92" s="18"/>
      <c r="F92" s="36"/>
      <c r="G92" s="36">
        <v>207.32</v>
      </c>
      <c r="H92" s="98"/>
      <c r="I92" s="13">
        <f t="shared" si="10"/>
        <v>207.32</v>
      </c>
    </row>
    <row r="93" spans="1:21" s="119" customFormat="1" ht="17.25" customHeight="1">
      <c r="A93" s="30">
        <v>27</v>
      </c>
      <c r="B93" s="106" t="s">
        <v>81</v>
      </c>
      <c r="C93" s="107" t="s">
        <v>116</v>
      </c>
      <c r="D93" s="37"/>
      <c r="E93" s="18"/>
      <c r="F93" s="36"/>
      <c r="G93" s="36">
        <v>207.55</v>
      </c>
      <c r="H93" s="98"/>
      <c r="I93" s="13">
        <f t="shared" si="10"/>
        <v>207.55</v>
      </c>
    </row>
    <row r="94" spans="1:21" s="119" customFormat="1" ht="17.25" customHeight="1">
      <c r="A94" s="30">
        <v>28</v>
      </c>
      <c r="B94" s="106" t="s">
        <v>195</v>
      </c>
      <c r="C94" s="107" t="s">
        <v>116</v>
      </c>
      <c r="D94" s="37"/>
      <c r="E94" s="18"/>
      <c r="F94" s="36"/>
      <c r="G94" s="36">
        <v>149.65</v>
      </c>
      <c r="H94" s="98"/>
      <c r="I94" s="13">
        <f t="shared" si="10"/>
        <v>149.65</v>
      </c>
    </row>
    <row r="95" spans="1:21" s="119" customFormat="1" ht="17.25" customHeight="1">
      <c r="A95" s="30">
        <v>29</v>
      </c>
      <c r="B95" s="106" t="s">
        <v>189</v>
      </c>
      <c r="C95" s="107" t="s">
        <v>190</v>
      </c>
      <c r="D95" s="37"/>
      <c r="E95" s="18"/>
      <c r="F95" s="36"/>
      <c r="G95" s="36">
        <v>725.1</v>
      </c>
      <c r="H95" s="98"/>
      <c r="I95" s="13">
        <f t="shared" si="10"/>
        <v>725.1</v>
      </c>
    </row>
    <row r="96" spans="1:21" s="119" customFormat="1" ht="29.25" customHeight="1">
      <c r="A96" s="30">
        <v>30</v>
      </c>
      <c r="B96" s="106" t="s">
        <v>260</v>
      </c>
      <c r="C96" s="107" t="s">
        <v>80</v>
      </c>
      <c r="D96" s="37"/>
      <c r="E96" s="18"/>
      <c r="F96" s="36"/>
      <c r="G96" s="36">
        <v>981.48</v>
      </c>
      <c r="H96" s="98"/>
      <c r="I96" s="13">
        <f t="shared" si="10"/>
        <v>981.48</v>
      </c>
    </row>
    <row r="97" spans="1:9" s="119" customFormat="1" ht="48.75" customHeight="1">
      <c r="A97" s="30">
        <v>31</v>
      </c>
      <c r="B97" s="106" t="s">
        <v>196</v>
      </c>
      <c r="C97" s="107" t="s">
        <v>164</v>
      </c>
      <c r="D97" s="37"/>
      <c r="E97" s="18"/>
      <c r="F97" s="36"/>
      <c r="G97" s="36">
        <v>54.14</v>
      </c>
      <c r="H97" s="98"/>
      <c r="I97" s="13">
        <f t="shared" si="10"/>
        <v>54.14</v>
      </c>
    </row>
    <row r="98" spans="1:9" s="119" customFormat="1" ht="30" customHeight="1">
      <c r="A98" s="30">
        <v>32</v>
      </c>
      <c r="B98" s="106" t="s">
        <v>192</v>
      </c>
      <c r="C98" s="107" t="s">
        <v>88</v>
      </c>
      <c r="D98" s="37"/>
      <c r="E98" s="18"/>
      <c r="F98" s="36"/>
      <c r="G98" s="36">
        <v>561.86</v>
      </c>
      <c r="H98" s="98"/>
      <c r="I98" s="13">
        <f>G98*2</f>
        <v>1123.72</v>
      </c>
    </row>
    <row r="99" spans="1:9" s="119" customFormat="1" ht="30.75" customHeight="1">
      <c r="A99" s="30">
        <v>33</v>
      </c>
      <c r="B99" s="106" t="s">
        <v>150</v>
      </c>
      <c r="C99" s="107" t="s">
        <v>37</v>
      </c>
      <c r="D99" s="37"/>
      <c r="E99" s="18"/>
      <c r="F99" s="36"/>
      <c r="G99" s="36">
        <v>3914.31</v>
      </c>
      <c r="H99" s="98"/>
      <c r="I99" s="13">
        <f>G99*0.02</f>
        <v>78.286199999999994</v>
      </c>
    </row>
    <row r="100" spans="1:9" ht="15.75" customHeight="1">
      <c r="A100" s="30"/>
      <c r="B100" s="45" t="s">
        <v>51</v>
      </c>
      <c r="C100" s="41"/>
      <c r="D100" s="53"/>
      <c r="E100" s="53"/>
      <c r="F100" s="41">
        <v>1</v>
      </c>
      <c r="G100" s="41"/>
      <c r="H100" s="41"/>
      <c r="I100" s="32">
        <f>SUM(I90:I99)</f>
        <v>6202.2462000000005</v>
      </c>
    </row>
    <row r="101" spans="1:9" ht="15.75" customHeight="1">
      <c r="A101" s="30"/>
      <c r="B101" s="51" t="s">
        <v>78</v>
      </c>
      <c r="C101" s="16"/>
      <c r="D101" s="16"/>
      <c r="E101" s="16"/>
      <c r="F101" s="42"/>
      <c r="G101" s="43"/>
      <c r="H101" s="43"/>
      <c r="I101" s="18">
        <v>0</v>
      </c>
    </row>
    <row r="102" spans="1:9" ht="15.75" customHeight="1">
      <c r="A102" s="54"/>
      <c r="B102" s="46" t="s">
        <v>139</v>
      </c>
      <c r="C102" s="34"/>
      <c r="D102" s="34"/>
      <c r="E102" s="34"/>
      <c r="F102" s="34"/>
      <c r="G102" s="34"/>
      <c r="H102" s="34"/>
      <c r="I102" s="44">
        <f>I88+I100</f>
        <v>144665.09006133335</v>
      </c>
    </row>
    <row r="103" spans="1:9" ht="15.75" customHeight="1">
      <c r="A103" s="256" t="s">
        <v>245</v>
      </c>
      <c r="B103" s="256"/>
      <c r="C103" s="256"/>
      <c r="D103" s="256"/>
      <c r="E103" s="256"/>
      <c r="F103" s="256"/>
      <c r="G103" s="256"/>
      <c r="H103" s="256"/>
      <c r="I103" s="256"/>
    </row>
    <row r="104" spans="1:9" ht="15.75" customHeight="1">
      <c r="A104" s="66"/>
      <c r="B104" s="257" t="s">
        <v>246</v>
      </c>
      <c r="C104" s="257"/>
      <c r="D104" s="257"/>
      <c r="E104" s="257"/>
      <c r="F104" s="257"/>
      <c r="G104" s="257"/>
      <c r="H104" s="73"/>
      <c r="I104" s="3"/>
    </row>
    <row r="105" spans="1:9" ht="15.75" customHeight="1">
      <c r="A105" s="62"/>
      <c r="B105" s="258" t="s">
        <v>6</v>
      </c>
      <c r="C105" s="258"/>
      <c r="D105" s="258"/>
      <c r="E105" s="258"/>
      <c r="F105" s="258"/>
      <c r="G105" s="258"/>
      <c r="H105" s="25"/>
      <c r="I105" s="5"/>
    </row>
    <row r="106" spans="1:9" ht="8.2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59" t="s">
        <v>7</v>
      </c>
      <c r="B107" s="259"/>
      <c r="C107" s="259"/>
      <c r="D107" s="259"/>
      <c r="E107" s="259"/>
      <c r="F107" s="259"/>
      <c r="G107" s="259"/>
      <c r="H107" s="259"/>
      <c r="I107" s="259"/>
    </row>
    <row r="108" spans="1:9" ht="15.75" customHeight="1">
      <c r="A108" s="259" t="s">
        <v>8</v>
      </c>
      <c r="B108" s="259"/>
      <c r="C108" s="259"/>
      <c r="D108" s="259"/>
      <c r="E108" s="259"/>
      <c r="F108" s="259"/>
      <c r="G108" s="259"/>
      <c r="H108" s="259"/>
      <c r="I108" s="259"/>
    </row>
    <row r="109" spans="1:9" ht="15.75" customHeight="1">
      <c r="A109" s="260" t="s">
        <v>60</v>
      </c>
      <c r="B109" s="260"/>
      <c r="C109" s="260"/>
      <c r="D109" s="260"/>
      <c r="E109" s="260"/>
      <c r="F109" s="260"/>
      <c r="G109" s="260"/>
      <c r="H109" s="260"/>
      <c r="I109" s="260"/>
    </row>
    <row r="110" spans="1:9" ht="15.75" customHeight="1">
      <c r="A110" s="11"/>
    </row>
    <row r="111" spans="1:9" ht="15.75" customHeight="1">
      <c r="A111" s="261" t="s">
        <v>9</v>
      </c>
      <c r="B111" s="261"/>
      <c r="C111" s="261"/>
      <c r="D111" s="261"/>
      <c r="E111" s="261"/>
      <c r="F111" s="261"/>
      <c r="G111" s="261"/>
      <c r="H111" s="261"/>
      <c r="I111" s="261"/>
    </row>
    <row r="112" spans="1:9" ht="15.75" customHeight="1">
      <c r="A112" s="4"/>
    </row>
    <row r="113" spans="1:9" ht="15.75" customHeight="1">
      <c r="B113" s="61" t="s">
        <v>10</v>
      </c>
      <c r="C113" s="262" t="s">
        <v>87</v>
      </c>
      <c r="D113" s="262"/>
      <c r="E113" s="262"/>
      <c r="F113" s="262"/>
      <c r="I113" s="64"/>
    </row>
    <row r="114" spans="1:9" ht="15.75" customHeight="1">
      <c r="A114" s="62"/>
      <c r="C114" s="258" t="s">
        <v>11</v>
      </c>
      <c r="D114" s="258"/>
      <c r="E114" s="258"/>
      <c r="F114" s="258"/>
      <c r="I114" s="63" t="s">
        <v>12</v>
      </c>
    </row>
    <row r="115" spans="1:9" ht="15.75" customHeight="1">
      <c r="A115" s="26"/>
      <c r="C115" s="12"/>
      <c r="D115" s="12"/>
      <c r="E115" s="12"/>
      <c r="G115" s="12"/>
      <c r="H115" s="12"/>
    </row>
    <row r="116" spans="1:9" ht="15.75" customHeight="1">
      <c r="B116" s="61" t="s">
        <v>13</v>
      </c>
      <c r="C116" s="264"/>
      <c r="D116" s="264"/>
      <c r="E116" s="264"/>
      <c r="F116" s="264"/>
      <c r="I116" s="64"/>
    </row>
    <row r="117" spans="1:9" ht="15.75" customHeight="1">
      <c r="A117" s="62"/>
      <c r="C117" s="245" t="s">
        <v>11</v>
      </c>
      <c r="D117" s="245"/>
      <c r="E117" s="245"/>
      <c r="F117" s="245"/>
      <c r="I117" s="63" t="s">
        <v>12</v>
      </c>
    </row>
    <row r="118" spans="1:9" ht="15.75" customHeight="1">
      <c r="A118" s="4" t="s">
        <v>14</v>
      </c>
    </row>
    <row r="119" spans="1:9" ht="15.75" customHeight="1">
      <c r="A119" s="265" t="s">
        <v>15</v>
      </c>
      <c r="B119" s="265"/>
      <c r="C119" s="265"/>
      <c r="D119" s="265"/>
      <c r="E119" s="265"/>
      <c r="F119" s="265"/>
      <c r="G119" s="265"/>
      <c r="H119" s="265"/>
      <c r="I119" s="265"/>
    </row>
    <row r="120" spans="1:9" ht="45" customHeight="1">
      <c r="A120" s="263" t="s">
        <v>16</v>
      </c>
      <c r="B120" s="263"/>
      <c r="C120" s="263"/>
      <c r="D120" s="263"/>
      <c r="E120" s="263"/>
      <c r="F120" s="263"/>
      <c r="G120" s="263"/>
      <c r="H120" s="263"/>
      <c r="I120" s="263"/>
    </row>
    <row r="121" spans="1:9" ht="30" customHeight="1">
      <c r="A121" s="263" t="s">
        <v>17</v>
      </c>
      <c r="B121" s="263"/>
      <c r="C121" s="263"/>
      <c r="D121" s="263"/>
      <c r="E121" s="263"/>
      <c r="F121" s="263"/>
      <c r="G121" s="263"/>
      <c r="H121" s="263"/>
      <c r="I121" s="263"/>
    </row>
    <row r="122" spans="1:9" ht="30" customHeight="1">
      <c r="A122" s="263" t="s">
        <v>21</v>
      </c>
      <c r="B122" s="263"/>
      <c r="C122" s="263"/>
      <c r="D122" s="263"/>
      <c r="E122" s="263"/>
      <c r="F122" s="263"/>
      <c r="G122" s="263"/>
      <c r="H122" s="263"/>
      <c r="I122" s="263"/>
    </row>
    <row r="123" spans="1:9" ht="15" customHeight="1">
      <c r="A123" s="263" t="s">
        <v>20</v>
      </c>
      <c r="B123" s="263"/>
      <c r="C123" s="263"/>
      <c r="D123" s="263"/>
      <c r="E123" s="263"/>
      <c r="F123" s="263"/>
      <c r="G123" s="263"/>
      <c r="H123" s="263"/>
      <c r="I123" s="263"/>
    </row>
  </sheetData>
  <autoFilter ref="I12:I66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1:U71"/>
    <mergeCell ref="C117:F117"/>
    <mergeCell ref="A89:I89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85:I85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0"/>
  <sheetViews>
    <sheetView topLeftCell="A58" workbookViewId="0">
      <selection activeCell="A59" sqref="A59:I5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4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147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197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43555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5.75" hidden="1" customHeight="1">
      <c r="A19" s="30"/>
      <c r="B19" s="121" t="s">
        <v>101</v>
      </c>
      <c r="C19" s="122" t="s">
        <v>102</v>
      </c>
      <c r="D19" s="121" t="s">
        <v>103</v>
      </c>
      <c r="E19" s="146">
        <v>51.2</v>
      </c>
      <c r="F19" s="147">
        <f>SUM(E19/10)</f>
        <v>5.12</v>
      </c>
      <c r="G19" s="147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/>
      <c r="B22" s="121" t="s">
        <v>104</v>
      </c>
      <c r="C22" s="122" t="s">
        <v>52</v>
      </c>
      <c r="D22" s="121" t="s">
        <v>103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121" t="s">
        <v>105</v>
      </c>
      <c r="C23" s="122" t="s">
        <v>52</v>
      </c>
      <c r="D23" s="121" t="s">
        <v>103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121" t="s">
        <v>98</v>
      </c>
      <c r="C24" s="122" t="s">
        <v>52</v>
      </c>
      <c r="D24" s="121" t="s">
        <v>53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9" hidden="1" customHeight="1">
      <c r="A25" s="40">
        <v>6</v>
      </c>
      <c r="B25" s="121" t="s">
        <v>128</v>
      </c>
      <c r="C25" s="122" t="s">
        <v>52</v>
      </c>
      <c r="D25" s="121" t="s">
        <v>53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7.25" hidden="1" customHeight="1">
      <c r="A26" s="40"/>
      <c r="B26" s="121" t="s">
        <v>99</v>
      </c>
      <c r="C26" s="122" t="s">
        <v>52</v>
      </c>
      <c r="D26" s="121" t="s">
        <v>53</v>
      </c>
      <c r="E26" s="146">
        <v>37.5</v>
      </c>
      <c r="F26" s="147">
        <f>SUM(E26/100)</f>
        <v>0.375</v>
      </c>
      <c r="G26" s="147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40">
        <v>5</v>
      </c>
      <c r="B28" s="121" t="s">
        <v>94</v>
      </c>
      <c r="C28" s="122" t="s">
        <v>100</v>
      </c>
      <c r="D28" s="121" t="s">
        <v>162</v>
      </c>
      <c r="E28" s="146">
        <v>57.5</v>
      </c>
      <c r="F28" s="147">
        <v>6.9</v>
      </c>
      <c r="G28" s="147">
        <v>312.35000000000002</v>
      </c>
      <c r="H28" s="79">
        <f t="shared" ref="H28:H29" si="1">SUM(F28*G28/1000)</f>
        <v>2.1552150000000001</v>
      </c>
      <c r="I28" s="13">
        <f>G28*F28/12</f>
        <v>179.60125000000002</v>
      </c>
      <c r="J28" s="23"/>
      <c r="K28" s="8"/>
      <c r="L28" s="8"/>
      <c r="M28" s="8"/>
    </row>
    <row r="29" spans="1:13" ht="15.75" hidden="1" customHeight="1">
      <c r="A29" s="40">
        <v>6</v>
      </c>
      <c r="B29" s="121" t="s">
        <v>95</v>
      </c>
      <c r="C29" s="122" t="s">
        <v>100</v>
      </c>
      <c r="D29" s="121" t="s">
        <v>163</v>
      </c>
      <c r="E29" s="146">
        <v>13.41</v>
      </c>
      <c r="F29" s="147">
        <v>1.61</v>
      </c>
      <c r="G29" s="147">
        <v>309.81</v>
      </c>
      <c r="H29" s="79">
        <f t="shared" si="1"/>
        <v>0.49879410000000002</v>
      </c>
      <c r="I29" s="13">
        <f>G29*F29/12</f>
        <v>41.566175000000001</v>
      </c>
      <c r="J29" s="23"/>
      <c r="K29" s="8"/>
      <c r="L29" s="8"/>
      <c r="M29" s="8"/>
    </row>
    <row r="30" spans="1:13" ht="15.75" customHeight="1">
      <c r="A30" s="40"/>
      <c r="B30" s="223"/>
      <c r="C30" s="224"/>
      <c r="D30" s="223"/>
      <c r="E30" s="225"/>
      <c r="F30" s="226"/>
      <c r="G30" s="226"/>
      <c r="H30" s="96"/>
      <c r="I30" s="13"/>
      <c r="J30" s="23"/>
      <c r="K30" s="8"/>
      <c r="L30" s="8"/>
      <c r="M30" s="8"/>
    </row>
    <row r="31" spans="1:13" ht="15.75" customHeight="1">
      <c r="A31" s="252" t="s">
        <v>83</v>
      </c>
      <c r="B31" s="252"/>
      <c r="C31" s="252"/>
      <c r="D31" s="252"/>
      <c r="E31" s="252"/>
      <c r="F31" s="252"/>
      <c r="G31" s="252"/>
      <c r="H31" s="252"/>
      <c r="I31" s="252"/>
      <c r="J31" s="23"/>
      <c r="K31" s="8"/>
      <c r="L31" s="8"/>
      <c r="M31" s="8"/>
    </row>
    <row r="32" spans="1:13" ht="15.75" hidden="1" customHeight="1">
      <c r="A32" s="40"/>
      <c r="B32" s="50" t="s">
        <v>28</v>
      </c>
      <c r="C32" s="50"/>
      <c r="D32" s="50"/>
      <c r="E32" s="50"/>
      <c r="F32" s="50"/>
      <c r="G32" s="50"/>
      <c r="H32" s="50"/>
      <c r="I32" s="19"/>
      <c r="J32" s="23"/>
      <c r="K32" s="8"/>
      <c r="L32" s="8"/>
      <c r="M32" s="8"/>
    </row>
    <row r="33" spans="1:14" ht="15.75" hidden="1" customHeight="1">
      <c r="A33" s="40">
        <v>2</v>
      </c>
      <c r="B33" s="75" t="s">
        <v>106</v>
      </c>
      <c r="C33" s="76" t="s">
        <v>107</v>
      </c>
      <c r="D33" s="75" t="s">
        <v>108</v>
      </c>
      <c r="E33" s="78">
        <v>659.5</v>
      </c>
      <c r="F33" s="78">
        <f>SUM(E33*52/1000)</f>
        <v>34.293999999999997</v>
      </c>
      <c r="G33" s="78">
        <v>155.88999999999999</v>
      </c>
      <c r="H33" s="79">
        <f t="shared" ref="H33:H35" si="2">SUM(F33*G33/1000)</f>
        <v>5.346091659999999</v>
      </c>
      <c r="I33" s="13">
        <f>F33/6*G33</f>
        <v>891.01527666666652</v>
      </c>
      <c r="J33" s="23"/>
      <c r="K33" s="8"/>
      <c r="L33" s="8"/>
      <c r="M33" s="8"/>
    </row>
    <row r="34" spans="1:14" ht="31.5" hidden="1" customHeight="1">
      <c r="A34" s="40">
        <v>3</v>
      </c>
      <c r="B34" s="75" t="s">
        <v>141</v>
      </c>
      <c r="C34" s="76" t="s">
        <v>107</v>
      </c>
      <c r="D34" s="75" t="s">
        <v>109</v>
      </c>
      <c r="E34" s="78">
        <v>567.9</v>
      </c>
      <c r="F34" s="78">
        <f>SUM(E34*78/1000)</f>
        <v>44.296199999999999</v>
      </c>
      <c r="G34" s="78">
        <v>258.63</v>
      </c>
      <c r="H34" s="79">
        <f t="shared" si="2"/>
        <v>11.456326206</v>
      </c>
      <c r="I34" s="13">
        <f t="shared" ref="I34:I37" si="3">F34/6*G34</f>
        <v>1909.3877009999999</v>
      </c>
      <c r="J34" s="23"/>
      <c r="K34" s="8"/>
      <c r="L34" s="8"/>
      <c r="M34" s="8"/>
    </row>
    <row r="35" spans="1:14" ht="15.75" hidden="1" customHeight="1">
      <c r="A35" s="40">
        <v>4</v>
      </c>
      <c r="B35" s="75" t="s">
        <v>27</v>
      </c>
      <c r="C35" s="76" t="s">
        <v>107</v>
      </c>
      <c r="D35" s="75" t="s">
        <v>53</v>
      </c>
      <c r="E35" s="78">
        <v>659.5</v>
      </c>
      <c r="F35" s="78">
        <f>SUM(E35/1000)</f>
        <v>0.65949999999999998</v>
      </c>
      <c r="G35" s="78">
        <v>3020.33</v>
      </c>
      <c r="H35" s="79">
        <f t="shared" si="2"/>
        <v>1.9919076349999998</v>
      </c>
      <c r="I35" s="13">
        <f>F35*G35</f>
        <v>1991.9076349999998</v>
      </c>
      <c r="J35" s="23"/>
      <c r="K35" s="8"/>
      <c r="L35" s="8"/>
      <c r="M35" s="8"/>
    </row>
    <row r="36" spans="1:14" ht="15.75" hidden="1" customHeight="1">
      <c r="A36" s="40"/>
      <c r="B36" s="75" t="s">
        <v>129</v>
      </c>
      <c r="C36" s="76" t="s">
        <v>39</v>
      </c>
      <c r="D36" s="75" t="s">
        <v>140</v>
      </c>
      <c r="E36" s="78">
        <v>8</v>
      </c>
      <c r="F36" s="78">
        <v>12.4</v>
      </c>
      <c r="G36" s="78">
        <v>1302.02</v>
      </c>
      <c r="H36" s="79">
        <v>16.145</v>
      </c>
      <c r="I36" s="13">
        <f t="shared" si="3"/>
        <v>2690.8413333333338</v>
      </c>
      <c r="J36" s="23"/>
      <c r="K36" s="8"/>
      <c r="L36" s="8"/>
      <c r="M36" s="8"/>
    </row>
    <row r="37" spans="1:14" ht="15.75" hidden="1" customHeight="1">
      <c r="A37" s="40">
        <v>5</v>
      </c>
      <c r="B37" s="75" t="s">
        <v>110</v>
      </c>
      <c r="C37" s="76" t="s">
        <v>30</v>
      </c>
      <c r="D37" s="75" t="s">
        <v>62</v>
      </c>
      <c r="E37" s="84">
        <v>0.33</v>
      </c>
      <c r="F37" s="78">
        <v>51.666666666666664</v>
      </c>
      <c r="G37" s="78">
        <v>56.69</v>
      </c>
      <c r="H37" s="79">
        <f>SUM(G37*155/3/1000)</f>
        <v>2.9289833333333331</v>
      </c>
      <c r="I37" s="13">
        <f t="shared" si="3"/>
        <v>488.16388888888883</v>
      </c>
      <c r="J37" s="23"/>
      <c r="K37" s="8"/>
    </row>
    <row r="38" spans="1:14" ht="15.75" hidden="1" customHeight="1">
      <c r="A38" s="40">
        <v>4</v>
      </c>
      <c r="B38" s="75" t="s">
        <v>64</v>
      </c>
      <c r="C38" s="76" t="s">
        <v>33</v>
      </c>
      <c r="D38" s="75" t="s">
        <v>66</v>
      </c>
      <c r="E38" s="77"/>
      <c r="F38" s="78">
        <v>4</v>
      </c>
      <c r="G38" s="78">
        <v>191.32</v>
      </c>
      <c r="H38" s="79">
        <f t="shared" ref="H38:H39" si="4">SUM(F38*G38/1000)</f>
        <v>0.76527999999999996</v>
      </c>
      <c r="I38" s="13">
        <v>0</v>
      </c>
      <c r="J38" s="24"/>
    </row>
    <row r="39" spans="1:14" ht="15.75" hidden="1" customHeight="1">
      <c r="A39" s="30">
        <v>8</v>
      </c>
      <c r="B39" s="75" t="s">
        <v>65</v>
      </c>
      <c r="C39" s="76" t="s">
        <v>32</v>
      </c>
      <c r="D39" s="75" t="s">
        <v>66</v>
      </c>
      <c r="E39" s="77"/>
      <c r="F39" s="78">
        <v>3</v>
      </c>
      <c r="G39" s="78">
        <v>1136.32</v>
      </c>
      <c r="H39" s="79">
        <f t="shared" si="4"/>
        <v>3.40896</v>
      </c>
      <c r="I39" s="13">
        <v>0</v>
      </c>
      <c r="J39" s="24"/>
    </row>
    <row r="40" spans="1:14" ht="15.75" customHeight="1">
      <c r="A40" s="40"/>
      <c r="B40" s="48" t="s">
        <v>5</v>
      </c>
      <c r="C40" s="48"/>
      <c r="D40" s="48"/>
      <c r="E40" s="48"/>
      <c r="F40" s="13"/>
      <c r="G40" s="14"/>
      <c r="H40" s="14"/>
      <c r="I40" s="19"/>
      <c r="J40" s="24"/>
    </row>
    <row r="41" spans="1:14" ht="15.75" hidden="1" customHeight="1">
      <c r="A41" s="33">
        <v>8</v>
      </c>
      <c r="B41" s="75" t="s">
        <v>26</v>
      </c>
      <c r="C41" s="76" t="s">
        <v>32</v>
      </c>
      <c r="D41" s="75"/>
      <c r="E41" s="77"/>
      <c r="F41" s="78">
        <v>10</v>
      </c>
      <c r="G41" s="78">
        <v>1527.22</v>
      </c>
      <c r="H41" s="79">
        <f t="shared" ref="H41:H46" si="5">SUM(F41*G41/1000)</f>
        <v>15.272200000000002</v>
      </c>
      <c r="I41" s="13">
        <f>F41/6*G41</f>
        <v>2545.3666666666668</v>
      </c>
      <c r="J41" s="24"/>
    </row>
    <row r="42" spans="1:14" ht="15.75" customHeight="1">
      <c r="A42" s="33">
        <v>7</v>
      </c>
      <c r="B42" s="152" t="s">
        <v>67</v>
      </c>
      <c r="C42" s="153" t="s">
        <v>29</v>
      </c>
      <c r="D42" s="152" t="s">
        <v>143</v>
      </c>
      <c r="E42" s="154">
        <v>567.9</v>
      </c>
      <c r="F42" s="154">
        <f>SUM(E42*30/1000)</f>
        <v>17.036999999999999</v>
      </c>
      <c r="G42" s="154">
        <v>3014.36</v>
      </c>
      <c r="H42" s="79">
        <f t="shared" si="5"/>
        <v>51.35565132</v>
      </c>
      <c r="I42" s="13">
        <f>F42/6*G42</f>
        <v>8559.2752199999995</v>
      </c>
      <c r="J42" s="24"/>
    </row>
    <row r="43" spans="1:14" ht="16.5" customHeight="1">
      <c r="A43" s="33">
        <v>8</v>
      </c>
      <c r="B43" s="121" t="s">
        <v>68</v>
      </c>
      <c r="C43" s="122" t="s">
        <v>29</v>
      </c>
      <c r="D43" s="121" t="s">
        <v>238</v>
      </c>
      <c r="E43" s="123">
        <v>108</v>
      </c>
      <c r="F43" s="154">
        <f>SUM(E43*155/1000)</f>
        <v>16.739999999999998</v>
      </c>
      <c r="G43" s="123">
        <v>502.82</v>
      </c>
      <c r="H43" s="79">
        <f t="shared" si="5"/>
        <v>8.4172068000000007</v>
      </c>
      <c r="I43" s="13">
        <f>G43*F43/6</f>
        <v>1402.8678</v>
      </c>
      <c r="J43" s="24"/>
    </row>
    <row r="44" spans="1:14" ht="47.25" customHeight="1">
      <c r="A44" s="33">
        <v>9</v>
      </c>
      <c r="B44" s="121" t="s">
        <v>82</v>
      </c>
      <c r="C44" s="122" t="s">
        <v>107</v>
      </c>
      <c r="D44" s="121" t="s">
        <v>239</v>
      </c>
      <c r="E44" s="123">
        <v>108</v>
      </c>
      <c r="F44" s="154">
        <f>SUM(E44*35/1000)</f>
        <v>3.78</v>
      </c>
      <c r="G44" s="123">
        <v>8319.2999999999993</v>
      </c>
      <c r="H44" s="79">
        <f t="shared" si="5"/>
        <v>31.446953999999995</v>
      </c>
      <c r="I44" s="13">
        <f>F44/6*G44</f>
        <v>5241.1589999999997</v>
      </c>
      <c r="J44" s="24"/>
    </row>
    <row r="45" spans="1:14" ht="15.75" customHeight="1">
      <c r="A45" s="33">
        <v>10</v>
      </c>
      <c r="B45" s="121" t="s">
        <v>112</v>
      </c>
      <c r="C45" s="122" t="s">
        <v>107</v>
      </c>
      <c r="D45" s="121" t="s">
        <v>239</v>
      </c>
      <c r="E45" s="123">
        <v>108</v>
      </c>
      <c r="F45" s="154">
        <f>SUM(E45*35/1000)</f>
        <v>3.78</v>
      </c>
      <c r="G45" s="123">
        <v>614.55999999999995</v>
      </c>
      <c r="H45" s="79">
        <f t="shared" si="5"/>
        <v>2.3230367999999997</v>
      </c>
      <c r="I45" s="13">
        <f>F45/7.5*1.5*G45</f>
        <v>464.60735999999997</v>
      </c>
      <c r="J45" s="24"/>
      <c r="L45" s="20"/>
      <c r="M45" s="21"/>
      <c r="N45" s="22"/>
    </row>
    <row r="46" spans="1:14" ht="15.75" customHeight="1">
      <c r="A46" s="33">
        <v>11</v>
      </c>
      <c r="B46" s="180" t="s">
        <v>70</v>
      </c>
      <c r="C46" s="181" t="s">
        <v>33</v>
      </c>
      <c r="D46" s="180"/>
      <c r="E46" s="182"/>
      <c r="F46" s="183">
        <v>0.9</v>
      </c>
      <c r="G46" s="183">
        <v>800</v>
      </c>
      <c r="H46" s="90">
        <f t="shared" si="5"/>
        <v>0.72</v>
      </c>
      <c r="I46" s="117">
        <f>F46/7.5*1.5*G46</f>
        <v>144.00000000000003</v>
      </c>
      <c r="J46" s="24"/>
      <c r="L46" s="20"/>
      <c r="M46" s="21"/>
      <c r="N46" s="22"/>
    </row>
    <row r="47" spans="1:14" ht="30.75" customHeight="1">
      <c r="A47" s="189">
        <v>12</v>
      </c>
      <c r="B47" s="152" t="s">
        <v>178</v>
      </c>
      <c r="C47" s="153" t="s">
        <v>107</v>
      </c>
      <c r="D47" s="152" t="s">
        <v>240</v>
      </c>
      <c r="E47" s="151">
        <v>3</v>
      </c>
      <c r="F47" s="154">
        <f>E47*12/1000</f>
        <v>3.5999999999999997E-2</v>
      </c>
      <c r="G47" s="154">
        <v>19757.060000000001</v>
      </c>
      <c r="H47" s="13"/>
      <c r="I47" s="13">
        <f>G47*F47/6</f>
        <v>118.54235999999999</v>
      </c>
      <c r="J47" s="24"/>
      <c r="L47" s="20"/>
      <c r="M47" s="21"/>
      <c r="N47" s="22"/>
    </row>
    <row r="48" spans="1:14" ht="17.25" hidden="1" customHeight="1">
      <c r="A48" s="253" t="s">
        <v>136</v>
      </c>
      <c r="B48" s="254"/>
      <c r="C48" s="254"/>
      <c r="D48" s="254"/>
      <c r="E48" s="254"/>
      <c r="F48" s="254"/>
      <c r="G48" s="254"/>
      <c r="H48" s="254"/>
      <c r="I48" s="255"/>
      <c r="J48" s="24"/>
      <c r="L48" s="20"/>
      <c r="M48" s="21"/>
      <c r="N48" s="22"/>
    </row>
    <row r="49" spans="1:14" ht="20.25" hidden="1" customHeight="1">
      <c r="A49" s="40">
        <v>15</v>
      </c>
      <c r="B49" s="75" t="s">
        <v>113</v>
      </c>
      <c r="C49" s="76" t="s">
        <v>107</v>
      </c>
      <c r="D49" s="75" t="s">
        <v>41</v>
      </c>
      <c r="E49" s="77">
        <v>1571.3</v>
      </c>
      <c r="F49" s="78">
        <f>SUM(E49*2/1000)</f>
        <v>3.1425999999999998</v>
      </c>
      <c r="G49" s="13">
        <v>849.49</v>
      </c>
      <c r="H49" s="79">
        <f t="shared" ref="H49:H57" si="6">SUM(F49*G49/1000)</f>
        <v>2.6696072740000001</v>
      </c>
      <c r="I49" s="13">
        <v>0</v>
      </c>
      <c r="J49" s="24"/>
      <c r="L49" s="20"/>
      <c r="M49" s="21"/>
      <c r="N49" s="22"/>
    </row>
    <row r="50" spans="1:14" ht="17.25" hidden="1" customHeight="1">
      <c r="A50" s="40"/>
      <c r="B50" s="75" t="s">
        <v>34</v>
      </c>
      <c r="C50" s="76" t="s">
        <v>107</v>
      </c>
      <c r="D50" s="75" t="s">
        <v>41</v>
      </c>
      <c r="E50" s="77">
        <v>92.8</v>
      </c>
      <c r="F50" s="78">
        <f>SUM(E50*2/1000)</f>
        <v>0.18559999999999999</v>
      </c>
      <c r="G50" s="13">
        <v>579.48</v>
      </c>
      <c r="H50" s="79">
        <f t="shared" si="6"/>
        <v>0.10755148799999999</v>
      </c>
      <c r="I50" s="13">
        <v>0</v>
      </c>
      <c r="J50" s="24"/>
      <c r="L50" s="20"/>
      <c r="M50" s="21"/>
      <c r="N50" s="22"/>
    </row>
    <row r="51" spans="1:14" ht="13.5" hidden="1" customHeight="1">
      <c r="A51" s="40">
        <v>16</v>
      </c>
      <c r="B51" s="75" t="s">
        <v>35</v>
      </c>
      <c r="C51" s="76" t="s">
        <v>107</v>
      </c>
      <c r="D51" s="75" t="s">
        <v>41</v>
      </c>
      <c r="E51" s="77">
        <v>4737.7</v>
      </c>
      <c r="F51" s="78">
        <f>SUM(E51*2/1000)</f>
        <v>9.4754000000000005</v>
      </c>
      <c r="G51" s="13">
        <v>579.48</v>
      </c>
      <c r="H51" s="79">
        <f t="shared" si="6"/>
        <v>5.4908047920000005</v>
      </c>
      <c r="I51" s="13">
        <v>0</v>
      </c>
      <c r="J51" s="24"/>
      <c r="L51" s="20"/>
      <c r="M51" s="21"/>
      <c r="N51" s="22"/>
    </row>
    <row r="52" spans="1:14" ht="13.5" hidden="1" customHeight="1">
      <c r="A52" s="40">
        <v>17</v>
      </c>
      <c r="B52" s="75" t="s">
        <v>36</v>
      </c>
      <c r="C52" s="76" t="s">
        <v>107</v>
      </c>
      <c r="D52" s="75" t="s">
        <v>41</v>
      </c>
      <c r="E52" s="77">
        <v>2811.99</v>
      </c>
      <c r="F52" s="78">
        <f>SUM(E52*2/1000)</f>
        <v>5.6239799999999995</v>
      </c>
      <c r="G52" s="13">
        <v>606.77</v>
      </c>
      <c r="H52" s="79">
        <f t="shared" si="6"/>
        <v>3.4124623445999998</v>
      </c>
      <c r="I52" s="13">
        <v>0</v>
      </c>
      <c r="J52" s="24"/>
      <c r="L52" s="20"/>
      <c r="M52" s="21"/>
      <c r="N52" s="22"/>
    </row>
    <row r="53" spans="1:14" ht="19.5" hidden="1" customHeight="1">
      <c r="A53" s="40">
        <v>12</v>
      </c>
      <c r="B53" s="75" t="s">
        <v>55</v>
      </c>
      <c r="C53" s="76" t="s">
        <v>107</v>
      </c>
      <c r="D53" s="75" t="s">
        <v>143</v>
      </c>
      <c r="E53" s="77">
        <v>1571.3</v>
      </c>
      <c r="F53" s="78">
        <f>SUM(E53*5/1000)</f>
        <v>7.8564999999999996</v>
      </c>
      <c r="G53" s="13">
        <v>1213.55</v>
      </c>
      <c r="H53" s="79">
        <f t="shared" si="6"/>
        <v>9.5342555749999995</v>
      </c>
      <c r="I53" s="13">
        <f>F53/5*G53</f>
        <v>1906.8511149999999</v>
      </c>
      <c r="J53" s="24"/>
      <c r="L53" s="20"/>
      <c r="M53" s="21"/>
      <c r="N53" s="22"/>
    </row>
    <row r="54" spans="1:14" ht="15.75" hidden="1" customHeight="1">
      <c r="A54" s="40">
        <v>13</v>
      </c>
      <c r="B54" s="75" t="s">
        <v>114</v>
      </c>
      <c r="C54" s="76" t="s">
        <v>107</v>
      </c>
      <c r="D54" s="75" t="s">
        <v>41</v>
      </c>
      <c r="E54" s="77">
        <v>1571.3</v>
      </c>
      <c r="F54" s="78">
        <f>SUM(E54*2/1000)</f>
        <v>3.1425999999999998</v>
      </c>
      <c r="G54" s="13">
        <v>1213.55</v>
      </c>
      <c r="H54" s="79">
        <f t="shared" si="6"/>
        <v>3.8137022300000001</v>
      </c>
      <c r="I54" s="13">
        <v>0</v>
      </c>
      <c r="J54" s="24"/>
      <c r="L54" s="20"/>
      <c r="M54" s="21"/>
      <c r="N54" s="22"/>
    </row>
    <row r="55" spans="1:14" ht="17.25" hidden="1" customHeight="1">
      <c r="A55" s="40">
        <v>14</v>
      </c>
      <c r="B55" s="75" t="s">
        <v>115</v>
      </c>
      <c r="C55" s="76" t="s">
        <v>37</v>
      </c>
      <c r="D55" s="75" t="s">
        <v>41</v>
      </c>
      <c r="E55" s="77">
        <v>40</v>
      </c>
      <c r="F55" s="78">
        <f>SUM(E55*2/100)</f>
        <v>0.8</v>
      </c>
      <c r="G55" s="13">
        <v>2730.49</v>
      </c>
      <c r="H55" s="79">
        <f t="shared" si="6"/>
        <v>2.1843919999999999</v>
      </c>
      <c r="I55" s="13">
        <v>0</v>
      </c>
      <c r="J55" s="24"/>
      <c r="L55" s="20"/>
      <c r="M55" s="21"/>
      <c r="N55" s="22"/>
    </row>
    <row r="56" spans="1:14" ht="15.75" hidden="1" customHeight="1">
      <c r="A56" s="40">
        <v>12</v>
      </c>
      <c r="B56" s="75" t="s">
        <v>38</v>
      </c>
      <c r="C56" s="76" t="s">
        <v>39</v>
      </c>
      <c r="D56" s="75" t="s">
        <v>41</v>
      </c>
      <c r="E56" s="77">
        <v>1</v>
      </c>
      <c r="F56" s="78">
        <v>0.02</v>
      </c>
      <c r="G56" s="13">
        <v>5652.13</v>
      </c>
      <c r="H56" s="79">
        <f t="shared" si="6"/>
        <v>0.11304260000000001</v>
      </c>
      <c r="I56" s="13">
        <f>F56/2*G56</f>
        <v>56.521300000000004</v>
      </c>
      <c r="J56" s="24"/>
      <c r="L56" s="20"/>
      <c r="M56" s="21"/>
      <c r="N56" s="22"/>
    </row>
    <row r="57" spans="1:14" ht="14.25" hidden="1" customHeight="1">
      <c r="A57" s="40">
        <v>13</v>
      </c>
      <c r="B57" s="75" t="s">
        <v>40</v>
      </c>
      <c r="C57" s="76" t="s">
        <v>116</v>
      </c>
      <c r="D57" s="75" t="s">
        <v>71</v>
      </c>
      <c r="E57" s="77">
        <v>238</v>
      </c>
      <c r="F57" s="78">
        <f>SUM(E57)*3</f>
        <v>714</v>
      </c>
      <c r="G57" s="13">
        <v>65.67</v>
      </c>
      <c r="H57" s="79">
        <f t="shared" si="6"/>
        <v>46.888380000000005</v>
      </c>
      <c r="I57" s="13">
        <f>E57*G57</f>
        <v>15629.460000000001</v>
      </c>
      <c r="J57" s="24"/>
      <c r="L57" s="20"/>
      <c r="M57" s="21"/>
      <c r="N57" s="22"/>
    </row>
    <row r="58" spans="1:14" ht="13.5" customHeight="1">
      <c r="A58" s="185"/>
      <c r="B58" s="20"/>
      <c r="C58" s="186"/>
      <c r="D58" s="20"/>
      <c r="E58" s="97"/>
      <c r="F58" s="96"/>
      <c r="G58" s="187"/>
      <c r="H58" s="96"/>
      <c r="I58" s="188"/>
      <c r="J58" s="24"/>
      <c r="L58" s="20"/>
      <c r="M58" s="21"/>
      <c r="N58" s="22"/>
    </row>
    <row r="59" spans="1:14" ht="15.75" customHeight="1">
      <c r="A59" s="239" t="s">
        <v>136</v>
      </c>
      <c r="B59" s="240"/>
      <c r="C59" s="240"/>
      <c r="D59" s="240"/>
      <c r="E59" s="240"/>
      <c r="F59" s="240"/>
      <c r="G59" s="240"/>
      <c r="H59" s="240"/>
      <c r="I59" s="241"/>
      <c r="J59" s="24"/>
      <c r="L59" s="20"/>
      <c r="M59" s="21"/>
      <c r="N59" s="22"/>
    </row>
    <row r="60" spans="1:14" ht="15.75" customHeight="1">
      <c r="A60" s="178"/>
      <c r="B60" s="47" t="s">
        <v>42</v>
      </c>
      <c r="C60" s="17"/>
      <c r="D60" s="16"/>
      <c r="E60" s="16"/>
      <c r="F60" s="16"/>
      <c r="G60" s="30"/>
      <c r="H60" s="30"/>
      <c r="I60" s="19"/>
      <c r="J60" s="24"/>
      <c r="L60" s="20"/>
      <c r="M60" s="21"/>
      <c r="N60" s="22"/>
    </row>
    <row r="61" spans="1:14" ht="31.5" customHeight="1">
      <c r="A61" s="40">
        <v>13</v>
      </c>
      <c r="B61" s="121" t="s">
        <v>132</v>
      </c>
      <c r="C61" s="122" t="s">
        <v>100</v>
      </c>
      <c r="D61" s="121"/>
      <c r="E61" s="140">
        <v>147</v>
      </c>
      <c r="F61" s="123">
        <f>E61*6/100</f>
        <v>8.82</v>
      </c>
      <c r="G61" s="155">
        <v>2218.11</v>
      </c>
      <c r="H61" s="79">
        <f>F61*G61/1000</f>
        <v>19.563730200000002</v>
      </c>
      <c r="I61" s="13">
        <f>G61*0.24</f>
        <v>532.34640000000002</v>
      </c>
      <c r="J61" s="24"/>
      <c r="L61" s="20"/>
      <c r="M61" s="21"/>
      <c r="N61" s="22"/>
    </row>
    <row r="62" spans="1:14" ht="15.75" customHeight="1">
      <c r="A62" s="40">
        <v>14</v>
      </c>
      <c r="B62" s="111" t="s">
        <v>92</v>
      </c>
      <c r="C62" s="112" t="s">
        <v>100</v>
      </c>
      <c r="D62" s="111" t="s">
        <v>234</v>
      </c>
      <c r="E62" s="113">
        <v>17.579999999999998</v>
      </c>
      <c r="F62" s="114">
        <f>E62*6/100</f>
        <v>1.0548</v>
      </c>
      <c r="G62" s="155">
        <v>2218.11</v>
      </c>
      <c r="H62" s="90">
        <f>F62*G62/1000</f>
        <v>2.339662428</v>
      </c>
      <c r="I62" s="13">
        <f>F62/6*G62</f>
        <v>389.943738</v>
      </c>
      <c r="J62" s="24"/>
      <c r="L62" s="20"/>
      <c r="M62" s="21"/>
      <c r="N62" s="22"/>
    </row>
    <row r="63" spans="1:14" ht="15.75" hidden="1" customHeight="1">
      <c r="A63" s="40">
        <v>16</v>
      </c>
      <c r="B63" s="86" t="s">
        <v>96</v>
      </c>
      <c r="C63" s="87" t="s">
        <v>97</v>
      </c>
      <c r="D63" s="86" t="s">
        <v>41</v>
      </c>
      <c r="E63" s="88">
        <v>8</v>
      </c>
      <c r="F63" s="89">
        <v>16</v>
      </c>
      <c r="G63" s="91">
        <v>180.78</v>
      </c>
      <c r="H63" s="90">
        <f>F63*G63/1000</f>
        <v>2.8924799999999999</v>
      </c>
      <c r="I63" s="13">
        <f>F63/2*G63</f>
        <v>1446.24</v>
      </c>
      <c r="J63" s="24"/>
      <c r="L63" s="20"/>
      <c r="M63" s="21"/>
      <c r="N63" s="22"/>
    </row>
    <row r="64" spans="1:14" ht="15.75" customHeight="1">
      <c r="A64" s="40"/>
      <c r="B64" s="177" t="s">
        <v>43</v>
      </c>
      <c r="C64" s="177"/>
      <c r="D64" s="177"/>
      <c r="E64" s="177"/>
      <c r="F64" s="177"/>
      <c r="G64" s="177"/>
      <c r="H64" s="177"/>
      <c r="I64" s="35"/>
      <c r="J64" s="24"/>
      <c r="L64" s="20"/>
      <c r="M64" s="21"/>
      <c r="N64" s="22"/>
    </row>
    <row r="65" spans="1:22" ht="16.5" customHeight="1">
      <c r="A65" s="40">
        <v>15</v>
      </c>
      <c r="B65" s="86" t="s">
        <v>93</v>
      </c>
      <c r="C65" s="87" t="s">
        <v>25</v>
      </c>
      <c r="D65" s="111" t="s">
        <v>234</v>
      </c>
      <c r="E65" s="113">
        <v>200</v>
      </c>
      <c r="F65" s="114">
        <f>E65*12</f>
        <v>2400</v>
      </c>
      <c r="G65" s="115">
        <v>1.4</v>
      </c>
      <c r="H65" s="116">
        <f>G65*F65/1000</f>
        <v>3.36</v>
      </c>
      <c r="I65" s="13">
        <f>F65/12*G65</f>
        <v>280</v>
      </c>
      <c r="J65" s="24"/>
      <c r="L65" s="20"/>
      <c r="M65" s="21"/>
      <c r="N65" s="22"/>
    </row>
    <row r="66" spans="1:22" ht="15.75" hidden="1" customHeight="1">
      <c r="A66" s="40">
        <v>14</v>
      </c>
      <c r="B66" s="86" t="s">
        <v>44</v>
      </c>
      <c r="C66" s="87" t="s">
        <v>25</v>
      </c>
      <c r="D66" s="86" t="s">
        <v>53</v>
      </c>
      <c r="E66" s="88">
        <v>1571.3</v>
      </c>
      <c r="F66" s="89">
        <f>E66/100</f>
        <v>15.712999999999999</v>
      </c>
      <c r="G66" s="93">
        <v>793.61</v>
      </c>
      <c r="H66" s="90">
        <f>G66*F66/1000</f>
        <v>12.469993929999999</v>
      </c>
      <c r="I66" s="13">
        <v>0</v>
      </c>
      <c r="J66" s="24"/>
      <c r="L66" s="20"/>
      <c r="M66" s="21"/>
      <c r="N66" s="22"/>
    </row>
    <row r="67" spans="1:22" ht="15.75" hidden="1" customHeight="1">
      <c r="A67" s="40"/>
      <c r="B67" s="177" t="s">
        <v>45</v>
      </c>
      <c r="C67" s="17"/>
      <c r="D67" s="37"/>
      <c r="E67" s="37"/>
      <c r="F67" s="16"/>
      <c r="G67" s="30"/>
      <c r="H67" s="30"/>
      <c r="I67" s="19"/>
      <c r="J67" s="24"/>
      <c r="L67" s="20"/>
      <c r="M67" s="21"/>
      <c r="N67" s="22"/>
    </row>
    <row r="68" spans="1:22" ht="15.75" hidden="1" customHeight="1">
      <c r="A68" s="40">
        <v>18</v>
      </c>
      <c r="B68" s="15" t="s">
        <v>46</v>
      </c>
      <c r="C68" s="17" t="s">
        <v>116</v>
      </c>
      <c r="D68" s="15" t="s">
        <v>66</v>
      </c>
      <c r="E68" s="19">
        <v>35</v>
      </c>
      <c r="F68" s="78">
        <v>35</v>
      </c>
      <c r="G68" s="13">
        <v>222.4</v>
      </c>
      <c r="H68" s="94">
        <f t="shared" ref="H68:H75" si="7">SUM(F68*G68/1000)</f>
        <v>7.7839999999999998</v>
      </c>
      <c r="I68" s="13">
        <f>G68</f>
        <v>222.4</v>
      </c>
      <c r="J68" s="24"/>
      <c r="L68" s="20"/>
    </row>
    <row r="69" spans="1:22" ht="15.75" hidden="1" customHeight="1">
      <c r="A69" s="30">
        <v>29</v>
      </c>
      <c r="B69" s="15" t="s">
        <v>47</v>
      </c>
      <c r="C69" s="17" t="s">
        <v>116</v>
      </c>
      <c r="D69" s="15" t="s">
        <v>66</v>
      </c>
      <c r="E69" s="19">
        <v>17</v>
      </c>
      <c r="F69" s="78">
        <v>20</v>
      </c>
      <c r="G69" s="13">
        <v>76.25</v>
      </c>
      <c r="H69" s="94">
        <f t="shared" si="7"/>
        <v>1.5249999999999999</v>
      </c>
      <c r="I69" s="13">
        <v>0</v>
      </c>
    </row>
    <row r="70" spans="1:22" ht="15.75" hidden="1" customHeight="1">
      <c r="A70" s="30">
        <v>8</v>
      </c>
      <c r="B70" s="15" t="s">
        <v>48</v>
      </c>
      <c r="C70" s="17" t="s">
        <v>118</v>
      </c>
      <c r="D70" s="15" t="s">
        <v>53</v>
      </c>
      <c r="E70" s="77">
        <v>22639</v>
      </c>
      <c r="F70" s="13">
        <f>SUM(E70/100)</f>
        <v>226.39</v>
      </c>
      <c r="G70" s="13">
        <v>212.15</v>
      </c>
      <c r="H70" s="94">
        <f t="shared" si="7"/>
        <v>48.0286385</v>
      </c>
      <c r="I70" s="13">
        <v>0</v>
      </c>
    </row>
    <row r="71" spans="1:22" ht="15.75" hidden="1" customHeight="1">
      <c r="A71" s="30">
        <v>9</v>
      </c>
      <c r="B71" s="15" t="s">
        <v>49</v>
      </c>
      <c r="C71" s="17" t="s">
        <v>119</v>
      </c>
      <c r="D71" s="15"/>
      <c r="E71" s="77">
        <v>22639</v>
      </c>
      <c r="F71" s="13">
        <f>SUM(E71/1000)</f>
        <v>22.638999999999999</v>
      </c>
      <c r="G71" s="13">
        <v>165.21</v>
      </c>
      <c r="H71" s="94">
        <f t="shared" si="7"/>
        <v>3.7401891900000002</v>
      </c>
      <c r="I71" s="13">
        <v>0</v>
      </c>
    </row>
    <row r="72" spans="1:22" ht="15.75" hidden="1" customHeight="1">
      <c r="A72" s="30">
        <v>10</v>
      </c>
      <c r="B72" s="15" t="s">
        <v>50</v>
      </c>
      <c r="C72" s="17" t="s">
        <v>76</v>
      </c>
      <c r="D72" s="15" t="s">
        <v>53</v>
      </c>
      <c r="E72" s="77">
        <v>3145</v>
      </c>
      <c r="F72" s="13">
        <f>SUM(E72/100)</f>
        <v>31.45</v>
      </c>
      <c r="G72" s="13">
        <v>2074.63</v>
      </c>
      <c r="H72" s="94">
        <f t="shared" si="7"/>
        <v>65.247113499999998</v>
      </c>
      <c r="I72" s="13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11</v>
      </c>
      <c r="B73" s="95" t="s">
        <v>120</v>
      </c>
      <c r="C73" s="17" t="s">
        <v>33</v>
      </c>
      <c r="D73" s="15"/>
      <c r="E73" s="77">
        <v>20.28</v>
      </c>
      <c r="F73" s="13">
        <f>SUM(E73)</f>
        <v>20.28</v>
      </c>
      <c r="G73" s="13">
        <v>42.67</v>
      </c>
      <c r="H73" s="94">
        <f t="shared" si="7"/>
        <v>0.86534760000000011</v>
      </c>
      <c r="I73" s="13">
        <v>0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hidden="1" customHeight="1">
      <c r="A74" s="30">
        <v>12</v>
      </c>
      <c r="B74" s="95" t="s">
        <v>145</v>
      </c>
      <c r="C74" s="17" t="s">
        <v>33</v>
      </c>
      <c r="D74" s="15"/>
      <c r="E74" s="77">
        <v>20.28</v>
      </c>
      <c r="F74" s="13">
        <f>SUM(E74)</f>
        <v>20.28</v>
      </c>
      <c r="G74" s="13">
        <v>39.81</v>
      </c>
      <c r="H74" s="94">
        <f t="shared" si="7"/>
        <v>0.80734680000000014</v>
      </c>
      <c r="I74" s="13">
        <v>0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20.25" hidden="1" customHeight="1">
      <c r="A75" s="30">
        <v>13</v>
      </c>
      <c r="B75" s="15" t="s">
        <v>56</v>
      </c>
      <c r="C75" s="17" t="s">
        <v>57</v>
      </c>
      <c r="D75" s="15" t="s">
        <v>53</v>
      </c>
      <c r="E75" s="19">
        <v>15</v>
      </c>
      <c r="F75" s="78">
        <f>SUM(E75)</f>
        <v>15</v>
      </c>
      <c r="G75" s="13">
        <v>49.88</v>
      </c>
      <c r="H75" s="94">
        <f t="shared" si="7"/>
        <v>0.74820000000000009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245"/>
      <c r="S75" s="245"/>
      <c r="T75" s="245"/>
      <c r="U75" s="245"/>
    </row>
    <row r="76" spans="1:22" ht="20.25" customHeight="1">
      <c r="A76" s="30"/>
      <c r="B76" s="157" t="s">
        <v>183</v>
      </c>
      <c r="C76" s="38"/>
      <c r="D76" s="37"/>
      <c r="E76" s="18"/>
      <c r="F76" s="158"/>
      <c r="G76" s="36"/>
      <c r="H76" s="94"/>
      <c r="I76" s="13"/>
      <c r="J76" s="5"/>
      <c r="K76" s="5"/>
      <c r="L76" s="5"/>
      <c r="M76" s="5"/>
      <c r="N76" s="5"/>
      <c r="O76" s="5"/>
      <c r="P76" s="5"/>
      <c r="Q76" s="5"/>
      <c r="R76" s="176"/>
      <c r="S76" s="176"/>
      <c r="T76" s="176"/>
      <c r="U76" s="176"/>
    </row>
    <row r="77" spans="1:22" ht="33.75" customHeight="1">
      <c r="A77" s="30">
        <v>16</v>
      </c>
      <c r="B77" s="37" t="s">
        <v>184</v>
      </c>
      <c r="C77" s="40" t="s">
        <v>185</v>
      </c>
      <c r="D77" s="37"/>
      <c r="E77" s="18">
        <v>5836.1</v>
      </c>
      <c r="F77" s="36">
        <f>E77*12</f>
        <v>70033.200000000012</v>
      </c>
      <c r="G77" s="36">
        <v>2.4900000000000002</v>
      </c>
      <c r="H77" s="94"/>
      <c r="I77" s="13">
        <f>G77*F77/12</f>
        <v>14531.889000000003</v>
      </c>
      <c r="J77" s="5"/>
      <c r="K77" s="5"/>
      <c r="L77" s="5"/>
      <c r="M77" s="5"/>
      <c r="N77" s="5"/>
      <c r="O77" s="5"/>
      <c r="P77" s="5"/>
      <c r="Q77" s="5"/>
      <c r="R77" s="176"/>
      <c r="S77" s="176"/>
      <c r="T77" s="176"/>
      <c r="U77" s="176"/>
    </row>
    <row r="78" spans="1:22" ht="18" customHeight="1">
      <c r="A78" s="30"/>
      <c r="B78" s="48" t="s">
        <v>72</v>
      </c>
      <c r="C78" s="48"/>
      <c r="D78" s="48"/>
      <c r="E78" s="48"/>
      <c r="F78" s="19"/>
      <c r="G78" s="30"/>
      <c r="H78" s="30"/>
      <c r="I78" s="19"/>
    </row>
    <row r="79" spans="1:22" ht="15" hidden="1" customHeight="1">
      <c r="A79" s="30">
        <v>15</v>
      </c>
      <c r="B79" s="15" t="s">
        <v>73</v>
      </c>
      <c r="C79" s="17" t="s">
        <v>31</v>
      </c>
      <c r="D79" s="15"/>
      <c r="E79" s="19">
        <v>5</v>
      </c>
      <c r="F79" s="96">
        <v>0.5</v>
      </c>
      <c r="G79" s="13">
        <v>501.62</v>
      </c>
      <c r="H79" s="94">
        <f>F79*G79/1000</f>
        <v>0.25080999999999998</v>
      </c>
      <c r="I79" s="13">
        <v>0</v>
      </c>
    </row>
    <row r="80" spans="1:22" ht="18" hidden="1" customHeight="1">
      <c r="A80" s="30"/>
      <c r="B80" s="15" t="s">
        <v>124</v>
      </c>
      <c r="C80" s="17" t="s">
        <v>30</v>
      </c>
      <c r="D80" s="15"/>
      <c r="E80" s="19">
        <v>1</v>
      </c>
      <c r="F80" s="13">
        <v>1</v>
      </c>
      <c r="G80" s="13">
        <v>120.26</v>
      </c>
      <c r="H80" s="94">
        <f>G80*F80/1000</f>
        <v>0.12026000000000001</v>
      </c>
      <c r="I80" s="13">
        <v>0</v>
      </c>
    </row>
    <row r="81" spans="1:21" ht="14.25" hidden="1" customHeight="1">
      <c r="A81" s="30"/>
      <c r="B81" s="15" t="s">
        <v>123</v>
      </c>
      <c r="C81" s="17" t="s">
        <v>30</v>
      </c>
      <c r="D81" s="15"/>
      <c r="E81" s="19">
        <v>1</v>
      </c>
      <c r="F81" s="96">
        <v>1</v>
      </c>
      <c r="G81" s="13">
        <v>99.85</v>
      </c>
      <c r="H81" s="94">
        <f>G81*F81/1000</f>
        <v>9.9849999999999994E-2</v>
      </c>
      <c r="I81" s="13">
        <v>0</v>
      </c>
    </row>
    <row r="82" spans="1:21" ht="15.75" hidden="1" customHeight="1">
      <c r="A82" s="30"/>
      <c r="B82" s="15" t="s">
        <v>85</v>
      </c>
      <c r="C82" s="17" t="s">
        <v>30</v>
      </c>
      <c r="D82" s="15"/>
      <c r="E82" s="19">
        <v>2</v>
      </c>
      <c r="F82" s="78">
        <f>SUM(E82)</f>
        <v>2</v>
      </c>
      <c r="G82" s="13">
        <v>358.51</v>
      </c>
      <c r="H82" s="94">
        <f t="shared" ref="H82" si="8">SUM(F82*G82/1000)</f>
        <v>0.71701999999999999</v>
      </c>
      <c r="I82" s="13">
        <v>0</v>
      </c>
    </row>
    <row r="83" spans="1:21" ht="16.5" hidden="1" customHeight="1">
      <c r="A83" s="30">
        <v>18</v>
      </c>
      <c r="B83" s="15" t="s">
        <v>74</v>
      </c>
      <c r="C83" s="17" t="s">
        <v>30</v>
      </c>
      <c r="D83" s="15"/>
      <c r="E83" s="19">
        <v>2</v>
      </c>
      <c r="F83" s="13">
        <v>2</v>
      </c>
      <c r="G83" s="13">
        <v>852.99</v>
      </c>
      <c r="H83" s="94">
        <f>F83*G83/1000</f>
        <v>1.7059800000000001</v>
      </c>
      <c r="I83" s="13">
        <f>G83</f>
        <v>852.99</v>
      </c>
    </row>
    <row r="84" spans="1:21" ht="16.5" customHeight="1">
      <c r="A84" s="30">
        <v>17</v>
      </c>
      <c r="B84" s="106" t="s">
        <v>186</v>
      </c>
      <c r="C84" s="107" t="s">
        <v>116</v>
      </c>
      <c r="D84" s="37" t="s">
        <v>235</v>
      </c>
      <c r="E84" s="18">
        <v>1</v>
      </c>
      <c r="F84" s="36">
        <v>12</v>
      </c>
      <c r="G84" s="36">
        <v>58.39</v>
      </c>
      <c r="H84" s="94"/>
      <c r="I84" s="13">
        <f>G84*F84/12</f>
        <v>58.390000000000008</v>
      </c>
    </row>
    <row r="85" spans="1:21" ht="17.25" hidden="1" customHeight="1">
      <c r="A85" s="30"/>
      <c r="B85" s="49" t="s">
        <v>75</v>
      </c>
      <c r="C85" s="38"/>
      <c r="D85" s="30"/>
      <c r="E85" s="30"/>
      <c r="F85" s="19"/>
      <c r="G85" s="36"/>
      <c r="H85" s="36"/>
      <c r="I85" s="19"/>
    </row>
    <row r="86" spans="1:21" ht="22.5" hidden="1" customHeight="1">
      <c r="A86" s="30">
        <v>39</v>
      </c>
      <c r="B86" s="51" t="s">
        <v>125</v>
      </c>
      <c r="C86" s="17" t="s">
        <v>76</v>
      </c>
      <c r="D86" s="15"/>
      <c r="E86" s="19"/>
      <c r="F86" s="13">
        <v>1.35</v>
      </c>
      <c r="G86" s="13">
        <v>2759.44</v>
      </c>
      <c r="H86" s="94">
        <f t="shared" ref="H86" si="9">SUM(F86*G86/1000)</f>
        <v>3.725244</v>
      </c>
      <c r="I86" s="13">
        <v>0</v>
      </c>
    </row>
    <row r="87" spans="1:21" ht="21.75" hidden="1" customHeight="1">
      <c r="A87" s="178"/>
      <c r="B87" s="177" t="s">
        <v>121</v>
      </c>
      <c r="C87" s="177"/>
      <c r="D87" s="177"/>
      <c r="E87" s="177"/>
      <c r="F87" s="177"/>
      <c r="G87" s="177"/>
      <c r="H87" s="177"/>
      <c r="I87" s="1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4.25" hidden="1" customHeight="1">
      <c r="A88" s="30">
        <v>19</v>
      </c>
      <c r="B88" s="75" t="s">
        <v>122</v>
      </c>
      <c r="C88" s="17"/>
      <c r="D88" s="15"/>
      <c r="E88" s="97"/>
      <c r="F88" s="13">
        <v>1</v>
      </c>
      <c r="G88" s="120">
        <v>26896</v>
      </c>
      <c r="H88" s="94">
        <f>G88*F88/1000</f>
        <v>26.896000000000001</v>
      </c>
      <c r="I88" s="13">
        <f>G88</f>
        <v>26896</v>
      </c>
    </row>
    <row r="89" spans="1:21" ht="15.75" customHeight="1">
      <c r="A89" s="239" t="s">
        <v>137</v>
      </c>
      <c r="B89" s="240"/>
      <c r="C89" s="240"/>
      <c r="D89" s="240"/>
      <c r="E89" s="240"/>
      <c r="F89" s="240"/>
      <c r="G89" s="240"/>
      <c r="H89" s="240"/>
      <c r="I89" s="241"/>
    </row>
    <row r="90" spans="1:21" ht="15.75" customHeight="1">
      <c r="A90" s="30">
        <v>18</v>
      </c>
      <c r="B90" s="37" t="s">
        <v>126</v>
      </c>
      <c r="C90" s="38" t="s">
        <v>54</v>
      </c>
      <c r="D90" s="167"/>
      <c r="E90" s="36">
        <v>5836.1</v>
      </c>
      <c r="F90" s="36">
        <f>SUM(E90*12)</f>
        <v>70033.200000000012</v>
      </c>
      <c r="G90" s="36">
        <v>3.38</v>
      </c>
      <c r="H90" s="94">
        <f>SUM(F90*G90/1000)</f>
        <v>236.71221600000004</v>
      </c>
      <c r="I90" s="13">
        <f>F90/12*G90</f>
        <v>19726.018000000004</v>
      </c>
    </row>
    <row r="91" spans="1:21" ht="31.5" customHeight="1">
      <c r="A91" s="30">
        <v>19</v>
      </c>
      <c r="B91" s="37" t="s">
        <v>77</v>
      </c>
      <c r="C91" s="38"/>
      <c r="D91" s="170"/>
      <c r="E91" s="171">
        <f>E90</f>
        <v>5836.1</v>
      </c>
      <c r="F91" s="172">
        <f>E91*12</f>
        <v>70033.200000000012</v>
      </c>
      <c r="G91" s="172">
        <v>3.83</v>
      </c>
      <c r="H91" s="94">
        <f>F91*G91/1000</f>
        <v>268.22715600000009</v>
      </c>
      <c r="I91" s="13">
        <f>F91/12*G91</f>
        <v>22352.263000000006</v>
      </c>
    </row>
    <row r="92" spans="1:21" ht="15.75" customHeight="1">
      <c r="A92" s="178"/>
      <c r="B92" s="39" t="s">
        <v>79</v>
      </c>
      <c r="C92" s="40"/>
      <c r="D92" s="16"/>
      <c r="E92" s="16"/>
      <c r="F92" s="16"/>
      <c r="G92" s="19"/>
      <c r="H92" s="19"/>
      <c r="I92" s="32">
        <f>I91+I90+I65+I62+I61+I47+I46+I45+I44+I43+I42+I29+I28+I27+I18+I17+I16+I77+I84</f>
        <v>103869.42493333334</v>
      </c>
    </row>
    <row r="93" spans="1:21" ht="15.75" customHeight="1">
      <c r="A93" s="242" t="s">
        <v>59</v>
      </c>
      <c r="B93" s="243"/>
      <c r="C93" s="243"/>
      <c r="D93" s="243"/>
      <c r="E93" s="243"/>
      <c r="F93" s="243"/>
      <c r="G93" s="243"/>
      <c r="H93" s="243"/>
      <c r="I93" s="244"/>
    </row>
    <row r="94" spans="1:21" ht="15.75" customHeight="1">
      <c r="A94" s="197">
        <v>20</v>
      </c>
      <c r="B94" s="106" t="s">
        <v>199</v>
      </c>
      <c r="C94" s="107" t="s">
        <v>29</v>
      </c>
      <c r="D94" s="41"/>
      <c r="E94" s="41"/>
      <c r="F94" s="41"/>
      <c r="G94" s="36">
        <v>830.69</v>
      </c>
      <c r="H94" s="41"/>
      <c r="I94" s="196">
        <f>G94*0.004</f>
        <v>3.3227600000000002</v>
      </c>
    </row>
    <row r="95" spans="1:21" ht="15.75" customHeight="1">
      <c r="A95" s="197">
        <v>21</v>
      </c>
      <c r="B95" s="108" t="s">
        <v>188</v>
      </c>
      <c r="C95" s="38" t="s">
        <v>169</v>
      </c>
      <c r="D95" s="41"/>
      <c r="E95" s="41"/>
      <c r="F95" s="41"/>
      <c r="G95" s="36">
        <v>273</v>
      </c>
      <c r="H95" s="41"/>
      <c r="I95" s="196">
        <f>G95*5</f>
        <v>1365</v>
      </c>
    </row>
    <row r="96" spans="1:21" ht="15.75" customHeight="1">
      <c r="A96" s="197">
        <v>22</v>
      </c>
      <c r="B96" s="106" t="s">
        <v>81</v>
      </c>
      <c r="C96" s="107" t="s">
        <v>116</v>
      </c>
      <c r="D96" s="41"/>
      <c r="E96" s="41"/>
      <c r="F96" s="41"/>
      <c r="G96" s="36">
        <v>207.55</v>
      </c>
      <c r="H96" s="41"/>
      <c r="I96" s="196">
        <f>G96*1</f>
        <v>207.55</v>
      </c>
    </row>
    <row r="97" spans="1:9" ht="15.75" customHeight="1">
      <c r="A97" s="30"/>
      <c r="B97" s="45" t="s">
        <v>51</v>
      </c>
      <c r="C97" s="41"/>
      <c r="D97" s="53"/>
      <c r="E97" s="53"/>
      <c r="F97" s="41">
        <v>1</v>
      </c>
      <c r="G97" s="41"/>
      <c r="H97" s="41"/>
      <c r="I97" s="32">
        <f>SUM(I94:I96)</f>
        <v>1575.87276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139</v>
      </c>
      <c r="C99" s="34"/>
      <c r="D99" s="34"/>
      <c r="E99" s="34"/>
      <c r="F99" s="34"/>
      <c r="G99" s="34"/>
      <c r="H99" s="34"/>
      <c r="I99" s="44">
        <f>I92+I97</f>
        <v>105445.29769333334</v>
      </c>
    </row>
    <row r="100" spans="1:9" ht="15.75" customHeight="1">
      <c r="A100" s="266" t="s">
        <v>247</v>
      </c>
      <c r="B100" s="266"/>
      <c r="C100" s="266"/>
      <c r="D100" s="266"/>
      <c r="E100" s="266"/>
      <c r="F100" s="266"/>
      <c r="G100" s="266"/>
      <c r="H100" s="266"/>
      <c r="I100" s="266"/>
    </row>
    <row r="101" spans="1:9" ht="15.75" customHeight="1">
      <c r="A101" s="191"/>
      <c r="B101" s="257" t="s">
        <v>248</v>
      </c>
      <c r="C101" s="257"/>
      <c r="D101" s="257"/>
      <c r="E101" s="257"/>
      <c r="F101" s="257"/>
      <c r="G101" s="257"/>
      <c r="H101" s="73"/>
      <c r="I101" s="192"/>
    </row>
    <row r="102" spans="1:9" ht="15.75" customHeight="1">
      <c r="A102" s="193"/>
      <c r="B102" s="267" t="s">
        <v>6</v>
      </c>
      <c r="C102" s="267"/>
      <c r="D102" s="267"/>
      <c r="E102" s="267"/>
      <c r="F102" s="267"/>
      <c r="G102" s="267"/>
      <c r="H102" s="194"/>
      <c r="I102" s="195"/>
    </row>
    <row r="103" spans="1:9" ht="15.75" customHeight="1">
      <c r="A103" s="190"/>
      <c r="B103" s="190"/>
      <c r="C103" s="190"/>
      <c r="D103" s="190"/>
      <c r="E103" s="190"/>
      <c r="F103" s="190"/>
      <c r="G103" s="190"/>
      <c r="H103" s="190"/>
      <c r="I103" s="190"/>
    </row>
    <row r="104" spans="1:9" ht="15.75" customHeight="1">
      <c r="A104" s="259" t="s">
        <v>7</v>
      </c>
      <c r="B104" s="259"/>
      <c r="C104" s="259"/>
      <c r="D104" s="259"/>
      <c r="E104" s="259"/>
      <c r="F104" s="259"/>
      <c r="G104" s="259"/>
      <c r="H104" s="259"/>
      <c r="I104" s="259"/>
    </row>
    <row r="105" spans="1:9" ht="15.75" customHeight="1">
      <c r="A105" s="259" t="s">
        <v>8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 customHeight="1">
      <c r="A106" s="260" t="s">
        <v>60</v>
      </c>
      <c r="B106" s="260"/>
      <c r="C106" s="260"/>
      <c r="D106" s="260"/>
      <c r="E106" s="260"/>
      <c r="F106" s="260"/>
      <c r="G106" s="260"/>
      <c r="H106" s="260"/>
      <c r="I106" s="260"/>
    </row>
    <row r="107" spans="1:9" ht="15.75" customHeight="1">
      <c r="A107" s="11"/>
    </row>
    <row r="108" spans="1:9" ht="15.75" customHeight="1">
      <c r="A108" s="261" t="s">
        <v>9</v>
      </c>
      <c r="B108" s="261"/>
      <c r="C108" s="261"/>
      <c r="D108" s="261"/>
      <c r="E108" s="261"/>
      <c r="F108" s="261"/>
      <c r="G108" s="261"/>
      <c r="H108" s="261"/>
      <c r="I108" s="261"/>
    </row>
    <row r="109" spans="1:9" ht="15.75" customHeight="1">
      <c r="A109" s="4"/>
    </row>
    <row r="110" spans="1:9" ht="15.75" customHeight="1">
      <c r="B110" s="61" t="s">
        <v>10</v>
      </c>
      <c r="C110" s="262" t="s">
        <v>87</v>
      </c>
      <c r="D110" s="262"/>
      <c r="E110" s="262"/>
      <c r="F110" s="262"/>
      <c r="I110" s="64"/>
    </row>
    <row r="111" spans="1:9" ht="15.75" customHeight="1">
      <c r="A111" s="62"/>
      <c r="C111" s="258" t="s">
        <v>11</v>
      </c>
      <c r="D111" s="258"/>
      <c r="E111" s="258"/>
      <c r="F111" s="258"/>
      <c r="I111" s="63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61" t="s">
        <v>13</v>
      </c>
      <c r="C113" s="264"/>
      <c r="D113" s="264"/>
      <c r="E113" s="264"/>
      <c r="F113" s="264"/>
      <c r="I113" s="64"/>
    </row>
    <row r="114" spans="1:9" ht="15.75" customHeight="1">
      <c r="A114" s="62"/>
      <c r="C114" s="245" t="s">
        <v>11</v>
      </c>
      <c r="D114" s="245"/>
      <c r="E114" s="245"/>
      <c r="F114" s="245"/>
      <c r="I114" s="63" t="s">
        <v>12</v>
      </c>
    </row>
    <row r="115" spans="1:9" ht="15.75" customHeight="1">
      <c r="A115" s="4" t="s">
        <v>14</v>
      </c>
    </row>
    <row r="116" spans="1:9" ht="15.75" customHeight="1">
      <c r="A116" s="265" t="s">
        <v>15</v>
      </c>
      <c r="B116" s="265"/>
      <c r="C116" s="265"/>
      <c r="D116" s="265"/>
      <c r="E116" s="265"/>
      <c r="F116" s="265"/>
      <c r="G116" s="265"/>
      <c r="H116" s="265"/>
      <c r="I116" s="265"/>
    </row>
    <row r="117" spans="1:9" ht="45" customHeight="1">
      <c r="A117" s="263" t="s">
        <v>16</v>
      </c>
      <c r="B117" s="263"/>
      <c r="C117" s="263"/>
      <c r="D117" s="263"/>
      <c r="E117" s="263"/>
      <c r="F117" s="263"/>
      <c r="G117" s="263"/>
      <c r="H117" s="263"/>
      <c r="I117" s="263"/>
    </row>
    <row r="118" spans="1:9" ht="30" customHeight="1">
      <c r="A118" s="263" t="s">
        <v>17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30" customHeight="1">
      <c r="A119" s="263" t="s">
        <v>21</v>
      </c>
      <c r="B119" s="263"/>
      <c r="C119" s="263"/>
      <c r="D119" s="263"/>
      <c r="E119" s="263"/>
      <c r="F119" s="263"/>
      <c r="G119" s="263"/>
      <c r="H119" s="263"/>
      <c r="I119" s="263"/>
    </row>
    <row r="120" spans="1:9" ht="15" customHeight="1">
      <c r="A120" s="263" t="s">
        <v>20</v>
      </c>
      <c r="B120" s="263"/>
      <c r="C120" s="263"/>
      <c r="D120" s="263"/>
      <c r="E120" s="263"/>
      <c r="F120" s="263"/>
      <c r="G120" s="263"/>
      <c r="H120" s="263"/>
      <c r="I120" s="263"/>
    </row>
  </sheetData>
  <autoFilter ref="I12:I70"/>
  <mergeCells count="29">
    <mergeCell ref="A14:I14"/>
    <mergeCell ref="A15:I15"/>
    <mergeCell ref="A31:I31"/>
    <mergeCell ref="A48:I48"/>
    <mergeCell ref="A59:I59"/>
    <mergeCell ref="A3:I3"/>
    <mergeCell ref="A4:I4"/>
    <mergeCell ref="A5:I5"/>
    <mergeCell ref="A8:I8"/>
    <mergeCell ref="A10:I10"/>
    <mergeCell ref="R75:U75"/>
    <mergeCell ref="C114:F114"/>
    <mergeCell ref="A93:I93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9:I89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9"/>
  <sheetViews>
    <sheetView topLeftCell="A41" workbookViewId="0">
      <selection activeCell="B16" sqref="B16:I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148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200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43585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203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04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04"/>
      <c r="K18" s="8"/>
      <c r="L18" s="8"/>
      <c r="M18" s="8"/>
    </row>
    <row r="19" spans="1:13" ht="15.75" hidden="1" customHeight="1">
      <c r="A19" s="30"/>
      <c r="B19" s="121" t="s">
        <v>101</v>
      </c>
      <c r="C19" s="122" t="s">
        <v>102</v>
      </c>
      <c r="D19" s="121" t="s">
        <v>103</v>
      </c>
      <c r="E19" s="146">
        <v>51.2</v>
      </c>
      <c r="F19" s="147">
        <f>SUM(E19/10)</f>
        <v>5.12</v>
      </c>
      <c r="G19" s="147">
        <v>243.94</v>
      </c>
      <c r="H19" s="79">
        <f t="shared" si="0"/>
        <v>1.2489728</v>
      </c>
      <c r="I19" s="13">
        <v>0</v>
      </c>
      <c r="J19" s="204"/>
      <c r="K19" s="8"/>
      <c r="L19" s="8"/>
      <c r="M19" s="8"/>
    </row>
    <row r="20" spans="1:13" ht="15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0"/>
        <v>2.1552150000000001</v>
      </c>
      <c r="I20" s="13">
        <f>G20*F20/12</f>
        <v>179.60125000000002</v>
      </c>
      <c r="J20" s="204"/>
      <c r="K20" s="8"/>
      <c r="L20" s="8"/>
      <c r="M20" s="8"/>
    </row>
    <row r="21" spans="1:13" ht="15.7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0"/>
        <v>0.49879410000000002</v>
      </c>
      <c r="I21" s="13">
        <f>G21*F21/12</f>
        <v>41.566175000000001</v>
      </c>
      <c r="J21" s="204"/>
      <c r="K21" s="8"/>
      <c r="L21" s="8"/>
      <c r="M21" s="8"/>
    </row>
    <row r="22" spans="1:13" ht="15.75" hidden="1" customHeight="1">
      <c r="A22" s="30"/>
      <c r="B22" s="121" t="s">
        <v>104</v>
      </c>
      <c r="C22" s="122" t="s">
        <v>52</v>
      </c>
      <c r="D22" s="121" t="s">
        <v>103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0"/>
        <v>3.9588159999999992</v>
      </c>
      <c r="I22" s="13">
        <v>0</v>
      </c>
      <c r="J22" s="204"/>
      <c r="K22" s="8"/>
      <c r="L22" s="8"/>
      <c r="M22" s="8"/>
    </row>
    <row r="23" spans="1:13" ht="15.75" hidden="1" customHeight="1">
      <c r="A23" s="30"/>
      <c r="B23" s="121" t="s">
        <v>105</v>
      </c>
      <c r="C23" s="122" t="s">
        <v>52</v>
      </c>
      <c r="D23" s="121" t="s">
        <v>103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0"/>
        <v>3.841145E-2</v>
      </c>
      <c r="I23" s="13">
        <v>0</v>
      </c>
      <c r="J23" s="204"/>
      <c r="K23" s="8"/>
      <c r="L23" s="8"/>
      <c r="M23" s="8"/>
    </row>
    <row r="24" spans="1:13" ht="15.75" hidden="1" customHeight="1">
      <c r="A24" s="30"/>
      <c r="B24" s="121" t="s">
        <v>98</v>
      </c>
      <c r="C24" s="122" t="s">
        <v>52</v>
      </c>
      <c r="D24" s="121" t="s">
        <v>53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v>0</v>
      </c>
      <c r="J24" s="204"/>
      <c r="K24" s="8"/>
      <c r="L24" s="8"/>
      <c r="M24" s="8"/>
    </row>
    <row r="25" spans="1:13" ht="15.75" hidden="1" customHeight="1">
      <c r="A25" s="40">
        <v>6</v>
      </c>
      <c r="B25" s="121" t="s">
        <v>128</v>
      </c>
      <c r="C25" s="122" t="s">
        <v>52</v>
      </c>
      <c r="D25" s="121" t="s">
        <v>53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v>0</v>
      </c>
      <c r="J25" s="204"/>
      <c r="K25" s="8"/>
      <c r="L25" s="8"/>
      <c r="M25" s="8"/>
    </row>
    <row r="26" spans="1:13" ht="17.25" hidden="1" customHeight="1">
      <c r="A26" s="40"/>
      <c r="B26" s="121" t="s">
        <v>99</v>
      </c>
      <c r="C26" s="122" t="s">
        <v>52</v>
      </c>
      <c r="D26" s="121" t="s">
        <v>53</v>
      </c>
      <c r="E26" s="146">
        <v>37.5</v>
      </c>
      <c r="F26" s="147">
        <f>SUM(E26/100)</f>
        <v>0.375</v>
      </c>
      <c r="G26" s="147">
        <v>746.6</v>
      </c>
      <c r="H26" s="79">
        <f t="shared" si="0"/>
        <v>0.27997500000000003</v>
      </c>
      <c r="I26" s="13">
        <v>0</v>
      </c>
      <c r="J26" s="204"/>
      <c r="K26" s="8"/>
      <c r="L26" s="8"/>
      <c r="M26" s="8"/>
    </row>
    <row r="27" spans="1:13" ht="15.75" customHeight="1">
      <c r="A27" s="4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0"/>
        <v>14.797022399999999</v>
      </c>
      <c r="I27" s="13">
        <f>F27/12*G27</f>
        <v>1233.0852</v>
      </c>
      <c r="J27" s="204"/>
      <c r="K27" s="8"/>
      <c r="L27" s="8"/>
      <c r="M27" s="8"/>
    </row>
    <row r="28" spans="1:13" ht="15.75" hidden="1" customHeight="1">
      <c r="A28" s="145">
        <v>5</v>
      </c>
      <c r="B28" s="111" t="s">
        <v>95</v>
      </c>
      <c r="C28" s="112" t="s">
        <v>100</v>
      </c>
      <c r="D28" s="111" t="s">
        <v>163</v>
      </c>
      <c r="E28" s="201">
        <v>13.41</v>
      </c>
      <c r="F28" s="202">
        <v>1.61</v>
      </c>
      <c r="G28" s="202">
        <v>309.81</v>
      </c>
      <c r="H28" s="90">
        <f t="shared" ref="H28" si="1">SUM(F28*G28/1000)</f>
        <v>0.49879410000000002</v>
      </c>
      <c r="I28" s="117">
        <f>F28/12*G28</f>
        <v>41.566175000000008</v>
      </c>
      <c r="J28" s="204"/>
      <c r="K28" s="8"/>
      <c r="L28" s="8"/>
      <c r="M28" s="8"/>
    </row>
    <row r="29" spans="1:13" ht="15.75" customHeight="1">
      <c r="A29" s="252" t="s">
        <v>83</v>
      </c>
      <c r="B29" s="252"/>
      <c r="C29" s="252"/>
      <c r="D29" s="252"/>
      <c r="E29" s="252"/>
      <c r="F29" s="252"/>
      <c r="G29" s="252"/>
      <c r="H29" s="252"/>
      <c r="I29" s="252"/>
      <c r="J29" s="204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04"/>
      <c r="K30" s="8"/>
      <c r="L30" s="8"/>
      <c r="M30" s="8"/>
    </row>
    <row r="31" spans="1:13" ht="15.75" hidden="1" customHeight="1">
      <c r="A31" s="40">
        <v>2</v>
      </c>
      <c r="B31" s="75" t="s">
        <v>106</v>
      </c>
      <c r="C31" s="76" t="s">
        <v>107</v>
      </c>
      <c r="D31" s="75" t="s">
        <v>108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2">SUM(F31*G31/1000)</f>
        <v>5.346091659999999</v>
      </c>
      <c r="I31" s="13">
        <f>F31/6*G31</f>
        <v>891.01527666666652</v>
      </c>
      <c r="J31" s="204"/>
      <c r="K31" s="8"/>
      <c r="L31" s="8"/>
      <c r="M31" s="8"/>
    </row>
    <row r="32" spans="1:13" ht="31.5" hidden="1" customHeight="1">
      <c r="A32" s="40">
        <v>3</v>
      </c>
      <c r="B32" s="75" t="s">
        <v>141</v>
      </c>
      <c r="C32" s="76" t="s">
        <v>107</v>
      </c>
      <c r="D32" s="75" t="s">
        <v>109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2"/>
        <v>11.456326206</v>
      </c>
      <c r="I32" s="13">
        <f t="shared" ref="I32:I35" si="3">F32/6*G32</f>
        <v>1909.3877009999999</v>
      </c>
      <c r="J32" s="204"/>
      <c r="K32" s="8"/>
      <c r="L32" s="8"/>
      <c r="M32" s="8"/>
    </row>
    <row r="33" spans="1:14" ht="15.75" hidden="1" customHeight="1">
      <c r="A33" s="40">
        <v>4</v>
      </c>
      <c r="B33" s="75" t="s">
        <v>27</v>
      </c>
      <c r="C33" s="76" t="s">
        <v>107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2"/>
        <v>1.9919076349999998</v>
      </c>
      <c r="I33" s="13">
        <f>F33*G33</f>
        <v>1991.9076349999998</v>
      </c>
      <c r="J33" s="204"/>
      <c r="K33" s="8"/>
      <c r="L33" s="8"/>
      <c r="M33" s="8"/>
    </row>
    <row r="34" spans="1:14" ht="15.75" hidden="1" customHeight="1">
      <c r="A34" s="40"/>
      <c r="B34" s="75" t="s">
        <v>129</v>
      </c>
      <c r="C34" s="76" t="s">
        <v>39</v>
      </c>
      <c r="D34" s="75" t="s">
        <v>140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04"/>
      <c r="K34" s="8"/>
      <c r="L34" s="8"/>
      <c r="M34" s="8"/>
    </row>
    <row r="35" spans="1:14" ht="15.75" hidden="1" customHeight="1">
      <c r="A35" s="40">
        <v>5</v>
      </c>
      <c r="B35" s="75" t="s">
        <v>110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3"/>
        <v>488.16388888888883</v>
      </c>
      <c r="J35" s="204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4">SUM(F36*G36/1000)</f>
        <v>0.76527999999999996</v>
      </c>
      <c r="I36" s="13">
        <v>0</v>
      </c>
      <c r="J36" s="205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05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05"/>
    </row>
    <row r="39" spans="1:14" ht="15.75" customHeight="1">
      <c r="A39" s="33">
        <v>7</v>
      </c>
      <c r="B39" s="152" t="s">
        <v>26</v>
      </c>
      <c r="C39" s="122" t="s">
        <v>32</v>
      </c>
      <c r="D39" s="121"/>
      <c r="E39" s="140"/>
      <c r="F39" s="123">
        <v>8</v>
      </c>
      <c r="G39" s="123">
        <v>2189</v>
      </c>
      <c r="H39" s="79">
        <f t="shared" ref="H39:H44" si="5">SUM(F39*G39/1000)</f>
        <v>17.512</v>
      </c>
      <c r="I39" s="13">
        <f>G39*3.2</f>
        <v>7004.8</v>
      </c>
      <c r="J39" s="205"/>
    </row>
    <row r="40" spans="1:14" ht="15.75" customHeight="1">
      <c r="A40" s="33">
        <v>8</v>
      </c>
      <c r="B40" s="152" t="s">
        <v>67</v>
      </c>
      <c r="C40" s="153" t="s">
        <v>29</v>
      </c>
      <c r="D40" s="152" t="s">
        <v>237</v>
      </c>
      <c r="E40" s="154">
        <v>567.9</v>
      </c>
      <c r="F40" s="154">
        <f>SUM(E40*30/1000)</f>
        <v>17.036999999999999</v>
      </c>
      <c r="G40" s="154">
        <v>3014.36</v>
      </c>
      <c r="H40" s="79">
        <f t="shared" si="5"/>
        <v>51.35565132</v>
      </c>
      <c r="I40" s="13">
        <f>F40/6*G40</f>
        <v>8559.2752199999995</v>
      </c>
      <c r="J40" s="205"/>
    </row>
    <row r="41" spans="1:14" ht="15.75" customHeight="1">
      <c r="A41" s="33">
        <v>9</v>
      </c>
      <c r="B41" s="121" t="s">
        <v>68</v>
      </c>
      <c r="C41" s="122" t="s">
        <v>29</v>
      </c>
      <c r="D41" s="121" t="s">
        <v>238</v>
      </c>
      <c r="E41" s="123">
        <v>108</v>
      </c>
      <c r="F41" s="154">
        <f>SUM(E41*155/1000)</f>
        <v>16.739999999999998</v>
      </c>
      <c r="G41" s="123">
        <v>502.82</v>
      </c>
      <c r="H41" s="79">
        <f t="shared" si="5"/>
        <v>8.4172068000000007</v>
      </c>
      <c r="I41" s="13">
        <f>F41/6*G41</f>
        <v>1402.8677999999998</v>
      </c>
      <c r="J41" s="205"/>
    </row>
    <row r="42" spans="1:14" ht="43.5" customHeight="1">
      <c r="A42" s="33">
        <v>10</v>
      </c>
      <c r="B42" s="121" t="s">
        <v>82</v>
      </c>
      <c r="C42" s="122" t="s">
        <v>107</v>
      </c>
      <c r="D42" s="121" t="s">
        <v>239</v>
      </c>
      <c r="E42" s="123">
        <v>108</v>
      </c>
      <c r="F42" s="154">
        <f>SUM(E42*35/1000)</f>
        <v>3.78</v>
      </c>
      <c r="G42" s="123">
        <v>8319.2999999999993</v>
      </c>
      <c r="H42" s="79">
        <f t="shared" si="5"/>
        <v>31.446953999999995</v>
      </c>
      <c r="I42" s="13">
        <f>F42/6*G42</f>
        <v>5241.1589999999997</v>
      </c>
      <c r="J42" s="205"/>
    </row>
    <row r="43" spans="1:14" ht="15.75" customHeight="1">
      <c r="A43" s="33">
        <v>11</v>
      </c>
      <c r="B43" s="121" t="s">
        <v>112</v>
      </c>
      <c r="C43" s="122" t="s">
        <v>107</v>
      </c>
      <c r="D43" s="121" t="s">
        <v>239</v>
      </c>
      <c r="E43" s="123">
        <v>108</v>
      </c>
      <c r="F43" s="154">
        <f>SUM(E43*35/1000)</f>
        <v>3.78</v>
      </c>
      <c r="G43" s="123">
        <v>614.55999999999995</v>
      </c>
      <c r="H43" s="79">
        <f t="shared" si="5"/>
        <v>2.3230367999999997</v>
      </c>
      <c r="I43" s="13">
        <f>F43/7.5*1.5*G43</f>
        <v>464.60735999999997</v>
      </c>
      <c r="J43" s="205"/>
      <c r="L43" s="20"/>
      <c r="M43" s="21"/>
      <c r="N43" s="22"/>
    </row>
    <row r="44" spans="1:14" ht="15.75" customHeight="1">
      <c r="A44" s="144">
        <v>12</v>
      </c>
      <c r="B44" s="180" t="s">
        <v>70</v>
      </c>
      <c r="C44" s="181" t="s">
        <v>33</v>
      </c>
      <c r="D44" s="180"/>
      <c r="E44" s="182"/>
      <c r="F44" s="183">
        <v>0.9</v>
      </c>
      <c r="G44" s="183">
        <v>800</v>
      </c>
      <c r="H44" s="90">
        <f t="shared" si="5"/>
        <v>0.72</v>
      </c>
      <c r="I44" s="117">
        <f>F44/7.5*1.5*G44</f>
        <v>144.00000000000003</v>
      </c>
      <c r="J44" s="205"/>
      <c r="L44" s="20"/>
      <c r="M44" s="21"/>
      <c r="N44" s="22"/>
    </row>
    <row r="45" spans="1:14" ht="33" customHeight="1">
      <c r="A45" s="33">
        <v>13</v>
      </c>
      <c r="B45" s="152" t="s">
        <v>178</v>
      </c>
      <c r="C45" s="153" t="s">
        <v>107</v>
      </c>
      <c r="D45" s="152" t="s">
        <v>240</v>
      </c>
      <c r="E45" s="151">
        <v>3</v>
      </c>
      <c r="F45" s="154">
        <f>E45*12/1000</f>
        <v>3.5999999999999997E-2</v>
      </c>
      <c r="G45" s="154">
        <v>19757.060000000001</v>
      </c>
      <c r="H45" s="13"/>
      <c r="I45" s="13">
        <f>G45*F45/6</f>
        <v>118.54235999999999</v>
      </c>
      <c r="J45" s="205"/>
      <c r="L45" s="20"/>
      <c r="M45" s="21"/>
      <c r="N45" s="22"/>
    </row>
    <row r="46" spans="1:14" ht="15.75" hidden="1" customHeight="1">
      <c r="A46" s="253" t="s">
        <v>166</v>
      </c>
      <c r="B46" s="254"/>
      <c r="C46" s="254"/>
      <c r="D46" s="254"/>
      <c r="E46" s="254"/>
      <c r="F46" s="254"/>
      <c r="G46" s="254"/>
      <c r="H46" s="254"/>
      <c r="I46" s="255"/>
      <c r="J46" s="205"/>
      <c r="L46" s="20"/>
      <c r="M46" s="21"/>
      <c r="N46" s="22"/>
    </row>
    <row r="47" spans="1:14" ht="24.75" hidden="1" customHeight="1">
      <c r="A47" s="40">
        <v>15</v>
      </c>
      <c r="B47" s="75" t="s">
        <v>113</v>
      </c>
      <c r="C47" s="76" t="s">
        <v>107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6">SUM(F47*G47/1000)</f>
        <v>2.6696072740000001</v>
      </c>
      <c r="I47" s="13">
        <v>0</v>
      </c>
      <c r="J47" s="205"/>
      <c r="L47" s="20"/>
      <c r="M47" s="21"/>
      <c r="N47" s="22"/>
    </row>
    <row r="48" spans="1:14" ht="21.75" hidden="1" customHeight="1">
      <c r="A48" s="40"/>
      <c r="B48" s="75" t="s">
        <v>34</v>
      </c>
      <c r="C48" s="76" t="s">
        <v>107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6"/>
        <v>0.10755148799999999</v>
      </c>
      <c r="I48" s="13">
        <v>0</v>
      </c>
      <c r="J48" s="205"/>
      <c r="L48" s="20"/>
      <c r="M48" s="21"/>
      <c r="N48" s="22"/>
    </row>
    <row r="49" spans="1:14" ht="21.75" hidden="1" customHeight="1">
      <c r="A49" s="40">
        <v>16</v>
      </c>
      <c r="B49" s="75" t="s">
        <v>35</v>
      </c>
      <c r="C49" s="76" t="s">
        <v>107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6"/>
        <v>5.4908047920000005</v>
      </c>
      <c r="I49" s="13">
        <v>0</v>
      </c>
      <c r="J49" s="205"/>
      <c r="L49" s="20"/>
      <c r="M49" s="21"/>
      <c r="N49" s="22"/>
    </row>
    <row r="50" spans="1:14" ht="18.75" hidden="1" customHeight="1">
      <c r="A50" s="40">
        <v>17</v>
      </c>
      <c r="B50" s="75" t="s">
        <v>36</v>
      </c>
      <c r="C50" s="76" t="s">
        <v>107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6"/>
        <v>3.4124623445999998</v>
      </c>
      <c r="I50" s="13">
        <v>0</v>
      </c>
      <c r="J50" s="205"/>
      <c r="L50" s="20"/>
      <c r="M50" s="21"/>
      <c r="N50" s="22"/>
    </row>
    <row r="51" spans="1:14" ht="18.75" hidden="1" customHeight="1">
      <c r="A51" s="40">
        <v>12</v>
      </c>
      <c r="B51" s="75" t="s">
        <v>55</v>
      </c>
      <c r="C51" s="76" t="s">
        <v>107</v>
      </c>
      <c r="D51" s="75" t="s">
        <v>143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6"/>
        <v>9.5342555749999995</v>
      </c>
      <c r="I51" s="13">
        <f>F51/5*G51</f>
        <v>1906.8511149999999</v>
      </c>
      <c r="J51" s="205"/>
      <c r="L51" s="20"/>
      <c r="M51" s="21"/>
      <c r="N51" s="22"/>
    </row>
    <row r="52" spans="1:14" ht="33" hidden="1" customHeight="1">
      <c r="A52" s="40">
        <v>12</v>
      </c>
      <c r="B52" s="121" t="s">
        <v>114</v>
      </c>
      <c r="C52" s="122" t="s">
        <v>107</v>
      </c>
      <c r="D52" s="121" t="s">
        <v>41</v>
      </c>
      <c r="E52" s="77"/>
      <c r="F52" s="78"/>
      <c r="G52" s="36">
        <v>1213.55</v>
      </c>
      <c r="H52" s="79"/>
      <c r="I52" s="13">
        <f>1.5713*G52</f>
        <v>1906.8511149999999</v>
      </c>
      <c r="J52" s="205"/>
      <c r="L52" s="20"/>
      <c r="M52" s="21"/>
      <c r="N52" s="22"/>
    </row>
    <row r="53" spans="1:14" ht="30.75" hidden="1" customHeight="1">
      <c r="A53" s="40">
        <v>13</v>
      </c>
      <c r="B53" s="121" t="s">
        <v>115</v>
      </c>
      <c r="C53" s="122" t="s">
        <v>37</v>
      </c>
      <c r="D53" s="121" t="s">
        <v>41</v>
      </c>
      <c r="E53" s="77"/>
      <c r="F53" s="78"/>
      <c r="G53" s="36">
        <v>2730.49</v>
      </c>
      <c r="H53" s="79"/>
      <c r="I53" s="13">
        <f>0.8/2*G53</f>
        <v>1092.1959999999999</v>
      </c>
      <c r="J53" s="205"/>
      <c r="L53" s="20"/>
      <c r="M53" s="21"/>
      <c r="N53" s="22"/>
    </row>
    <row r="54" spans="1:14" ht="20.25" hidden="1" customHeight="1">
      <c r="A54" s="40">
        <v>14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f>F54/2*G54</f>
        <v>56.521300000000004</v>
      </c>
      <c r="J54" s="205"/>
      <c r="L54" s="20"/>
      <c r="M54" s="21"/>
      <c r="N54" s="22"/>
    </row>
    <row r="55" spans="1:14" ht="18.75" hidden="1" customHeight="1">
      <c r="A55" s="40">
        <v>13</v>
      </c>
      <c r="B55" s="75" t="s">
        <v>40</v>
      </c>
      <c r="C55" s="76" t="s">
        <v>116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205"/>
      <c r="L55" s="20"/>
      <c r="M55" s="21"/>
      <c r="N55" s="22"/>
    </row>
    <row r="56" spans="1:14" ht="18.75" customHeight="1">
      <c r="A56" s="40"/>
      <c r="B56" s="239" t="s">
        <v>136</v>
      </c>
      <c r="C56" s="240"/>
      <c r="D56" s="240"/>
      <c r="E56" s="240"/>
      <c r="F56" s="240"/>
      <c r="G56" s="240"/>
      <c r="H56" s="240"/>
      <c r="I56" s="240"/>
      <c r="J56" s="241"/>
      <c r="L56" s="20"/>
      <c r="M56" s="21"/>
      <c r="N56" s="22"/>
    </row>
    <row r="57" spans="1:14" ht="15.75" customHeight="1">
      <c r="A57" s="199"/>
      <c r="B57" s="47" t="s">
        <v>42</v>
      </c>
      <c r="C57" s="17"/>
      <c r="D57" s="16"/>
      <c r="E57" s="16"/>
      <c r="F57" s="16"/>
      <c r="G57" s="30"/>
      <c r="H57" s="30"/>
      <c r="I57" s="19"/>
      <c r="J57" s="205"/>
      <c r="L57" s="20"/>
      <c r="M57" s="21"/>
      <c r="N57" s="22"/>
    </row>
    <row r="58" spans="1:14" ht="31.5" hidden="1" customHeight="1">
      <c r="A58" s="40">
        <v>15</v>
      </c>
      <c r="B58" s="75" t="s">
        <v>132</v>
      </c>
      <c r="C58" s="76" t="s">
        <v>100</v>
      </c>
      <c r="D58" s="75" t="s">
        <v>117</v>
      </c>
      <c r="E58" s="77">
        <v>48</v>
      </c>
      <c r="F58" s="78">
        <f>E58*6/100</f>
        <v>2.88</v>
      </c>
      <c r="G58" s="85">
        <v>1547.28</v>
      </c>
      <c r="H58" s="79">
        <f>F58*G58/1000</f>
        <v>4.4561663999999999</v>
      </c>
      <c r="I58" s="13">
        <f>F58/6*G58</f>
        <v>742.69439999999997</v>
      </c>
      <c r="J58" s="205"/>
      <c r="L58" s="20"/>
      <c r="M58" s="21"/>
      <c r="N58" s="22"/>
    </row>
    <row r="59" spans="1:14" ht="15.75" customHeight="1">
      <c r="A59" s="40">
        <v>14</v>
      </c>
      <c r="B59" s="111" t="s">
        <v>92</v>
      </c>
      <c r="C59" s="112" t="s">
        <v>100</v>
      </c>
      <c r="D59" s="111" t="s">
        <v>234</v>
      </c>
      <c r="E59" s="113">
        <v>17.579999999999998</v>
      </c>
      <c r="F59" s="114">
        <f>E59*6/100</f>
        <v>1.0548</v>
      </c>
      <c r="G59" s="155">
        <v>2218.11</v>
      </c>
      <c r="H59" s="90">
        <f>F59*G59/1000</f>
        <v>2.339662428</v>
      </c>
      <c r="I59" s="13">
        <f>F59/6*G59</f>
        <v>389.943738</v>
      </c>
      <c r="J59" s="205"/>
      <c r="L59" s="20"/>
      <c r="M59" s="21"/>
      <c r="N59" s="22"/>
    </row>
    <row r="60" spans="1:14" ht="15.75" hidden="1" customHeight="1">
      <c r="A60" s="40">
        <v>15</v>
      </c>
      <c r="B60" s="86" t="s">
        <v>96</v>
      </c>
      <c r="C60" s="87" t="s">
        <v>97</v>
      </c>
      <c r="D60" s="86" t="s">
        <v>41</v>
      </c>
      <c r="E60" s="88">
        <v>8</v>
      </c>
      <c r="F60" s="89">
        <v>16</v>
      </c>
      <c r="G60" s="91">
        <v>180.78</v>
      </c>
      <c r="H60" s="90">
        <f>F60*G60/1000</f>
        <v>2.8924799999999999</v>
      </c>
      <c r="I60" s="13">
        <f>F60/2*G60</f>
        <v>1446.24</v>
      </c>
      <c r="J60" s="205"/>
      <c r="L60" s="20"/>
      <c r="M60" s="21"/>
      <c r="N60" s="22"/>
    </row>
    <row r="61" spans="1:14" ht="15.75" customHeight="1">
      <c r="A61" s="40"/>
      <c r="B61" s="198" t="s">
        <v>43</v>
      </c>
      <c r="C61" s="198"/>
      <c r="D61" s="198"/>
      <c r="E61" s="198"/>
      <c r="F61" s="198"/>
      <c r="G61" s="198"/>
      <c r="H61" s="198"/>
      <c r="I61" s="35"/>
      <c r="J61" s="205"/>
      <c r="L61" s="20"/>
      <c r="M61" s="21"/>
      <c r="N61" s="22"/>
    </row>
    <row r="62" spans="1:14" ht="17.25" customHeight="1">
      <c r="A62" s="40">
        <v>15</v>
      </c>
      <c r="B62" s="86" t="s">
        <v>93</v>
      </c>
      <c r="C62" s="87" t="s">
        <v>25</v>
      </c>
      <c r="D62" s="86" t="s">
        <v>234</v>
      </c>
      <c r="E62" s="88">
        <v>331.5</v>
      </c>
      <c r="F62" s="89">
        <f>E62*12</f>
        <v>3978</v>
      </c>
      <c r="G62" s="92">
        <v>1.4</v>
      </c>
      <c r="H62" s="90">
        <f>G62*F62/1000</f>
        <v>5.5691999999999995</v>
      </c>
      <c r="I62" s="13">
        <f>2400/12*G62</f>
        <v>280</v>
      </c>
      <c r="J62" s="205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205"/>
      <c r="L63" s="20"/>
      <c r="M63" s="21"/>
      <c r="N63" s="22"/>
    </row>
    <row r="64" spans="1:14" ht="15.75" hidden="1" customHeight="1">
      <c r="A64" s="40"/>
      <c r="B64" s="198" t="s">
        <v>45</v>
      </c>
      <c r="C64" s="17"/>
      <c r="D64" s="37"/>
      <c r="E64" s="37"/>
      <c r="F64" s="16"/>
      <c r="G64" s="30"/>
      <c r="H64" s="30"/>
      <c r="I64" s="19"/>
      <c r="J64" s="205"/>
      <c r="L64" s="20"/>
      <c r="M64" s="21"/>
      <c r="N64" s="22"/>
    </row>
    <row r="65" spans="1:22" ht="15.75" hidden="1" customHeight="1">
      <c r="A65" s="40">
        <v>17</v>
      </c>
      <c r="B65" s="15" t="s">
        <v>46</v>
      </c>
      <c r="C65" s="17" t="s">
        <v>116</v>
      </c>
      <c r="D65" s="15" t="s">
        <v>66</v>
      </c>
      <c r="E65" s="19">
        <v>35</v>
      </c>
      <c r="F65" s="78">
        <v>35</v>
      </c>
      <c r="G65" s="13">
        <v>222.4</v>
      </c>
      <c r="H65" s="94">
        <f t="shared" ref="H65:H72" si="7">SUM(F65*G65/1000)</f>
        <v>7.7839999999999998</v>
      </c>
      <c r="I65" s="13">
        <f>G65*2</f>
        <v>444.8</v>
      </c>
      <c r="J65" s="205"/>
      <c r="L65" s="20"/>
    </row>
    <row r="66" spans="1:22" ht="15.75" hidden="1" customHeight="1">
      <c r="A66" s="30">
        <v>29</v>
      </c>
      <c r="B66" s="15" t="s">
        <v>47</v>
      </c>
      <c r="C66" s="17" t="s">
        <v>116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7"/>
        <v>1.5249999999999999</v>
      </c>
      <c r="I66" s="13">
        <v>0</v>
      </c>
      <c r="J66" s="119"/>
    </row>
    <row r="67" spans="1:22" ht="15.75" hidden="1" customHeight="1">
      <c r="A67" s="30">
        <v>8</v>
      </c>
      <c r="B67" s="15" t="s">
        <v>48</v>
      </c>
      <c r="C67" s="17" t="s">
        <v>118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7"/>
        <v>48.0286385</v>
      </c>
      <c r="I67" s="13">
        <v>0</v>
      </c>
      <c r="J67" s="119"/>
    </row>
    <row r="68" spans="1:22" ht="15.75" hidden="1" customHeight="1">
      <c r="A68" s="30">
        <v>9</v>
      </c>
      <c r="B68" s="15" t="s">
        <v>49</v>
      </c>
      <c r="C68" s="17" t="s">
        <v>119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7"/>
        <v>3.7401891900000002</v>
      </c>
      <c r="I68" s="13">
        <v>0</v>
      </c>
      <c r="J68" s="119"/>
    </row>
    <row r="69" spans="1:22" ht="15.75" hidden="1" customHeight="1">
      <c r="A69" s="30">
        <v>10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7"/>
        <v>65.247113499999998</v>
      </c>
      <c r="I69" s="13">
        <v>0</v>
      </c>
      <c r="J69" s="19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5" t="s">
        <v>120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7"/>
        <v>0.86534760000000011</v>
      </c>
      <c r="I70" s="13">
        <v>0</v>
      </c>
      <c r="J70" s="190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5" t="s">
        <v>145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7"/>
        <v>0.80734680000000014</v>
      </c>
      <c r="I71" s="13">
        <v>0</v>
      </c>
      <c r="J71" s="192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7"/>
        <v>0.74820000000000009</v>
      </c>
      <c r="I72" s="13">
        <v>0</v>
      </c>
      <c r="J72" s="195"/>
      <c r="K72" s="5"/>
      <c r="L72" s="5"/>
      <c r="M72" s="5"/>
      <c r="N72" s="5"/>
      <c r="O72" s="5"/>
      <c r="P72" s="5"/>
      <c r="Q72" s="5"/>
      <c r="R72" s="245"/>
      <c r="S72" s="245"/>
      <c r="T72" s="245"/>
      <c r="U72" s="245"/>
    </row>
    <row r="73" spans="1:22" ht="15.75" hidden="1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  <c r="J73" s="119"/>
    </row>
    <row r="74" spans="1:22" ht="15.75" hidden="1" customHeight="1">
      <c r="A74" s="30">
        <v>15</v>
      </c>
      <c r="B74" s="15" t="s">
        <v>73</v>
      </c>
      <c r="C74" s="17" t="s">
        <v>31</v>
      </c>
      <c r="D74" s="15"/>
      <c r="E74" s="19">
        <v>5</v>
      </c>
      <c r="F74" s="96">
        <v>0.5</v>
      </c>
      <c r="G74" s="13">
        <v>501.62</v>
      </c>
      <c r="H74" s="94">
        <f>F74*G74/1000</f>
        <v>0.25080999999999998</v>
      </c>
      <c r="I74" s="13">
        <v>0</v>
      </c>
      <c r="J74" s="119"/>
    </row>
    <row r="75" spans="1:22" ht="15.75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  <c r="J75" s="119"/>
    </row>
    <row r="76" spans="1:22" ht="15.7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  <c r="J76" s="119"/>
    </row>
    <row r="77" spans="1:22" ht="15.75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8">SUM(F77*G77/1000)</f>
        <v>0.71701999999999999</v>
      </c>
      <c r="I77" s="13">
        <v>0</v>
      </c>
      <c r="J77" s="119"/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  <c r="J78" s="119"/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  <c r="J79" s="119"/>
    </row>
    <row r="80" spans="1:22" ht="15.7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9">SUM(F80*G80/1000)</f>
        <v>3.725244</v>
      </c>
      <c r="I80" s="13">
        <v>0</v>
      </c>
      <c r="J80" s="119"/>
    </row>
    <row r="81" spans="1:21" ht="15.75" hidden="1" customHeight="1">
      <c r="A81" s="199"/>
      <c r="B81" s="198" t="s">
        <v>121</v>
      </c>
      <c r="C81" s="198"/>
      <c r="D81" s="198"/>
      <c r="E81" s="198"/>
      <c r="F81" s="198"/>
      <c r="G81" s="198"/>
      <c r="H81" s="198"/>
      <c r="I81" s="19"/>
      <c r="J81" s="19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1" hidden="1" customHeight="1">
      <c r="A82" s="126">
        <v>36</v>
      </c>
      <c r="B82" s="86" t="s">
        <v>122</v>
      </c>
      <c r="C82" s="127"/>
      <c r="D82" s="128"/>
      <c r="E82" s="97"/>
      <c r="F82" s="117">
        <v>1</v>
      </c>
      <c r="G82" s="117">
        <v>25286</v>
      </c>
      <c r="H82" s="129">
        <f>G82*F82/1000</f>
        <v>25.286000000000001</v>
      </c>
      <c r="I82" s="117">
        <v>0</v>
      </c>
      <c r="J82" s="119"/>
    </row>
    <row r="83" spans="1:21" ht="21" customHeight="1">
      <c r="A83" s="30"/>
      <c r="B83" s="130" t="s">
        <v>45</v>
      </c>
      <c r="C83" s="112"/>
      <c r="D83" s="111"/>
      <c r="E83" s="19"/>
      <c r="F83" s="13"/>
      <c r="G83" s="13"/>
      <c r="H83" s="13"/>
      <c r="I83" s="13"/>
      <c r="J83" s="119"/>
    </row>
    <row r="84" spans="1:21" ht="15.75" customHeight="1">
      <c r="A84" s="126">
        <v>16</v>
      </c>
      <c r="B84" s="206" t="s">
        <v>46</v>
      </c>
      <c r="C84" s="207" t="s">
        <v>116</v>
      </c>
      <c r="D84" s="208" t="s">
        <v>234</v>
      </c>
      <c r="E84" s="209">
        <v>40</v>
      </c>
      <c r="F84" s="114">
        <v>40</v>
      </c>
      <c r="G84" s="210">
        <v>318.82</v>
      </c>
      <c r="H84" s="117"/>
      <c r="I84" s="117">
        <f>G84*1</f>
        <v>318.82</v>
      </c>
      <c r="J84" s="119"/>
    </row>
    <row r="85" spans="1:21" ht="15.75" customHeight="1">
      <c r="A85" s="30"/>
      <c r="B85" s="157" t="s">
        <v>183</v>
      </c>
      <c r="C85" s="38"/>
      <c r="D85" s="37"/>
      <c r="E85" s="18"/>
      <c r="F85" s="158"/>
      <c r="G85" s="36"/>
      <c r="H85" s="94"/>
      <c r="I85" s="13"/>
      <c r="J85" s="119"/>
    </row>
    <row r="86" spans="1:21" ht="15.75" customHeight="1">
      <c r="A86" s="30">
        <v>17</v>
      </c>
      <c r="B86" s="37" t="s">
        <v>184</v>
      </c>
      <c r="C86" s="40" t="s">
        <v>185</v>
      </c>
      <c r="D86" s="37"/>
      <c r="E86" s="18">
        <v>5836.1</v>
      </c>
      <c r="F86" s="36">
        <f>E86*12</f>
        <v>70033.200000000012</v>
      </c>
      <c r="G86" s="36">
        <v>2.4900000000000002</v>
      </c>
      <c r="H86" s="94"/>
      <c r="I86" s="13">
        <f>G86*F86/12</f>
        <v>14531.889000000003</v>
      </c>
      <c r="J86" s="119"/>
    </row>
    <row r="87" spans="1:21" ht="15.75" customHeight="1">
      <c r="A87" s="30"/>
      <c r="B87" s="48" t="s">
        <v>72</v>
      </c>
      <c r="C87" s="40"/>
      <c r="D87" s="37"/>
      <c r="E87" s="18"/>
      <c r="F87" s="36"/>
      <c r="G87" s="36"/>
      <c r="H87" s="13"/>
      <c r="I87" s="13"/>
      <c r="J87" s="119"/>
    </row>
    <row r="88" spans="1:21" ht="15.75" customHeight="1">
      <c r="A88" s="30">
        <v>18</v>
      </c>
      <c r="B88" s="106" t="s">
        <v>186</v>
      </c>
      <c r="C88" s="107" t="s">
        <v>116</v>
      </c>
      <c r="D88" s="37" t="s">
        <v>235</v>
      </c>
      <c r="E88" s="18">
        <v>1</v>
      </c>
      <c r="F88" s="36">
        <v>12</v>
      </c>
      <c r="G88" s="36">
        <v>58.39</v>
      </c>
      <c r="H88" s="94"/>
      <c r="I88" s="13">
        <f>G88*F88/12</f>
        <v>58.390000000000008</v>
      </c>
      <c r="J88" s="119"/>
    </row>
    <row r="89" spans="1:21" ht="15.75" customHeight="1">
      <c r="A89" s="239" t="s">
        <v>137</v>
      </c>
      <c r="B89" s="240"/>
      <c r="C89" s="240"/>
      <c r="D89" s="240"/>
      <c r="E89" s="240"/>
      <c r="F89" s="240"/>
      <c r="G89" s="240"/>
      <c r="H89" s="240"/>
      <c r="I89" s="241"/>
      <c r="J89" s="119"/>
    </row>
    <row r="90" spans="1:21" ht="15.75" customHeight="1">
      <c r="A90" s="30">
        <v>19</v>
      </c>
      <c r="B90" s="37" t="s">
        <v>126</v>
      </c>
      <c r="C90" s="38" t="s">
        <v>54</v>
      </c>
      <c r="D90" s="167"/>
      <c r="E90" s="36">
        <v>5836.1</v>
      </c>
      <c r="F90" s="36">
        <f>SUM(E90*12)</f>
        <v>70033.200000000012</v>
      </c>
      <c r="G90" s="36">
        <v>3.38</v>
      </c>
      <c r="H90" s="94">
        <f>SUM(F90*G90/1000)</f>
        <v>236.71221600000004</v>
      </c>
      <c r="I90" s="13">
        <f>F90/12*G90</f>
        <v>19726.018000000004</v>
      </c>
      <c r="J90" s="119"/>
    </row>
    <row r="91" spans="1:21" ht="31.5" customHeight="1">
      <c r="A91" s="30">
        <v>20</v>
      </c>
      <c r="B91" s="37" t="s">
        <v>77</v>
      </c>
      <c r="C91" s="38"/>
      <c r="D91" s="170"/>
      <c r="E91" s="171">
        <f>E90</f>
        <v>5836.1</v>
      </c>
      <c r="F91" s="172">
        <f>E91*12</f>
        <v>70033.200000000012</v>
      </c>
      <c r="G91" s="172">
        <v>3.83</v>
      </c>
      <c r="H91" s="94">
        <f>F91*G91/1000</f>
        <v>268.22715600000009</v>
      </c>
      <c r="I91" s="13">
        <f>F91/12*G91</f>
        <v>22352.263000000006</v>
      </c>
      <c r="J91" s="119"/>
    </row>
    <row r="92" spans="1:21" ht="15.75" customHeight="1">
      <c r="A92" s="199"/>
      <c r="B92" s="39" t="s">
        <v>79</v>
      </c>
      <c r="C92" s="40"/>
      <c r="D92" s="16"/>
      <c r="E92" s="16"/>
      <c r="F92" s="16"/>
      <c r="G92" s="19"/>
      <c r="H92" s="19"/>
      <c r="I92" s="32">
        <f>I91+I90+I88+I86+I84+I62+I59+I45+I44+I43+I42+I41+I40+I39+I27+I21+I20+I18+I17+I16</f>
        <v>110660.69853333334</v>
      </c>
      <c r="J92" s="119"/>
    </row>
    <row r="93" spans="1:21" ht="15.75" customHeight="1">
      <c r="A93" s="242" t="s">
        <v>59</v>
      </c>
      <c r="B93" s="243"/>
      <c r="C93" s="243"/>
      <c r="D93" s="243"/>
      <c r="E93" s="243"/>
      <c r="F93" s="243"/>
      <c r="G93" s="243"/>
      <c r="H93" s="243"/>
      <c r="I93" s="244"/>
      <c r="J93" s="119"/>
    </row>
    <row r="94" spans="1:21" ht="15.75" customHeight="1">
      <c r="A94" s="30">
        <v>21</v>
      </c>
      <c r="B94" s="108" t="s">
        <v>188</v>
      </c>
      <c r="C94" s="38" t="s">
        <v>169</v>
      </c>
      <c r="D94" s="51"/>
      <c r="E94" s="36"/>
      <c r="F94" s="36">
        <f>(3+3+30+25+15+20+20+3+15+15+20+10+3)/3</f>
        <v>60.666666666666664</v>
      </c>
      <c r="G94" s="36">
        <v>273</v>
      </c>
      <c r="H94" s="98">
        <f t="shared" ref="H94:H96" si="10">G94*F94/1000</f>
        <v>16.562000000000001</v>
      </c>
      <c r="I94" s="13">
        <f>G94*15</f>
        <v>4095</v>
      </c>
      <c r="J94" s="119"/>
    </row>
    <row r="95" spans="1:21" ht="29.25" customHeight="1">
      <c r="A95" s="30">
        <v>22</v>
      </c>
      <c r="B95" s="106" t="s">
        <v>204</v>
      </c>
      <c r="C95" s="107" t="s">
        <v>116</v>
      </c>
      <c r="D95" s="51"/>
      <c r="E95" s="13"/>
      <c r="F95" s="13">
        <v>3</v>
      </c>
      <c r="G95" s="36">
        <v>735.42</v>
      </c>
      <c r="H95" s="94">
        <f t="shared" si="10"/>
        <v>2.2062599999999999</v>
      </c>
      <c r="I95" s="13">
        <f t="shared" ref="I95:I100" si="11">G95*1</f>
        <v>735.42</v>
      </c>
      <c r="J95" s="119"/>
    </row>
    <row r="96" spans="1:21" ht="15.75" customHeight="1">
      <c r="A96" s="30">
        <v>23</v>
      </c>
      <c r="B96" s="106" t="s">
        <v>205</v>
      </c>
      <c r="C96" s="107" t="s">
        <v>116</v>
      </c>
      <c r="D96" s="51"/>
      <c r="E96" s="36"/>
      <c r="F96" s="36">
        <v>1</v>
      </c>
      <c r="G96" s="36">
        <v>86</v>
      </c>
      <c r="H96" s="98">
        <f t="shared" si="10"/>
        <v>8.5999999999999993E-2</v>
      </c>
      <c r="I96" s="13">
        <f t="shared" si="11"/>
        <v>86</v>
      </c>
      <c r="J96" s="119"/>
    </row>
    <row r="97" spans="1:10" ht="15.75" customHeight="1">
      <c r="A97" s="30">
        <v>24</v>
      </c>
      <c r="B97" s="106" t="s">
        <v>206</v>
      </c>
      <c r="C97" s="107" t="s">
        <v>116</v>
      </c>
      <c r="D97" s="51"/>
      <c r="E97" s="13"/>
      <c r="F97" s="13">
        <v>14</v>
      </c>
      <c r="G97" s="36">
        <v>63</v>
      </c>
      <c r="H97" s="94">
        <f>G97*F97/1000</f>
        <v>0.88200000000000001</v>
      </c>
      <c r="I97" s="13">
        <f t="shared" si="11"/>
        <v>63</v>
      </c>
      <c r="J97" s="119"/>
    </row>
    <row r="98" spans="1:10" ht="15.75" customHeight="1">
      <c r="A98" s="30">
        <v>25</v>
      </c>
      <c r="B98" s="106" t="s">
        <v>207</v>
      </c>
      <c r="C98" s="107" t="s">
        <v>116</v>
      </c>
      <c r="D98" s="51"/>
      <c r="E98" s="13"/>
      <c r="F98" s="13"/>
      <c r="G98" s="36">
        <v>39</v>
      </c>
      <c r="H98" s="94"/>
      <c r="I98" s="13">
        <f t="shared" si="11"/>
        <v>39</v>
      </c>
      <c r="J98" s="119"/>
    </row>
    <row r="99" spans="1:10" ht="15.75" customHeight="1">
      <c r="A99" s="30">
        <v>26</v>
      </c>
      <c r="B99" s="106" t="s">
        <v>208</v>
      </c>
      <c r="C99" s="107" t="s">
        <v>116</v>
      </c>
      <c r="D99" s="51"/>
      <c r="E99" s="13"/>
      <c r="F99" s="13"/>
      <c r="G99" s="36">
        <v>49</v>
      </c>
      <c r="H99" s="94"/>
      <c r="I99" s="13">
        <f t="shared" si="11"/>
        <v>49</v>
      </c>
      <c r="J99" s="119"/>
    </row>
    <row r="100" spans="1:10" ht="15.75" customHeight="1">
      <c r="A100" s="30">
        <v>27</v>
      </c>
      <c r="B100" s="106" t="s">
        <v>209</v>
      </c>
      <c r="C100" s="107" t="s">
        <v>158</v>
      </c>
      <c r="D100" s="51"/>
      <c r="E100" s="13"/>
      <c r="F100" s="13"/>
      <c r="G100" s="36">
        <v>214.07</v>
      </c>
      <c r="H100" s="94"/>
      <c r="I100" s="13">
        <f t="shared" si="11"/>
        <v>214.07</v>
      </c>
      <c r="J100" s="119"/>
    </row>
    <row r="101" spans="1:10" ht="15.75" customHeight="1">
      <c r="A101" s="30">
        <v>28</v>
      </c>
      <c r="B101" s="200" t="s">
        <v>210</v>
      </c>
      <c r="C101" s="40" t="s">
        <v>211</v>
      </c>
      <c r="D101" s="51"/>
      <c r="E101" s="13"/>
      <c r="F101" s="13"/>
      <c r="G101" s="36">
        <v>416.53</v>
      </c>
      <c r="H101" s="94"/>
      <c r="I101" s="13">
        <f>G101*0.048</f>
        <v>19.99344</v>
      </c>
      <c r="J101" s="119"/>
    </row>
    <row r="102" spans="1:10" ht="30" customHeight="1">
      <c r="A102" s="30">
        <v>29</v>
      </c>
      <c r="B102" s="106" t="s">
        <v>86</v>
      </c>
      <c r="C102" s="107" t="s">
        <v>88</v>
      </c>
      <c r="D102" s="51"/>
      <c r="E102" s="13"/>
      <c r="F102" s="13"/>
      <c r="G102" s="36">
        <v>644.72</v>
      </c>
      <c r="H102" s="94"/>
      <c r="I102" s="13">
        <f>G102*1</f>
        <v>644.72</v>
      </c>
      <c r="J102" s="119"/>
    </row>
    <row r="103" spans="1:10" ht="15.75" customHeight="1">
      <c r="A103" s="30">
        <v>30</v>
      </c>
      <c r="B103" s="106" t="s">
        <v>172</v>
      </c>
      <c r="C103" s="107" t="s">
        <v>173</v>
      </c>
      <c r="D103" s="51"/>
      <c r="E103" s="13"/>
      <c r="F103" s="13"/>
      <c r="G103" s="36">
        <v>26095.37</v>
      </c>
      <c r="H103" s="94"/>
      <c r="I103" s="13">
        <f>G103*0.01</f>
        <v>260.95369999999997</v>
      </c>
      <c r="J103" s="119"/>
    </row>
    <row r="104" spans="1:10" ht="30.75" customHeight="1">
      <c r="A104" s="30">
        <v>31</v>
      </c>
      <c r="B104" s="106" t="s">
        <v>154</v>
      </c>
      <c r="C104" s="107" t="s">
        <v>155</v>
      </c>
      <c r="D104" s="51"/>
      <c r="E104" s="13"/>
      <c r="F104" s="13"/>
      <c r="G104" s="36">
        <v>59.21</v>
      </c>
      <c r="H104" s="94"/>
      <c r="I104" s="13">
        <f>G104*1</f>
        <v>59.21</v>
      </c>
      <c r="J104" s="119"/>
    </row>
    <row r="105" spans="1:10" ht="30.75" customHeight="1">
      <c r="A105" s="30">
        <v>32</v>
      </c>
      <c r="B105" s="132" t="s">
        <v>212</v>
      </c>
      <c r="C105" s="40" t="s">
        <v>213</v>
      </c>
      <c r="D105" s="51"/>
      <c r="E105" s="13"/>
      <c r="F105" s="13"/>
      <c r="G105" s="36">
        <v>2114.96</v>
      </c>
      <c r="H105" s="94"/>
      <c r="I105" s="13">
        <f>G105*1</f>
        <v>2114.96</v>
      </c>
      <c r="J105" s="119"/>
    </row>
    <row r="106" spans="1:10" ht="15.75" customHeight="1">
      <c r="A106" s="30"/>
      <c r="B106" s="45" t="s">
        <v>51</v>
      </c>
      <c r="C106" s="41"/>
      <c r="D106" s="53"/>
      <c r="E106" s="53"/>
      <c r="F106" s="41">
        <v>1</v>
      </c>
      <c r="G106" s="41"/>
      <c r="H106" s="41"/>
      <c r="I106" s="32">
        <f>SUM(I94:I105)</f>
        <v>8381.3271400000012</v>
      </c>
    </row>
    <row r="107" spans="1:10" ht="15.75" customHeight="1">
      <c r="A107" s="30"/>
      <c r="B107" s="51" t="s">
        <v>78</v>
      </c>
      <c r="C107" s="16"/>
      <c r="D107" s="16"/>
      <c r="E107" s="16"/>
      <c r="F107" s="42"/>
      <c r="G107" s="43"/>
      <c r="H107" s="43"/>
      <c r="I107" s="18">
        <v>0</v>
      </c>
    </row>
    <row r="108" spans="1:10" ht="15.75" customHeight="1">
      <c r="A108" s="54"/>
      <c r="B108" s="46" t="s">
        <v>139</v>
      </c>
      <c r="C108" s="34"/>
      <c r="D108" s="34"/>
      <c r="E108" s="34"/>
      <c r="F108" s="34"/>
      <c r="G108" s="34"/>
      <c r="H108" s="34"/>
      <c r="I108" s="44">
        <f>I92+I106</f>
        <v>119042.02567333335</v>
      </c>
    </row>
    <row r="109" spans="1:10" ht="15.75" customHeight="1">
      <c r="A109" s="256" t="s">
        <v>249</v>
      </c>
      <c r="B109" s="256"/>
      <c r="C109" s="256"/>
      <c r="D109" s="256"/>
      <c r="E109" s="256"/>
      <c r="F109" s="256"/>
      <c r="G109" s="256"/>
      <c r="H109" s="256"/>
      <c r="I109" s="256"/>
    </row>
    <row r="110" spans="1:10" ht="15.75" customHeight="1">
      <c r="A110" s="66"/>
      <c r="B110" s="257" t="s">
        <v>250</v>
      </c>
      <c r="C110" s="257"/>
      <c r="D110" s="257"/>
      <c r="E110" s="257"/>
      <c r="F110" s="257"/>
      <c r="G110" s="257"/>
      <c r="H110" s="73"/>
      <c r="I110" s="3"/>
    </row>
    <row r="111" spans="1:10" ht="15.75" customHeight="1">
      <c r="A111" s="62"/>
      <c r="B111" s="258" t="s">
        <v>6</v>
      </c>
      <c r="C111" s="258"/>
      <c r="D111" s="258"/>
      <c r="E111" s="258"/>
      <c r="F111" s="258"/>
      <c r="G111" s="258"/>
      <c r="H111" s="25"/>
      <c r="I111" s="5"/>
    </row>
    <row r="112" spans="1:10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259" t="s">
        <v>7</v>
      </c>
      <c r="B113" s="259"/>
      <c r="C113" s="259"/>
      <c r="D113" s="259"/>
      <c r="E113" s="259"/>
      <c r="F113" s="259"/>
      <c r="G113" s="259"/>
      <c r="H113" s="259"/>
      <c r="I113" s="259"/>
    </row>
    <row r="114" spans="1:9" ht="15.75" customHeight="1">
      <c r="A114" s="259" t="s">
        <v>8</v>
      </c>
      <c r="B114" s="259"/>
      <c r="C114" s="259"/>
      <c r="D114" s="259"/>
      <c r="E114" s="259"/>
      <c r="F114" s="259"/>
      <c r="G114" s="259"/>
      <c r="H114" s="259"/>
      <c r="I114" s="259"/>
    </row>
    <row r="115" spans="1:9" ht="15.75" customHeight="1">
      <c r="A115" s="260" t="s">
        <v>60</v>
      </c>
      <c r="B115" s="260"/>
      <c r="C115" s="260"/>
      <c r="D115" s="260"/>
      <c r="E115" s="260"/>
      <c r="F115" s="260"/>
      <c r="G115" s="260"/>
      <c r="H115" s="260"/>
      <c r="I115" s="260"/>
    </row>
    <row r="116" spans="1:9" ht="15.75" customHeight="1">
      <c r="A116" s="11"/>
    </row>
    <row r="117" spans="1:9" ht="15.75" customHeight="1">
      <c r="A117" s="261" t="s">
        <v>9</v>
      </c>
      <c r="B117" s="261"/>
      <c r="C117" s="261"/>
      <c r="D117" s="261"/>
      <c r="E117" s="261"/>
      <c r="F117" s="261"/>
      <c r="G117" s="261"/>
      <c r="H117" s="261"/>
      <c r="I117" s="261"/>
    </row>
    <row r="118" spans="1:9" ht="15.75" customHeight="1">
      <c r="A118" s="4"/>
    </row>
    <row r="119" spans="1:9" ht="15.75" customHeight="1">
      <c r="B119" s="61" t="s">
        <v>10</v>
      </c>
      <c r="C119" s="262" t="s">
        <v>87</v>
      </c>
      <c r="D119" s="262"/>
      <c r="E119" s="262"/>
      <c r="F119" s="262"/>
      <c r="I119" s="64"/>
    </row>
    <row r="120" spans="1:9" ht="15.75" customHeight="1">
      <c r="A120" s="62"/>
      <c r="C120" s="258" t="s">
        <v>11</v>
      </c>
      <c r="D120" s="258"/>
      <c r="E120" s="258"/>
      <c r="F120" s="258"/>
      <c r="I120" s="63" t="s">
        <v>12</v>
      </c>
    </row>
    <row r="121" spans="1:9" ht="15.75" customHeight="1">
      <c r="A121" s="26"/>
      <c r="C121" s="12"/>
      <c r="D121" s="12"/>
      <c r="E121" s="12"/>
      <c r="G121" s="12"/>
      <c r="H121" s="12"/>
    </row>
    <row r="122" spans="1:9" ht="15.75" customHeight="1">
      <c r="B122" s="61" t="s">
        <v>13</v>
      </c>
      <c r="C122" s="264"/>
      <c r="D122" s="264"/>
      <c r="E122" s="264"/>
      <c r="F122" s="264"/>
      <c r="I122" s="64"/>
    </row>
    <row r="123" spans="1:9" ht="15.75" customHeight="1">
      <c r="A123" s="62"/>
      <c r="C123" s="245" t="s">
        <v>11</v>
      </c>
      <c r="D123" s="245"/>
      <c r="E123" s="245"/>
      <c r="F123" s="245"/>
      <c r="I123" s="63" t="s">
        <v>12</v>
      </c>
    </row>
    <row r="124" spans="1:9" ht="15.75" customHeight="1">
      <c r="A124" s="4" t="s">
        <v>14</v>
      </c>
    </row>
    <row r="125" spans="1:9" ht="15.75" customHeight="1">
      <c r="A125" s="265" t="s">
        <v>15</v>
      </c>
      <c r="B125" s="265"/>
      <c r="C125" s="265"/>
      <c r="D125" s="265"/>
      <c r="E125" s="265"/>
      <c r="F125" s="265"/>
      <c r="G125" s="265"/>
      <c r="H125" s="265"/>
      <c r="I125" s="265"/>
    </row>
    <row r="126" spans="1:9" ht="45" customHeight="1">
      <c r="A126" s="263" t="s">
        <v>16</v>
      </c>
      <c r="B126" s="263"/>
      <c r="C126" s="263"/>
      <c r="D126" s="263"/>
      <c r="E126" s="263"/>
      <c r="F126" s="263"/>
      <c r="G126" s="263"/>
      <c r="H126" s="263"/>
      <c r="I126" s="263"/>
    </row>
    <row r="127" spans="1:9" ht="30" customHeight="1">
      <c r="A127" s="263" t="s">
        <v>17</v>
      </c>
      <c r="B127" s="263"/>
      <c r="C127" s="263"/>
      <c r="D127" s="263"/>
      <c r="E127" s="263"/>
      <c r="F127" s="263"/>
      <c r="G127" s="263"/>
      <c r="H127" s="263"/>
      <c r="I127" s="263"/>
    </row>
    <row r="128" spans="1:9" ht="30" customHeight="1">
      <c r="A128" s="263" t="s">
        <v>21</v>
      </c>
      <c r="B128" s="263"/>
      <c r="C128" s="263"/>
      <c r="D128" s="263"/>
      <c r="E128" s="263"/>
      <c r="F128" s="263"/>
      <c r="G128" s="263"/>
      <c r="H128" s="263"/>
      <c r="I128" s="263"/>
    </row>
    <row r="129" spans="1:9" ht="15" customHeight="1">
      <c r="A129" s="263" t="s">
        <v>20</v>
      </c>
      <c r="B129" s="263"/>
      <c r="C129" s="263"/>
      <c r="D129" s="263"/>
      <c r="E129" s="263"/>
      <c r="F129" s="263"/>
      <c r="G129" s="263"/>
      <c r="H129" s="263"/>
      <c r="I129" s="263"/>
    </row>
  </sheetData>
  <autoFilter ref="I12:I67"/>
  <mergeCells count="29">
    <mergeCell ref="A14:I14"/>
    <mergeCell ref="A15:I15"/>
    <mergeCell ref="A29:I29"/>
    <mergeCell ref="A46:I46"/>
    <mergeCell ref="A3:I3"/>
    <mergeCell ref="A4:I4"/>
    <mergeCell ref="A5:I5"/>
    <mergeCell ref="A8:I8"/>
    <mergeCell ref="A10:I10"/>
    <mergeCell ref="A129:I129"/>
    <mergeCell ref="R72:U72"/>
    <mergeCell ref="C123:F123"/>
    <mergeCell ref="A93:I93"/>
    <mergeCell ref="A109:I109"/>
    <mergeCell ref="B110:G110"/>
    <mergeCell ref="B111:G111"/>
    <mergeCell ref="A113:I113"/>
    <mergeCell ref="A114:I114"/>
    <mergeCell ref="A115:I115"/>
    <mergeCell ref="A117:I117"/>
    <mergeCell ref="C119:F119"/>
    <mergeCell ref="C120:F120"/>
    <mergeCell ref="C122:F122"/>
    <mergeCell ref="A89:I89"/>
    <mergeCell ref="B56:J56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7"/>
  <sheetViews>
    <sheetView topLeftCell="A50" workbookViewId="0">
      <selection activeCell="A54" sqref="A54:XFD5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149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214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43616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5.75" customHeight="1">
      <c r="A19" s="30">
        <v>4</v>
      </c>
      <c r="B19" s="121" t="s">
        <v>101</v>
      </c>
      <c r="C19" s="122" t="s">
        <v>102</v>
      </c>
      <c r="D19" s="121" t="s">
        <v>251</v>
      </c>
      <c r="E19" s="146">
        <v>51.2</v>
      </c>
      <c r="F19" s="147">
        <f>SUM(E19/10)</f>
        <v>5.12</v>
      </c>
      <c r="G19" s="147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15.75" customHeight="1">
      <c r="A20" s="30">
        <v>5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F20/12*G20</f>
        <v>179.60125000000002</v>
      </c>
      <c r="J20" s="23"/>
      <c r="K20" s="8"/>
      <c r="L20" s="8"/>
      <c r="M20" s="8"/>
    </row>
    <row r="21" spans="1:13" ht="15.75" customHeight="1">
      <c r="A21" s="30">
        <v>6</v>
      </c>
      <c r="B21" s="121" t="s">
        <v>95</v>
      </c>
      <c r="C21" s="122" t="s">
        <v>100</v>
      </c>
      <c r="D21" s="121" t="s">
        <v>234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F21/12*G21</f>
        <v>41.566175000000008</v>
      </c>
      <c r="J21" s="23"/>
      <c r="K21" s="8"/>
      <c r="L21" s="8"/>
      <c r="M21" s="8"/>
    </row>
    <row r="22" spans="1:13" ht="15.75" customHeight="1">
      <c r="A22" s="30">
        <v>7</v>
      </c>
      <c r="B22" s="121" t="s">
        <v>104</v>
      </c>
      <c r="C22" s="122" t="s">
        <v>52</v>
      </c>
      <c r="D22" s="121" t="s">
        <v>252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1"/>
        <v>3.9588159999999992</v>
      </c>
      <c r="I22" s="13">
        <f t="shared" ref="I22:I26" si="2">F22*G22</f>
        <v>3958.8159999999993</v>
      </c>
      <c r="J22" s="23"/>
      <c r="K22" s="8"/>
      <c r="L22" s="8"/>
      <c r="M22" s="8"/>
    </row>
    <row r="23" spans="1:13" ht="15.75" customHeight="1">
      <c r="A23" s="30">
        <v>8</v>
      </c>
      <c r="B23" s="121" t="s">
        <v>105</v>
      </c>
      <c r="C23" s="122" t="s">
        <v>52</v>
      </c>
      <c r="D23" s="121" t="s">
        <v>252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1"/>
        <v>3.841145E-2</v>
      </c>
      <c r="I23" s="13">
        <f t="shared" si="2"/>
        <v>38.411450000000002</v>
      </c>
      <c r="J23" s="23"/>
      <c r="K23" s="8"/>
      <c r="L23" s="8"/>
      <c r="M23" s="8"/>
    </row>
    <row r="24" spans="1:13" ht="15.75" customHeight="1">
      <c r="A24" s="30">
        <v>9</v>
      </c>
      <c r="B24" s="121" t="s">
        <v>98</v>
      </c>
      <c r="C24" s="122" t="s">
        <v>52</v>
      </c>
      <c r="D24" s="121" t="s">
        <v>235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f t="shared" si="2"/>
        <v>106.98530499999998</v>
      </c>
      <c r="J24" s="23"/>
      <c r="K24" s="8"/>
      <c r="L24" s="8"/>
      <c r="M24" s="8"/>
    </row>
    <row r="25" spans="1:13" ht="15.75" customHeight="1">
      <c r="A25" s="30">
        <v>10</v>
      </c>
      <c r="B25" s="121" t="s">
        <v>128</v>
      </c>
      <c r="C25" s="122" t="s">
        <v>52</v>
      </c>
      <c r="D25" s="121" t="s">
        <v>235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f t="shared" si="2"/>
        <v>97.590150000000008</v>
      </c>
      <c r="J25" s="23"/>
      <c r="K25" s="8"/>
      <c r="L25" s="8"/>
      <c r="M25" s="8"/>
    </row>
    <row r="26" spans="1:13" ht="15.75" customHeight="1">
      <c r="A26" s="30">
        <v>11</v>
      </c>
      <c r="B26" s="121" t="s">
        <v>99</v>
      </c>
      <c r="C26" s="122" t="s">
        <v>52</v>
      </c>
      <c r="D26" s="121" t="s">
        <v>234</v>
      </c>
      <c r="E26" s="146">
        <v>37.5</v>
      </c>
      <c r="F26" s="147">
        <f>SUM(E26/100)</f>
        <v>0.375</v>
      </c>
      <c r="G26" s="147">
        <v>746.6</v>
      </c>
      <c r="H26" s="79">
        <f t="shared" si="1"/>
        <v>0.27997500000000003</v>
      </c>
      <c r="I26" s="13">
        <f t="shared" si="2"/>
        <v>279.97500000000002</v>
      </c>
      <c r="J26" s="23"/>
      <c r="K26" s="8"/>
      <c r="L26" s="8"/>
      <c r="M26" s="8"/>
    </row>
    <row r="27" spans="1:13" ht="15.75" customHeight="1">
      <c r="A27" s="30">
        <v>12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ref="H27" si="3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13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4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14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4"/>
        <v>10.949134715999998</v>
      </c>
      <c r="I31" s="13">
        <f t="shared" ref="I31:I33" si="5">F31/6*G31</f>
        <v>1824.8557860000001</v>
      </c>
      <c r="J31" s="23"/>
      <c r="K31" s="8"/>
      <c r="L31" s="8"/>
      <c r="M31" s="8"/>
    </row>
    <row r="32" spans="1:13" ht="15.75" customHeight="1">
      <c r="A32" s="40">
        <v>15</v>
      </c>
      <c r="B32" s="121" t="s">
        <v>27</v>
      </c>
      <c r="C32" s="122" t="s">
        <v>107</v>
      </c>
      <c r="D32" s="121" t="s">
        <v>235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4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16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5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6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6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7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7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7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7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7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7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7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3" t="s">
        <v>136</v>
      </c>
      <c r="B44" s="254"/>
      <c r="C44" s="254"/>
      <c r="D44" s="254"/>
      <c r="E44" s="254"/>
      <c r="F44" s="254"/>
      <c r="G44" s="254"/>
      <c r="H44" s="254"/>
      <c r="I44" s="255"/>
      <c r="J44" s="24"/>
      <c r="L44" s="20"/>
      <c r="M44" s="21"/>
      <c r="N44" s="22"/>
    </row>
    <row r="45" spans="1:14" ht="15.75" customHeight="1">
      <c r="A45" s="40">
        <v>17</v>
      </c>
      <c r="B45" s="121" t="s">
        <v>113</v>
      </c>
      <c r="C45" s="122" t="s">
        <v>107</v>
      </c>
      <c r="D45" s="121" t="s">
        <v>234</v>
      </c>
      <c r="E45" s="140">
        <v>1571.3</v>
      </c>
      <c r="F45" s="123">
        <f>SUM(E45*2/1000)</f>
        <v>3.1425999999999998</v>
      </c>
      <c r="G45" s="36">
        <v>1217.79</v>
      </c>
      <c r="H45" s="79">
        <f t="shared" ref="H45:H53" si="8">SUM(F45*G45/1000)</f>
        <v>3.8270268539999996</v>
      </c>
      <c r="I45" s="13">
        <f t="shared" ref="I45:I47" si="9">F45/2*G45</f>
        <v>1913.5134269999999</v>
      </c>
      <c r="J45" s="24"/>
      <c r="L45" s="20"/>
      <c r="M45" s="21"/>
      <c r="N45" s="22"/>
    </row>
    <row r="46" spans="1:14" ht="15.75" customHeight="1">
      <c r="A46" s="40">
        <v>18</v>
      </c>
      <c r="B46" s="121" t="s">
        <v>179</v>
      </c>
      <c r="C46" s="122" t="s">
        <v>107</v>
      </c>
      <c r="D46" s="121" t="s">
        <v>234</v>
      </c>
      <c r="E46" s="140">
        <v>185.3</v>
      </c>
      <c r="F46" s="123">
        <f>SUM(E46*2/1000)</f>
        <v>0.37060000000000004</v>
      </c>
      <c r="G46" s="36">
        <v>830.69</v>
      </c>
      <c r="H46" s="79">
        <f t="shared" si="8"/>
        <v>0.30785371400000006</v>
      </c>
      <c r="I46" s="13">
        <f t="shared" si="9"/>
        <v>153.92685700000004</v>
      </c>
      <c r="J46" s="24"/>
      <c r="L46" s="20"/>
      <c r="M46" s="21"/>
      <c r="N46" s="22"/>
    </row>
    <row r="47" spans="1:14" ht="15.75" customHeight="1">
      <c r="A47" s="40">
        <v>19</v>
      </c>
      <c r="B47" s="121" t="s">
        <v>35</v>
      </c>
      <c r="C47" s="122" t="s">
        <v>107</v>
      </c>
      <c r="D47" s="121" t="s">
        <v>234</v>
      </c>
      <c r="E47" s="140">
        <v>4737.7</v>
      </c>
      <c r="F47" s="123">
        <f>SUM(E47*2/1000)</f>
        <v>9.4754000000000005</v>
      </c>
      <c r="G47" s="36">
        <v>830.69</v>
      </c>
      <c r="H47" s="79">
        <f t="shared" si="8"/>
        <v>7.8711200260000007</v>
      </c>
      <c r="I47" s="13">
        <f t="shared" si="9"/>
        <v>3935.5600130000003</v>
      </c>
      <c r="J47" s="24"/>
      <c r="L47" s="20"/>
      <c r="M47" s="21"/>
      <c r="N47" s="22"/>
    </row>
    <row r="48" spans="1:14" ht="15.75" customHeight="1">
      <c r="A48" s="40">
        <v>20</v>
      </c>
      <c r="B48" s="121" t="s">
        <v>36</v>
      </c>
      <c r="C48" s="122" t="s">
        <v>107</v>
      </c>
      <c r="D48" s="121" t="s">
        <v>234</v>
      </c>
      <c r="E48" s="140">
        <v>2811.99</v>
      </c>
      <c r="F48" s="123">
        <f>SUM(E48*2/1000)</f>
        <v>5.6239799999999995</v>
      </c>
      <c r="G48" s="36">
        <v>869.86</v>
      </c>
      <c r="H48" s="79">
        <f t="shared" si="8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21</v>
      </c>
      <c r="B49" s="121" t="s">
        <v>55</v>
      </c>
      <c r="C49" s="122" t="s">
        <v>107</v>
      </c>
      <c r="D49" s="121" t="s">
        <v>234</v>
      </c>
      <c r="E49" s="140">
        <v>5836.1</v>
      </c>
      <c r="F49" s="123">
        <f>SUM(E49*5/1000)</f>
        <v>29.180499999999999</v>
      </c>
      <c r="G49" s="36">
        <v>1739.68</v>
      </c>
      <c r="H49" s="79">
        <f t="shared" si="8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0" customHeight="1">
      <c r="A50" s="40">
        <v>22</v>
      </c>
      <c r="B50" s="121" t="s">
        <v>114</v>
      </c>
      <c r="C50" s="122" t="s">
        <v>107</v>
      </c>
      <c r="D50" s="121" t="s">
        <v>234</v>
      </c>
      <c r="E50" s="140">
        <v>5836.1</v>
      </c>
      <c r="F50" s="123">
        <f>SUM(E50*2/1000)</f>
        <v>11.6722</v>
      </c>
      <c r="G50" s="36">
        <v>1739.68</v>
      </c>
      <c r="H50" s="79">
        <f t="shared" si="8"/>
        <v>20.305892896</v>
      </c>
      <c r="I50" s="13">
        <f t="shared" ref="I50:I51" si="10">F50/2*G50</f>
        <v>10152.946448000001</v>
      </c>
      <c r="J50" s="24"/>
      <c r="L50" s="20"/>
      <c r="M50" s="21"/>
      <c r="N50" s="22"/>
    </row>
    <row r="51" spans="1:14" ht="28.5" customHeight="1">
      <c r="A51" s="40">
        <v>23</v>
      </c>
      <c r="B51" s="121" t="s">
        <v>115</v>
      </c>
      <c r="C51" s="122" t="s">
        <v>37</v>
      </c>
      <c r="D51" s="121" t="s">
        <v>234</v>
      </c>
      <c r="E51" s="140">
        <v>40</v>
      </c>
      <c r="F51" s="123">
        <f>SUM(E51*2/100)</f>
        <v>0.8</v>
      </c>
      <c r="G51" s="36">
        <v>3914.31</v>
      </c>
      <c r="H51" s="79">
        <f t="shared" si="8"/>
        <v>3.1314480000000002</v>
      </c>
      <c r="I51" s="13">
        <f t="shared" si="10"/>
        <v>1565.7240000000002</v>
      </c>
      <c r="J51" s="24"/>
      <c r="L51" s="20"/>
      <c r="M51" s="21"/>
      <c r="N51" s="22"/>
    </row>
    <row r="52" spans="1:14" ht="17.25" customHeight="1">
      <c r="A52" s="40">
        <v>24</v>
      </c>
      <c r="B52" s="121" t="s">
        <v>38</v>
      </c>
      <c r="C52" s="122" t="s">
        <v>39</v>
      </c>
      <c r="D52" s="121" t="s">
        <v>234</v>
      </c>
      <c r="E52" s="140">
        <v>1</v>
      </c>
      <c r="F52" s="123">
        <v>0.02</v>
      </c>
      <c r="G52" s="36">
        <v>8102.62</v>
      </c>
      <c r="H52" s="79">
        <f t="shared" si="8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8.75" hidden="1" customHeight="1">
      <c r="A53" s="40">
        <v>13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8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hidden="1" customHeight="1">
      <c r="A54" s="213"/>
      <c r="B54" s="47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31.5" hidden="1" customHeight="1">
      <c r="A55" s="40">
        <v>14</v>
      </c>
      <c r="B55" s="75" t="s">
        <v>132</v>
      </c>
      <c r="C55" s="76" t="s">
        <v>100</v>
      </c>
      <c r="D55" s="75" t="s">
        <v>117</v>
      </c>
      <c r="E55" s="77">
        <v>48</v>
      </c>
      <c r="F55" s="78">
        <f>E55*6/100</f>
        <v>2.88</v>
      </c>
      <c r="G55" s="85">
        <v>1547.28</v>
      </c>
      <c r="H55" s="79">
        <f>F55*G55/1000</f>
        <v>4.4561663999999999</v>
      </c>
      <c r="I55" s="13">
        <f>F55/6*G55</f>
        <v>742.69439999999997</v>
      </c>
      <c r="J55" s="24"/>
      <c r="L55" s="20"/>
      <c r="M55" s="21"/>
      <c r="N55" s="22"/>
    </row>
    <row r="56" spans="1:14" ht="15.75" hidden="1" customHeight="1">
      <c r="A56" s="40">
        <v>15</v>
      </c>
      <c r="B56" s="86" t="s">
        <v>92</v>
      </c>
      <c r="C56" s="87" t="s">
        <v>100</v>
      </c>
      <c r="D56" s="86" t="s">
        <v>133</v>
      </c>
      <c r="E56" s="88">
        <v>56</v>
      </c>
      <c r="F56" s="89">
        <f>E56*4/100</f>
        <v>2.2400000000000002</v>
      </c>
      <c r="G56" s="85">
        <v>1547.28</v>
      </c>
      <c r="H56" s="90">
        <f>F56*G56/1000</f>
        <v>3.4659072000000002</v>
      </c>
      <c r="I56" s="13">
        <f>F56/6*G56</f>
        <v>577.65120000000002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96</v>
      </c>
      <c r="C57" s="87" t="s">
        <v>97</v>
      </c>
      <c r="D57" s="86" t="s">
        <v>41</v>
      </c>
      <c r="E57" s="88">
        <v>8</v>
      </c>
      <c r="F57" s="89">
        <v>16</v>
      </c>
      <c r="G57" s="91">
        <v>180.78</v>
      </c>
      <c r="H57" s="90">
        <f>F57*G57/1000</f>
        <v>2.8924799999999999</v>
      </c>
      <c r="I57" s="13">
        <f>F57/2*G57</f>
        <v>1446.24</v>
      </c>
      <c r="J57" s="24"/>
      <c r="L57" s="20"/>
      <c r="M57" s="21"/>
      <c r="N57" s="22"/>
    </row>
    <row r="58" spans="1:14" ht="15.75" customHeight="1">
      <c r="A58" s="40"/>
      <c r="B58" s="212" t="s">
        <v>43</v>
      </c>
      <c r="C58" s="212"/>
      <c r="D58" s="212"/>
      <c r="E58" s="212"/>
      <c r="F58" s="212"/>
      <c r="G58" s="212"/>
      <c r="H58" s="212"/>
      <c r="I58" s="35"/>
      <c r="J58" s="24"/>
      <c r="L58" s="20"/>
      <c r="M58" s="21"/>
      <c r="N58" s="22"/>
    </row>
    <row r="59" spans="1:14" ht="15.75" customHeight="1">
      <c r="A59" s="40">
        <v>25</v>
      </c>
      <c r="B59" s="86" t="s">
        <v>93</v>
      </c>
      <c r="C59" s="87" t="s">
        <v>25</v>
      </c>
      <c r="D59" s="86" t="s">
        <v>234</v>
      </c>
      <c r="E59" s="88">
        <v>331.5</v>
      </c>
      <c r="F59" s="89">
        <f>E59*12</f>
        <v>3978</v>
      </c>
      <c r="G59" s="92">
        <v>1.4</v>
      </c>
      <c r="H59" s="90">
        <f>G59*F59/1000</f>
        <v>5.5691999999999995</v>
      </c>
      <c r="I59" s="13">
        <f>2400/12*G59</f>
        <v>280</v>
      </c>
      <c r="J59" s="24"/>
      <c r="L59" s="20"/>
      <c r="M59" s="21"/>
      <c r="N59" s="22"/>
    </row>
    <row r="60" spans="1:14" ht="15.75" hidden="1" customHeight="1">
      <c r="A60" s="40">
        <v>14</v>
      </c>
      <c r="B60" s="86" t="s">
        <v>44</v>
      </c>
      <c r="C60" s="87" t="s">
        <v>25</v>
      </c>
      <c r="D60" s="86" t="s">
        <v>53</v>
      </c>
      <c r="E60" s="88">
        <v>1571.3</v>
      </c>
      <c r="F60" s="89">
        <f>E60/100</f>
        <v>15.712999999999999</v>
      </c>
      <c r="G60" s="93">
        <v>793.61</v>
      </c>
      <c r="H60" s="90">
        <f>G60*F60/1000</f>
        <v>12.469993929999999</v>
      </c>
      <c r="I60" s="13">
        <v>0</v>
      </c>
      <c r="J60" s="24"/>
      <c r="L60" s="20"/>
      <c r="M60" s="21"/>
      <c r="N60" s="22"/>
    </row>
    <row r="61" spans="1:14" ht="15.75" hidden="1" customHeight="1">
      <c r="A61" s="40"/>
      <c r="B61" s="212" t="s">
        <v>45</v>
      </c>
      <c r="C61" s="17"/>
      <c r="D61" s="37"/>
      <c r="E61" s="37"/>
      <c r="F61" s="16"/>
      <c r="G61" s="30"/>
      <c r="H61" s="30"/>
      <c r="I61" s="19"/>
      <c r="J61" s="24"/>
      <c r="L61" s="20"/>
      <c r="M61" s="21"/>
      <c r="N61" s="22"/>
    </row>
    <row r="62" spans="1:14" ht="15.75" hidden="1" customHeight="1">
      <c r="A62" s="40">
        <v>25</v>
      </c>
      <c r="B62" s="15" t="s">
        <v>46</v>
      </c>
      <c r="C62" s="17" t="s">
        <v>116</v>
      </c>
      <c r="D62" s="15" t="s">
        <v>66</v>
      </c>
      <c r="E62" s="19">
        <v>35</v>
      </c>
      <c r="F62" s="78">
        <v>35</v>
      </c>
      <c r="G62" s="13">
        <v>222.4</v>
      </c>
      <c r="H62" s="94">
        <f t="shared" ref="H62:H69" si="11">SUM(F62*G62/1000)</f>
        <v>7.7839999999999998</v>
      </c>
      <c r="I62" s="13">
        <f>G62*8</f>
        <v>1779.2</v>
      </c>
      <c r="J62" s="24"/>
      <c r="L62" s="20"/>
    </row>
    <row r="63" spans="1:14" ht="15.75" hidden="1" customHeight="1">
      <c r="A63" s="30">
        <v>29</v>
      </c>
      <c r="B63" s="15" t="s">
        <v>47</v>
      </c>
      <c r="C63" s="17" t="s">
        <v>116</v>
      </c>
      <c r="D63" s="15" t="s">
        <v>66</v>
      </c>
      <c r="E63" s="19">
        <v>17</v>
      </c>
      <c r="F63" s="78">
        <v>20</v>
      </c>
      <c r="G63" s="13">
        <v>76.25</v>
      </c>
      <c r="H63" s="94">
        <f t="shared" si="11"/>
        <v>1.5249999999999999</v>
      </c>
      <c r="I63" s="13">
        <v>0</v>
      </c>
    </row>
    <row r="64" spans="1:14" ht="15.75" hidden="1" customHeight="1">
      <c r="A64" s="30">
        <v>27</v>
      </c>
      <c r="B64" s="131" t="s">
        <v>48</v>
      </c>
      <c r="C64" s="160" t="s">
        <v>118</v>
      </c>
      <c r="D64" s="37" t="s">
        <v>53</v>
      </c>
      <c r="E64" s="140">
        <v>22639</v>
      </c>
      <c r="F64" s="109">
        <f>SUM(E64/100)</f>
        <v>226.39</v>
      </c>
      <c r="G64" s="36">
        <v>304.13</v>
      </c>
      <c r="H64" s="94">
        <f t="shared" si="11"/>
        <v>68.851990700000002</v>
      </c>
      <c r="I64" s="13">
        <f>F64*G64</f>
        <v>68851.990699999995</v>
      </c>
    </row>
    <row r="65" spans="1:22" ht="15.75" hidden="1" customHeight="1">
      <c r="A65" s="30">
        <v>28</v>
      </c>
      <c r="B65" s="131" t="s">
        <v>49</v>
      </c>
      <c r="C65" s="38" t="s">
        <v>119</v>
      </c>
      <c r="D65" s="37"/>
      <c r="E65" s="140">
        <v>22639</v>
      </c>
      <c r="F65" s="36">
        <f>SUM(E65/1000)</f>
        <v>22.638999999999999</v>
      </c>
      <c r="G65" s="36">
        <v>236.84</v>
      </c>
      <c r="H65" s="94">
        <f t="shared" si="11"/>
        <v>5.3618207599999996</v>
      </c>
      <c r="I65" s="13">
        <f t="shared" ref="I65:I68" si="12">F65*G65</f>
        <v>5361.8207599999996</v>
      </c>
    </row>
    <row r="66" spans="1:22" ht="15.75" hidden="1" customHeight="1">
      <c r="A66" s="30">
        <v>29</v>
      </c>
      <c r="B66" s="131" t="s">
        <v>50</v>
      </c>
      <c r="C66" s="38" t="s">
        <v>76</v>
      </c>
      <c r="D66" s="37" t="s">
        <v>53</v>
      </c>
      <c r="E66" s="140">
        <v>3145</v>
      </c>
      <c r="F66" s="36">
        <f>SUM(E66/100)</f>
        <v>31.45</v>
      </c>
      <c r="G66" s="36">
        <v>2974.1</v>
      </c>
      <c r="H66" s="94">
        <f t="shared" si="11"/>
        <v>93.535444999999996</v>
      </c>
      <c r="I66" s="13">
        <f t="shared" si="12"/>
        <v>93535.444999999992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0">
        <v>30</v>
      </c>
      <c r="B67" s="216" t="s">
        <v>120</v>
      </c>
      <c r="C67" s="38" t="s">
        <v>33</v>
      </c>
      <c r="D67" s="37"/>
      <c r="E67" s="140">
        <v>18.7</v>
      </c>
      <c r="F67" s="36">
        <f>SUM(E67)</f>
        <v>18.7</v>
      </c>
      <c r="G67" s="36">
        <v>46.08</v>
      </c>
      <c r="H67" s="94">
        <f t="shared" si="11"/>
        <v>0.86169599999999991</v>
      </c>
      <c r="I67" s="13">
        <f t="shared" si="12"/>
        <v>861.69599999999991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0">
        <v>31</v>
      </c>
      <c r="B68" s="216" t="s">
        <v>145</v>
      </c>
      <c r="C68" s="38" t="s">
        <v>33</v>
      </c>
      <c r="D68" s="37"/>
      <c r="E68" s="140">
        <v>18.7</v>
      </c>
      <c r="F68" s="36">
        <f>SUM(E68)</f>
        <v>18.7</v>
      </c>
      <c r="G68" s="36">
        <v>49.7</v>
      </c>
      <c r="H68" s="94">
        <f t="shared" si="11"/>
        <v>0.92938999999999994</v>
      </c>
      <c r="I68" s="13">
        <f t="shared" si="12"/>
        <v>929.39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3.2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15</v>
      </c>
      <c r="F69" s="78">
        <f>SUM(E69)</f>
        <v>15</v>
      </c>
      <c r="G69" s="13">
        <v>49.88</v>
      </c>
      <c r="H69" s="94">
        <f t="shared" si="11"/>
        <v>0.74820000000000009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245"/>
      <c r="S69" s="245"/>
      <c r="T69" s="245"/>
      <c r="U69" s="245"/>
    </row>
    <row r="70" spans="1:22" ht="23.25" customHeight="1">
      <c r="A70" s="30"/>
      <c r="B70" s="157" t="s">
        <v>183</v>
      </c>
      <c r="C70" s="38"/>
      <c r="D70" s="37"/>
      <c r="E70" s="18"/>
      <c r="F70" s="158"/>
      <c r="G70" s="36"/>
      <c r="H70" s="94"/>
      <c r="I70" s="13"/>
      <c r="J70" s="5"/>
      <c r="K70" s="5"/>
      <c r="L70" s="5"/>
      <c r="M70" s="5"/>
      <c r="N70" s="5"/>
      <c r="O70" s="5"/>
      <c r="P70" s="5"/>
      <c r="Q70" s="5"/>
      <c r="R70" s="211"/>
      <c r="S70" s="211"/>
      <c r="T70" s="211"/>
      <c r="U70" s="211"/>
    </row>
    <row r="71" spans="1:22" ht="31.5" customHeight="1">
      <c r="A71" s="30">
        <v>26</v>
      </c>
      <c r="B71" s="37" t="s">
        <v>184</v>
      </c>
      <c r="C71" s="40" t="s">
        <v>185</v>
      </c>
      <c r="D71" s="37"/>
      <c r="E71" s="18">
        <v>5836.1</v>
      </c>
      <c r="F71" s="36">
        <f>E71*12</f>
        <v>70033.200000000012</v>
      </c>
      <c r="G71" s="36">
        <v>2.4900000000000002</v>
      </c>
      <c r="H71" s="94"/>
      <c r="I71" s="13">
        <f>G71*F71/12</f>
        <v>14531.889000000003</v>
      </c>
      <c r="J71" s="5"/>
      <c r="K71" s="5"/>
      <c r="L71" s="5"/>
      <c r="M71" s="5"/>
      <c r="N71" s="5"/>
      <c r="O71" s="5"/>
      <c r="P71" s="5"/>
      <c r="Q71" s="5"/>
      <c r="R71" s="211"/>
      <c r="S71" s="211"/>
      <c r="T71" s="211"/>
      <c r="U71" s="211"/>
    </row>
    <row r="72" spans="1:22" ht="16.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27.75" hidden="1" customHeight="1">
      <c r="A73" s="30">
        <v>15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v>0</v>
      </c>
    </row>
    <row r="74" spans="1:22" ht="24.75" hidden="1" customHeight="1">
      <c r="A74" s="30"/>
      <c r="B74" s="15" t="s">
        <v>124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v>0</v>
      </c>
    </row>
    <row r="75" spans="1:22" ht="26.25" hidden="1" customHeight="1">
      <c r="A75" s="30"/>
      <c r="B75" s="15" t="s">
        <v>123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27" hidden="1" customHeight="1">
      <c r="A76" s="30"/>
      <c r="B76" s="15" t="s">
        <v>85</v>
      </c>
      <c r="C76" s="17" t="s">
        <v>30</v>
      </c>
      <c r="D76" s="15"/>
      <c r="E76" s="19">
        <v>2</v>
      </c>
      <c r="F76" s="78">
        <f>SUM(E76)</f>
        <v>2</v>
      </c>
      <c r="G76" s="13">
        <v>358.51</v>
      </c>
      <c r="H76" s="94">
        <f t="shared" ref="H76" si="13">SUM(F76*G76/1000)</f>
        <v>0.71701999999999999</v>
      </c>
      <c r="I76" s="13">
        <v>0</v>
      </c>
    </row>
    <row r="77" spans="1:22" ht="23.2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8.75" customHeight="1">
      <c r="A78" s="30">
        <v>27</v>
      </c>
      <c r="B78" s="106" t="s">
        <v>186</v>
      </c>
      <c r="C78" s="107" t="s">
        <v>116</v>
      </c>
      <c r="D78" s="37" t="s">
        <v>235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24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20.2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4">SUM(F80*G80/1000)</f>
        <v>3.725244</v>
      </c>
      <c r="I80" s="13">
        <v>0</v>
      </c>
    </row>
    <row r="81" spans="1:21" ht="19.5" hidden="1" customHeight="1">
      <c r="A81" s="213"/>
      <c r="B81" s="212" t="s">
        <v>121</v>
      </c>
      <c r="C81" s="212"/>
      <c r="D81" s="212"/>
      <c r="E81" s="212"/>
      <c r="F81" s="212"/>
      <c r="G81" s="212"/>
      <c r="H81" s="212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" hidden="1" customHeight="1">
      <c r="A82" s="30">
        <v>36</v>
      </c>
      <c r="B82" s="75" t="s">
        <v>122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v>0</v>
      </c>
    </row>
    <row r="83" spans="1:21" ht="15.75" customHeight="1">
      <c r="A83" s="239" t="s">
        <v>138</v>
      </c>
      <c r="B83" s="240"/>
      <c r="C83" s="240"/>
      <c r="D83" s="240"/>
      <c r="E83" s="240"/>
      <c r="F83" s="240"/>
      <c r="G83" s="240"/>
      <c r="H83" s="240"/>
      <c r="I83" s="241"/>
    </row>
    <row r="84" spans="1:21" ht="15.75" customHeight="1">
      <c r="A84" s="30">
        <v>28</v>
      </c>
      <c r="B84" s="37" t="s">
        <v>126</v>
      </c>
      <c r="C84" s="38" t="s">
        <v>54</v>
      </c>
      <c r="D84" s="167"/>
      <c r="E84" s="36">
        <v>5836.1</v>
      </c>
      <c r="F84" s="36">
        <f>SUM(E84*12)</f>
        <v>70033.200000000012</v>
      </c>
      <c r="G84" s="36">
        <v>3.38</v>
      </c>
      <c r="H84" s="94">
        <f>SUM(F84*G84/1000)</f>
        <v>236.71221600000004</v>
      </c>
      <c r="I84" s="13">
        <f>F84/12*G84</f>
        <v>19726.018000000004</v>
      </c>
    </row>
    <row r="85" spans="1:21" ht="31.5" customHeight="1">
      <c r="A85" s="30">
        <v>29</v>
      </c>
      <c r="B85" s="37" t="s">
        <v>77</v>
      </c>
      <c r="C85" s="38"/>
      <c r="D85" s="170"/>
      <c r="E85" s="171">
        <f>E84</f>
        <v>5836.1</v>
      </c>
      <c r="F85" s="172">
        <f>E85*12</f>
        <v>70033.200000000012</v>
      </c>
      <c r="G85" s="172">
        <v>3.83</v>
      </c>
      <c r="H85" s="94">
        <f>F85*G85/1000</f>
        <v>268.22715600000009</v>
      </c>
      <c r="I85" s="13">
        <f>F85/12*G85</f>
        <v>22352.263000000006</v>
      </c>
    </row>
    <row r="86" spans="1:21" ht="15.75" customHeight="1">
      <c r="A86" s="52"/>
      <c r="B86" s="39" t="s">
        <v>79</v>
      </c>
      <c r="C86" s="40"/>
      <c r="D86" s="16"/>
      <c r="E86" s="16"/>
      <c r="F86" s="16"/>
      <c r="G86" s="19"/>
      <c r="H86" s="19"/>
      <c r="I86" s="32">
        <f>I85+I84+I78+I71+I59+I52+I51+I50+I49+I48+I47+I46+I45+I33+I32+I31+I30+I27+I26+I25+I24+I23+I22+I21+I20+I19+I18+I17+I16</f>
        <v>134501.60676240001</v>
      </c>
    </row>
    <row r="87" spans="1:21" ht="15.75" customHeight="1">
      <c r="A87" s="242" t="s">
        <v>59</v>
      </c>
      <c r="B87" s="243"/>
      <c r="C87" s="243"/>
      <c r="D87" s="243"/>
      <c r="E87" s="243"/>
      <c r="F87" s="243"/>
      <c r="G87" s="243"/>
      <c r="H87" s="243"/>
      <c r="I87" s="244"/>
    </row>
    <row r="88" spans="1:21" ht="19.5" customHeight="1">
      <c r="A88" s="30">
        <v>30</v>
      </c>
      <c r="B88" s="108" t="s">
        <v>188</v>
      </c>
      <c r="C88" s="38" t="s">
        <v>169</v>
      </c>
      <c r="D88" s="51"/>
      <c r="E88" s="36"/>
      <c r="F88" s="36">
        <f>(3+3+30+25+15+20+20+3+15+15+20+10+3)/3</f>
        <v>60.666666666666664</v>
      </c>
      <c r="G88" s="36">
        <v>273</v>
      </c>
      <c r="H88" s="98">
        <f t="shared" ref="H88" si="15">G88*F88/1000</f>
        <v>16.562000000000001</v>
      </c>
      <c r="I88" s="13">
        <f>G88*23</f>
        <v>6279</v>
      </c>
    </row>
    <row r="89" spans="1:21" ht="16.5" customHeight="1">
      <c r="A89" s="30">
        <v>31</v>
      </c>
      <c r="B89" s="106" t="s">
        <v>209</v>
      </c>
      <c r="C89" s="107" t="s">
        <v>158</v>
      </c>
      <c r="D89" s="51"/>
      <c r="E89" s="36"/>
      <c r="F89" s="36"/>
      <c r="G89" s="36">
        <v>214.07</v>
      </c>
      <c r="H89" s="98"/>
      <c r="I89" s="13">
        <f>G89*1</f>
        <v>214.07</v>
      </c>
    </row>
    <row r="90" spans="1:21" ht="33.75" customHeight="1">
      <c r="A90" s="30">
        <v>32</v>
      </c>
      <c r="B90" s="106" t="s">
        <v>86</v>
      </c>
      <c r="C90" s="107" t="s">
        <v>88</v>
      </c>
      <c r="D90" s="51"/>
      <c r="E90" s="36"/>
      <c r="F90" s="36"/>
      <c r="G90" s="36">
        <v>644.72</v>
      </c>
      <c r="H90" s="98"/>
      <c r="I90" s="13">
        <f>G90*1</f>
        <v>644.72</v>
      </c>
    </row>
    <row r="91" spans="1:21" ht="30" customHeight="1">
      <c r="A91" s="30">
        <v>33</v>
      </c>
      <c r="B91" s="106" t="s">
        <v>172</v>
      </c>
      <c r="C91" s="107" t="s">
        <v>173</v>
      </c>
      <c r="D91" s="51"/>
      <c r="E91" s="36"/>
      <c r="F91" s="36"/>
      <c r="G91" s="36">
        <v>26095.37</v>
      </c>
      <c r="H91" s="98"/>
      <c r="I91" s="13">
        <f>G91*0.02</f>
        <v>521.90739999999994</v>
      </c>
    </row>
    <row r="92" spans="1:21" ht="30.75" customHeight="1">
      <c r="A92" s="30">
        <v>34</v>
      </c>
      <c r="B92" s="132" t="s">
        <v>215</v>
      </c>
      <c r="C92" s="40" t="s">
        <v>213</v>
      </c>
      <c r="D92" s="51"/>
      <c r="E92" s="36"/>
      <c r="F92" s="36"/>
      <c r="G92" s="36">
        <v>441.25</v>
      </c>
      <c r="H92" s="98"/>
      <c r="I92" s="13">
        <f>G92*1</f>
        <v>441.25</v>
      </c>
    </row>
    <row r="93" spans="1:21" ht="31.5" customHeight="1">
      <c r="A93" s="30">
        <v>35</v>
      </c>
      <c r="B93" s="106" t="s">
        <v>150</v>
      </c>
      <c r="C93" s="107" t="s">
        <v>37</v>
      </c>
      <c r="D93" s="51"/>
      <c r="E93" s="36"/>
      <c r="F93" s="36"/>
      <c r="G93" s="36">
        <v>3914.31</v>
      </c>
      <c r="H93" s="98"/>
      <c r="I93" s="13">
        <f>G93*0.01</f>
        <v>39.143099999999997</v>
      </c>
    </row>
    <row r="94" spans="1:21" ht="15.75" customHeight="1">
      <c r="A94" s="30"/>
      <c r="B94" s="45" t="s">
        <v>51</v>
      </c>
      <c r="C94" s="41"/>
      <c r="D94" s="53"/>
      <c r="E94" s="53"/>
      <c r="F94" s="41">
        <v>1</v>
      </c>
      <c r="G94" s="41"/>
      <c r="H94" s="41"/>
      <c r="I94" s="32">
        <f>SUM(I88:I93)</f>
        <v>8140.0905000000002</v>
      </c>
    </row>
    <row r="95" spans="1:21" ht="15.75" customHeight="1">
      <c r="A95" s="30"/>
      <c r="B95" s="51" t="s">
        <v>78</v>
      </c>
      <c r="C95" s="16"/>
      <c r="D95" s="16"/>
      <c r="E95" s="16"/>
      <c r="F95" s="42"/>
      <c r="G95" s="43"/>
      <c r="H95" s="43"/>
      <c r="I95" s="18">
        <v>0</v>
      </c>
    </row>
    <row r="96" spans="1:21" ht="15.75" customHeight="1">
      <c r="A96" s="54"/>
      <c r="B96" s="46" t="s">
        <v>139</v>
      </c>
      <c r="C96" s="34"/>
      <c r="D96" s="34"/>
      <c r="E96" s="34"/>
      <c r="F96" s="34"/>
      <c r="G96" s="34"/>
      <c r="H96" s="34"/>
      <c r="I96" s="44">
        <f>I86+I94</f>
        <v>142641.6972624</v>
      </c>
    </row>
    <row r="97" spans="1:9" ht="15.75" customHeight="1">
      <c r="A97" s="256" t="s">
        <v>253</v>
      </c>
      <c r="B97" s="256"/>
      <c r="C97" s="256"/>
      <c r="D97" s="256"/>
      <c r="E97" s="256"/>
      <c r="F97" s="256"/>
      <c r="G97" s="256"/>
      <c r="H97" s="256"/>
      <c r="I97" s="256"/>
    </row>
    <row r="98" spans="1:9" ht="15.75" customHeight="1">
      <c r="A98" s="66"/>
      <c r="B98" s="257" t="s">
        <v>254</v>
      </c>
      <c r="C98" s="257"/>
      <c r="D98" s="257"/>
      <c r="E98" s="257"/>
      <c r="F98" s="257"/>
      <c r="G98" s="257"/>
      <c r="H98" s="73"/>
      <c r="I98" s="3"/>
    </row>
    <row r="99" spans="1:9" ht="15.75" customHeight="1">
      <c r="A99" s="62"/>
      <c r="B99" s="258" t="s">
        <v>6</v>
      </c>
      <c r="C99" s="258"/>
      <c r="D99" s="258"/>
      <c r="E99" s="258"/>
      <c r="F99" s="258"/>
      <c r="G99" s="258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259" t="s">
        <v>7</v>
      </c>
      <c r="B101" s="259"/>
      <c r="C101" s="259"/>
      <c r="D101" s="259"/>
      <c r="E101" s="259"/>
      <c r="F101" s="259"/>
      <c r="G101" s="259"/>
      <c r="H101" s="259"/>
      <c r="I101" s="259"/>
    </row>
    <row r="102" spans="1:9" ht="15.75" customHeight="1">
      <c r="A102" s="259" t="s">
        <v>8</v>
      </c>
      <c r="B102" s="259"/>
      <c r="C102" s="259"/>
      <c r="D102" s="259"/>
      <c r="E102" s="259"/>
      <c r="F102" s="259"/>
      <c r="G102" s="259"/>
      <c r="H102" s="259"/>
      <c r="I102" s="259"/>
    </row>
    <row r="103" spans="1:9" ht="15.75" customHeight="1">
      <c r="A103" s="260" t="s">
        <v>60</v>
      </c>
      <c r="B103" s="260"/>
      <c r="C103" s="260"/>
      <c r="D103" s="260"/>
      <c r="E103" s="260"/>
      <c r="F103" s="260"/>
      <c r="G103" s="260"/>
      <c r="H103" s="260"/>
      <c r="I103" s="260"/>
    </row>
    <row r="104" spans="1:9" ht="15.75" customHeight="1">
      <c r="A104" s="11"/>
    </row>
    <row r="105" spans="1:9" ht="15.75" customHeight="1">
      <c r="A105" s="261" t="s">
        <v>9</v>
      </c>
      <c r="B105" s="261"/>
      <c r="C105" s="261"/>
      <c r="D105" s="261"/>
      <c r="E105" s="261"/>
      <c r="F105" s="261"/>
      <c r="G105" s="261"/>
      <c r="H105" s="261"/>
      <c r="I105" s="261"/>
    </row>
    <row r="106" spans="1:9" ht="15.75" customHeight="1">
      <c r="A106" s="4"/>
    </row>
    <row r="107" spans="1:9" ht="15.75" customHeight="1">
      <c r="B107" s="61" t="s">
        <v>10</v>
      </c>
      <c r="C107" s="262" t="s">
        <v>87</v>
      </c>
      <c r="D107" s="262"/>
      <c r="E107" s="262"/>
      <c r="F107" s="262"/>
      <c r="I107" s="64"/>
    </row>
    <row r="108" spans="1:9" ht="15.75" customHeight="1">
      <c r="A108" s="62"/>
      <c r="C108" s="258" t="s">
        <v>11</v>
      </c>
      <c r="D108" s="258"/>
      <c r="E108" s="258"/>
      <c r="F108" s="258"/>
      <c r="I108" s="63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61" t="s">
        <v>13</v>
      </c>
      <c r="C110" s="264"/>
      <c r="D110" s="264"/>
      <c r="E110" s="264"/>
      <c r="F110" s="264"/>
      <c r="I110" s="64"/>
    </row>
    <row r="111" spans="1:9" ht="15.75" customHeight="1">
      <c r="A111" s="62"/>
      <c r="C111" s="245" t="s">
        <v>11</v>
      </c>
      <c r="D111" s="245"/>
      <c r="E111" s="245"/>
      <c r="F111" s="245"/>
      <c r="I111" s="63" t="s">
        <v>12</v>
      </c>
    </row>
    <row r="112" spans="1:9" ht="15.75" customHeight="1">
      <c r="A112" s="4" t="s">
        <v>14</v>
      </c>
    </row>
    <row r="113" spans="1:9" ht="15.75" customHeight="1">
      <c r="A113" s="265" t="s">
        <v>15</v>
      </c>
      <c r="B113" s="265"/>
      <c r="C113" s="265"/>
      <c r="D113" s="265"/>
      <c r="E113" s="265"/>
      <c r="F113" s="265"/>
      <c r="G113" s="265"/>
      <c r="H113" s="265"/>
      <c r="I113" s="265"/>
    </row>
    <row r="114" spans="1:9" ht="45" customHeight="1">
      <c r="A114" s="263" t="s">
        <v>16</v>
      </c>
      <c r="B114" s="263"/>
      <c r="C114" s="263"/>
      <c r="D114" s="263"/>
      <c r="E114" s="263"/>
      <c r="F114" s="263"/>
      <c r="G114" s="263"/>
      <c r="H114" s="263"/>
      <c r="I114" s="263"/>
    </row>
    <row r="115" spans="1:9" ht="30" customHeight="1">
      <c r="A115" s="263" t="s">
        <v>17</v>
      </c>
      <c r="B115" s="263"/>
      <c r="C115" s="263"/>
      <c r="D115" s="263"/>
      <c r="E115" s="263"/>
      <c r="F115" s="263"/>
      <c r="G115" s="263"/>
      <c r="H115" s="263"/>
      <c r="I115" s="263"/>
    </row>
    <row r="116" spans="1:9" ht="30" customHeight="1">
      <c r="A116" s="263" t="s">
        <v>21</v>
      </c>
      <c r="B116" s="263"/>
      <c r="C116" s="263"/>
      <c r="D116" s="263"/>
      <c r="E116" s="263"/>
      <c r="F116" s="263"/>
      <c r="G116" s="263"/>
      <c r="H116" s="263"/>
      <c r="I116" s="263"/>
    </row>
    <row r="117" spans="1:9" ht="15" customHeight="1">
      <c r="A117" s="263" t="s">
        <v>20</v>
      </c>
      <c r="B117" s="263"/>
      <c r="C117" s="263"/>
      <c r="D117" s="263"/>
      <c r="E117" s="263"/>
      <c r="F117" s="263"/>
      <c r="G117" s="263"/>
      <c r="H117" s="263"/>
      <c r="I117" s="263"/>
    </row>
  </sheetData>
  <autoFilter ref="I12:I64"/>
  <mergeCells count="28">
    <mergeCell ref="A14:I14"/>
    <mergeCell ref="A15:I15"/>
    <mergeCell ref="A28:I28"/>
    <mergeCell ref="A44:I44"/>
    <mergeCell ref="A3:I3"/>
    <mergeCell ref="A4:I4"/>
    <mergeCell ref="A5:I5"/>
    <mergeCell ref="A8:I8"/>
    <mergeCell ref="A10:I10"/>
    <mergeCell ref="R69:U69"/>
    <mergeCell ref="C111:F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00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33"/>
  <sheetViews>
    <sheetView topLeftCell="A53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216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151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217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43646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5.75" hidden="1" customHeight="1">
      <c r="A19" s="30">
        <v>4</v>
      </c>
      <c r="B19" s="121" t="s">
        <v>101</v>
      </c>
      <c r="C19" s="122" t="s">
        <v>102</v>
      </c>
      <c r="D19" s="121" t="s">
        <v>103</v>
      </c>
      <c r="E19" s="146">
        <v>51.2</v>
      </c>
      <c r="F19" s="147">
        <f>SUM(E19/10)</f>
        <v>5.12</v>
      </c>
      <c r="G19" s="147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20.2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ref="H20:H21" si="2">SUM(F20*G20/1000)</f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2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9.5" hidden="1" customHeight="1">
      <c r="A22" s="30">
        <v>7</v>
      </c>
      <c r="B22" s="121" t="s">
        <v>104</v>
      </c>
      <c r="C22" s="122" t="s">
        <v>52</v>
      </c>
      <c r="D22" s="121" t="s">
        <v>103</v>
      </c>
      <c r="E22" s="146">
        <v>1025.5999999999999</v>
      </c>
      <c r="F22" s="147">
        <f>SUM(E22/100)</f>
        <v>10.255999999999998</v>
      </c>
      <c r="G22" s="147">
        <v>386</v>
      </c>
      <c r="H22" s="79">
        <f t="shared" si="1"/>
        <v>3.9588159999999992</v>
      </c>
      <c r="I22" s="13">
        <f t="shared" ref="I22:I26" si="3">F22*G22</f>
        <v>3958.8159999999993</v>
      </c>
      <c r="J22" s="23"/>
      <c r="K22" s="8"/>
      <c r="L22" s="8"/>
      <c r="M22" s="8"/>
    </row>
    <row r="23" spans="1:13" ht="21" hidden="1" customHeight="1">
      <c r="A23" s="30">
        <v>8</v>
      </c>
      <c r="B23" s="121" t="s">
        <v>105</v>
      </c>
      <c r="C23" s="122" t="s">
        <v>52</v>
      </c>
      <c r="D23" s="121" t="s">
        <v>103</v>
      </c>
      <c r="E23" s="148">
        <v>60.5</v>
      </c>
      <c r="F23" s="147">
        <f>SUM(E23/100)</f>
        <v>0.60499999999999998</v>
      </c>
      <c r="G23" s="147">
        <v>63.49</v>
      </c>
      <c r="H23" s="79">
        <f t="shared" si="1"/>
        <v>3.841145E-2</v>
      </c>
      <c r="I23" s="13">
        <f t="shared" si="3"/>
        <v>38.411450000000002</v>
      </c>
      <c r="J23" s="23"/>
      <c r="K23" s="8"/>
      <c r="L23" s="8"/>
      <c r="M23" s="8"/>
    </row>
    <row r="24" spans="1:13" ht="22.5" hidden="1" customHeight="1">
      <c r="A24" s="30">
        <v>9</v>
      </c>
      <c r="B24" s="121" t="s">
        <v>98</v>
      </c>
      <c r="C24" s="122" t="s">
        <v>52</v>
      </c>
      <c r="D24" s="121" t="s">
        <v>53</v>
      </c>
      <c r="E24" s="149">
        <v>19.149999999999999</v>
      </c>
      <c r="F24" s="147">
        <f>E24/100</f>
        <v>0.19149999999999998</v>
      </c>
      <c r="G24" s="147">
        <v>558.66999999999996</v>
      </c>
      <c r="H24" s="79">
        <f>G24*F24/100</f>
        <v>1.0698530499999999</v>
      </c>
      <c r="I24" s="13">
        <f t="shared" si="3"/>
        <v>106.98530499999998</v>
      </c>
      <c r="J24" s="23"/>
      <c r="K24" s="8"/>
      <c r="L24" s="8"/>
      <c r="M24" s="8"/>
    </row>
    <row r="25" spans="1:13" ht="21" hidden="1" customHeight="1">
      <c r="A25" s="30">
        <v>10</v>
      </c>
      <c r="B25" s="121" t="s">
        <v>128</v>
      </c>
      <c r="C25" s="122" t="s">
        <v>52</v>
      </c>
      <c r="D25" s="121" t="s">
        <v>53</v>
      </c>
      <c r="E25" s="150">
        <v>31.5</v>
      </c>
      <c r="F25" s="147">
        <f>E25/100</f>
        <v>0.315</v>
      </c>
      <c r="G25" s="147">
        <v>309.81</v>
      </c>
      <c r="H25" s="79">
        <f>G25*F25/1000</f>
        <v>9.7590150000000014E-2</v>
      </c>
      <c r="I25" s="13">
        <f t="shared" si="3"/>
        <v>97.590150000000008</v>
      </c>
      <c r="J25" s="23"/>
      <c r="K25" s="8"/>
      <c r="L25" s="8"/>
      <c r="M25" s="8"/>
    </row>
    <row r="26" spans="1:13" ht="12.75" hidden="1" customHeight="1">
      <c r="A26" s="30">
        <v>11</v>
      </c>
      <c r="B26" s="121" t="s">
        <v>99</v>
      </c>
      <c r="C26" s="122" t="s">
        <v>52</v>
      </c>
      <c r="D26" s="121" t="s">
        <v>53</v>
      </c>
      <c r="E26" s="146">
        <v>37.5</v>
      </c>
      <c r="F26" s="147">
        <f>SUM(E26/100)</f>
        <v>0.375</v>
      </c>
      <c r="G26" s="147">
        <v>746.6</v>
      </c>
      <c r="H26" s="79">
        <f t="shared" si="1"/>
        <v>0.27997500000000003</v>
      </c>
      <c r="I26" s="13">
        <f t="shared" si="3"/>
        <v>279.97500000000002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ref="H27" si="4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5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5"/>
        <v>10.949134715999998</v>
      </c>
      <c r="I31" s="13">
        <f t="shared" ref="I31:I33" si="6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1" t="s">
        <v>27</v>
      </c>
      <c r="C32" s="122" t="s">
        <v>107</v>
      </c>
      <c r="D32" s="121" t="s">
        <v>53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5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6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121" t="s">
        <v>63</v>
      </c>
      <c r="C34" s="122" t="s">
        <v>33</v>
      </c>
      <c r="D34" s="121" t="s">
        <v>62</v>
      </c>
      <c r="E34" s="151">
        <v>0.2</v>
      </c>
      <c r="F34" s="123">
        <f>SUM(E34*155)</f>
        <v>31</v>
      </c>
      <c r="G34" s="123">
        <v>289.5</v>
      </c>
      <c r="H34" s="79">
        <f t="shared" ref="H34:H35" si="7">SUM(F34*G34/1000)</f>
        <v>8.9745000000000008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7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8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8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8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8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8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8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8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3" t="s">
        <v>136</v>
      </c>
      <c r="B44" s="254"/>
      <c r="C44" s="254"/>
      <c r="D44" s="254"/>
      <c r="E44" s="254"/>
      <c r="F44" s="254"/>
      <c r="G44" s="254"/>
      <c r="H44" s="254"/>
      <c r="I44" s="25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9">SUM(F45*G45/1000)</f>
        <v>2.6696072740000001</v>
      </c>
      <c r="I45" s="13">
        <f t="shared" ref="I45:I47" si="10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9"/>
        <v>0.10755148799999999</v>
      </c>
      <c r="I46" s="13">
        <f t="shared" si="10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9"/>
        <v>5.4908047920000005</v>
      </c>
      <c r="I47" s="13">
        <f t="shared" si="10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9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9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9"/>
        <v>3.8137022300000001</v>
      </c>
      <c r="I50" s="13">
        <f t="shared" ref="I50:I51" si="11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9"/>
        <v>2.1843919999999999</v>
      </c>
      <c r="I51" s="13">
        <f t="shared" si="11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9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customHeight="1">
      <c r="A53" s="40">
        <v>10</v>
      </c>
      <c r="B53" s="121" t="s">
        <v>40</v>
      </c>
      <c r="C53" s="122" t="s">
        <v>116</v>
      </c>
      <c r="D53" s="222">
        <v>43619</v>
      </c>
      <c r="E53" s="140">
        <v>238</v>
      </c>
      <c r="F53" s="123">
        <f>SUM(E53)*3</f>
        <v>714</v>
      </c>
      <c r="G53" s="109">
        <v>94.16</v>
      </c>
      <c r="H53" s="79">
        <f t="shared" si="9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39" t="s">
        <v>137</v>
      </c>
      <c r="B54" s="240"/>
      <c r="C54" s="240"/>
      <c r="D54" s="240"/>
      <c r="E54" s="240"/>
      <c r="F54" s="240"/>
      <c r="G54" s="240"/>
      <c r="H54" s="240"/>
      <c r="I54" s="241"/>
      <c r="J54" s="24"/>
      <c r="L54" s="20"/>
      <c r="M54" s="21"/>
      <c r="N54" s="22"/>
    </row>
    <row r="55" spans="1:14" ht="15.75" hidden="1" customHeight="1">
      <c r="A55" s="219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23.2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6.5" hidden="1" customHeight="1">
      <c r="A58" s="145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3">
        <v>180.78</v>
      </c>
      <c r="H58" s="90">
        <f>F58*G58/1000</f>
        <v>2.8924799999999999</v>
      </c>
      <c r="I58" s="117">
        <f>F58/2*G58</f>
        <v>1446.24</v>
      </c>
      <c r="J58" s="24"/>
      <c r="L58" s="20"/>
      <c r="M58" s="21"/>
      <c r="N58" s="22"/>
    </row>
    <row r="59" spans="1:14" ht="29.25" customHeight="1">
      <c r="A59" s="40">
        <v>11</v>
      </c>
      <c r="B59" s="111" t="s">
        <v>180</v>
      </c>
      <c r="C59" s="112" t="s">
        <v>181</v>
      </c>
      <c r="D59" s="111" t="s">
        <v>255</v>
      </c>
      <c r="E59" s="113"/>
      <c r="F59" s="116">
        <v>8</v>
      </c>
      <c r="G59" s="36">
        <v>1730</v>
      </c>
      <c r="H59" s="13"/>
      <c r="I59" s="13">
        <f>G59*2</f>
        <v>3460</v>
      </c>
      <c r="J59" s="24"/>
      <c r="L59" s="20"/>
      <c r="M59" s="21"/>
      <c r="N59" s="22"/>
    </row>
    <row r="60" spans="1:14" ht="15.75" customHeight="1">
      <c r="A60" s="40"/>
      <c r="B60" s="218" t="s">
        <v>43</v>
      </c>
      <c r="C60" s="218"/>
      <c r="D60" s="218"/>
      <c r="E60" s="218"/>
      <c r="F60" s="218"/>
      <c r="G60" s="218"/>
      <c r="H60" s="218"/>
      <c r="I60" s="35"/>
      <c r="J60" s="24"/>
      <c r="L60" s="20"/>
      <c r="M60" s="21"/>
      <c r="N60" s="22"/>
    </row>
    <row r="61" spans="1:14" ht="15.75" customHeight="1">
      <c r="A61" s="40">
        <v>12</v>
      </c>
      <c r="B61" s="86" t="s">
        <v>93</v>
      </c>
      <c r="C61" s="87" t="s">
        <v>25</v>
      </c>
      <c r="D61" s="86" t="s">
        <v>234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40"/>
      <c r="B63" s="218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hidden="1" customHeight="1">
      <c r="A64" s="40">
        <v>12</v>
      </c>
      <c r="B64" s="15" t="s">
        <v>46</v>
      </c>
      <c r="C64" s="17" t="s">
        <v>116</v>
      </c>
      <c r="D64" s="15" t="s">
        <v>66</v>
      </c>
      <c r="E64" s="19">
        <v>35</v>
      </c>
      <c r="F64" s="78">
        <v>35</v>
      </c>
      <c r="G64" s="13">
        <v>222.4</v>
      </c>
      <c r="H64" s="94">
        <f t="shared" ref="H64:H71" si="12">SUM(F64*G64/1000)</f>
        <v>7.7839999999999998</v>
      </c>
      <c r="I64" s="13">
        <f>G64*6</f>
        <v>1334.4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2"/>
        <v>1.5249999999999999</v>
      </c>
      <c r="I65" s="13">
        <v>0</v>
      </c>
    </row>
    <row r="66" spans="1:22" ht="15.7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2"/>
        <v>48.0286385</v>
      </c>
      <c r="I66" s="13">
        <f>F66*G66</f>
        <v>48028.638500000001</v>
      </c>
    </row>
    <row r="67" spans="1:22" ht="15.7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2"/>
        <v>3.7401891900000002</v>
      </c>
      <c r="I67" s="13">
        <f t="shared" ref="I67:I70" si="13">F67*G67</f>
        <v>3740.1891900000001</v>
      </c>
    </row>
    <row r="68" spans="1:22" ht="15.7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2"/>
        <v>65.247113499999998</v>
      </c>
      <c r="I68" s="13">
        <f t="shared" si="13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2"/>
        <v>0.86534760000000011</v>
      </c>
      <c r="I69" s="13">
        <f t="shared" si="13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2"/>
        <v>0.80734680000000014</v>
      </c>
      <c r="I70" s="13">
        <f t="shared" si="13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4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12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5"/>
      <c r="S71" s="245"/>
      <c r="T71" s="245"/>
      <c r="U71" s="245"/>
    </row>
    <row r="72" spans="1:22" ht="24" customHeight="1">
      <c r="A72" s="30"/>
      <c r="B72" s="157" t="s">
        <v>183</v>
      </c>
      <c r="C72" s="38"/>
      <c r="D72" s="37"/>
      <c r="E72" s="18"/>
      <c r="F72" s="158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17"/>
      <c r="S72" s="217"/>
      <c r="T72" s="217"/>
      <c r="U72" s="217"/>
    </row>
    <row r="73" spans="1:22" ht="29.25" customHeight="1">
      <c r="A73" s="30">
        <v>13</v>
      </c>
      <c r="B73" s="37" t="s">
        <v>184</v>
      </c>
      <c r="C73" s="40" t="s">
        <v>185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17"/>
      <c r="S73" s="217"/>
      <c r="T73" s="217"/>
      <c r="U73" s="217"/>
    </row>
    <row r="74" spans="1:22" ht="20.2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2.5" hidden="1" customHeight="1">
      <c r="A75" s="30">
        <v>13</v>
      </c>
      <c r="B75" s="15" t="s">
        <v>73</v>
      </c>
      <c r="C75" s="17" t="s">
        <v>31</v>
      </c>
      <c r="D75" s="15"/>
      <c r="E75" s="19">
        <v>5</v>
      </c>
      <c r="F75" s="96">
        <v>0.5</v>
      </c>
      <c r="G75" s="13">
        <v>501.62</v>
      </c>
      <c r="H75" s="94">
        <f>F75*G75/1000</f>
        <v>0.25080999999999998</v>
      </c>
      <c r="I75" s="13">
        <f>G75*0.1</f>
        <v>50.162000000000006</v>
      </c>
    </row>
    <row r="76" spans="1:22" ht="21" hidden="1" customHeight="1">
      <c r="A76" s="30"/>
      <c r="B76" s="15" t="s">
        <v>124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v>0</v>
      </c>
    </row>
    <row r="77" spans="1:22" ht="22.5" hidden="1" customHeight="1">
      <c r="A77" s="30"/>
      <c r="B77" s="15" t="s">
        <v>123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25.5" hidden="1" customHeight="1">
      <c r="A78" s="30"/>
      <c r="B78" s="15" t="s">
        <v>85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4">SUM(F78*G78/1000)</f>
        <v>0.71701999999999999</v>
      </c>
      <c r="I78" s="13">
        <v>0</v>
      </c>
    </row>
    <row r="79" spans="1:22" ht="26.25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19.5" customHeight="1">
      <c r="A80" s="30">
        <v>14</v>
      </c>
      <c r="B80" s="106" t="s">
        <v>186</v>
      </c>
      <c r="C80" s="107" t="s">
        <v>116</v>
      </c>
      <c r="D80" s="37" t="s">
        <v>234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18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0.25" hidden="1" customHeight="1">
      <c r="A82" s="30">
        <v>39</v>
      </c>
      <c r="B82" s="51" t="s">
        <v>125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5">SUM(F82*G82/1000)</f>
        <v>3.725244</v>
      </c>
      <c r="I82" s="13">
        <v>0</v>
      </c>
    </row>
    <row r="83" spans="1:21" ht="21" hidden="1" customHeight="1">
      <c r="A83" s="219"/>
      <c r="B83" s="218" t="s">
        <v>121</v>
      </c>
      <c r="C83" s="218"/>
      <c r="D83" s="218"/>
      <c r="E83" s="218"/>
      <c r="F83" s="218"/>
      <c r="G83" s="218"/>
      <c r="H83" s="218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" hidden="1" customHeight="1">
      <c r="A84" s="30">
        <v>36</v>
      </c>
      <c r="B84" s="75" t="s">
        <v>122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v>0</v>
      </c>
    </row>
    <row r="85" spans="1:21" ht="15.75" customHeight="1">
      <c r="A85" s="239" t="s">
        <v>138</v>
      </c>
      <c r="B85" s="240"/>
      <c r="C85" s="240"/>
      <c r="D85" s="240"/>
      <c r="E85" s="240"/>
      <c r="F85" s="240"/>
      <c r="G85" s="240"/>
      <c r="H85" s="240"/>
      <c r="I85" s="241"/>
    </row>
    <row r="86" spans="1:21" ht="15.75" customHeight="1">
      <c r="A86" s="30">
        <v>15</v>
      </c>
      <c r="B86" s="37" t="s">
        <v>126</v>
      </c>
      <c r="C86" s="38" t="s">
        <v>54</v>
      </c>
      <c r="D86" s="167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16</v>
      </c>
      <c r="B87" s="37" t="s">
        <v>77</v>
      </c>
      <c r="C87" s="38"/>
      <c r="D87" s="170"/>
      <c r="E87" s="171">
        <f>E86</f>
        <v>5836.1</v>
      </c>
      <c r="F87" s="172">
        <f>E87*12</f>
        <v>70033.200000000012</v>
      </c>
      <c r="G87" s="172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219"/>
      <c r="B88" s="39" t="s">
        <v>79</v>
      </c>
      <c r="C88" s="40"/>
      <c r="D88" s="16"/>
      <c r="E88" s="16"/>
      <c r="F88" s="16"/>
      <c r="G88" s="19"/>
      <c r="H88" s="19"/>
      <c r="I88" s="32">
        <f>I87+I86+I80+I73+I61+I59+I53+I33+I31+I30+I27+I21+I20+I18+I17+I16</f>
        <v>120321.45361000001</v>
      </c>
    </row>
    <row r="89" spans="1:21" ht="15.75" customHeight="1">
      <c r="A89" s="242" t="s">
        <v>59</v>
      </c>
      <c r="B89" s="243"/>
      <c r="C89" s="243"/>
      <c r="D89" s="243"/>
      <c r="E89" s="243"/>
      <c r="F89" s="243"/>
      <c r="G89" s="243"/>
      <c r="H89" s="243"/>
      <c r="I89" s="244"/>
    </row>
    <row r="90" spans="1:21" ht="18" customHeight="1">
      <c r="A90" s="30">
        <v>17</v>
      </c>
      <c r="B90" s="108" t="s">
        <v>188</v>
      </c>
      <c r="C90" s="38" t="s">
        <v>169</v>
      </c>
      <c r="D90" s="51"/>
      <c r="E90" s="36"/>
      <c r="F90" s="36">
        <f>(3+3+30+25+15+20+20+3+15+15+20+10+3)/3</f>
        <v>60.666666666666664</v>
      </c>
      <c r="G90" s="36">
        <v>273</v>
      </c>
      <c r="H90" s="98">
        <f t="shared" ref="H90:H91" si="16">G90*F90/1000</f>
        <v>16.562000000000001</v>
      </c>
      <c r="I90" s="13">
        <f>G90*18</f>
        <v>4914</v>
      </c>
    </row>
    <row r="91" spans="1:21" ht="16.5" customHeight="1">
      <c r="A91" s="30">
        <v>18</v>
      </c>
      <c r="B91" s="106" t="s">
        <v>189</v>
      </c>
      <c r="C91" s="107" t="s">
        <v>190</v>
      </c>
      <c r="D91" s="51"/>
      <c r="E91" s="13"/>
      <c r="F91" s="13">
        <f>60/10</f>
        <v>6</v>
      </c>
      <c r="G91" s="36">
        <v>725.1</v>
      </c>
      <c r="H91" s="94">
        <f t="shared" si="16"/>
        <v>4.3506</v>
      </c>
      <c r="I91" s="13">
        <f>G91*1</f>
        <v>725.1</v>
      </c>
    </row>
    <row r="92" spans="1:21" ht="15.75" customHeight="1">
      <c r="A92" s="30">
        <v>19</v>
      </c>
      <c r="B92" s="106" t="s">
        <v>218</v>
      </c>
      <c r="C92" s="107" t="s">
        <v>211</v>
      </c>
      <c r="D92" s="51"/>
      <c r="E92" s="13"/>
      <c r="F92" s="13">
        <v>14</v>
      </c>
      <c r="G92" s="36">
        <v>3319.93</v>
      </c>
      <c r="H92" s="94" t="e">
        <f>#REF!*#REF!/1000</f>
        <v>#REF!</v>
      </c>
      <c r="I92" s="13">
        <f>G92*1</f>
        <v>3319.93</v>
      </c>
    </row>
    <row r="93" spans="1:21" ht="17.25" customHeight="1">
      <c r="A93" s="30">
        <v>20</v>
      </c>
      <c r="B93" s="106" t="s">
        <v>219</v>
      </c>
      <c r="C93" s="107" t="s">
        <v>116</v>
      </c>
      <c r="D93" s="51"/>
      <c r="E93" s="13"/>
      <c r="F93" s="13">
        <v>8</v>
      </c>
      <c r="G93" s="36">
        <v>890</v>
      </c>
      <c r="H93" s="94">
        <f>G92*F92/1000</f>
        <v>46.479019999999998</v>
      </c>
      <c r="I93" s="13">
        <f>G93*1</f>
        <v>890</v>
      </c>
    </row>
    <row r="94" spans="1:21" ht="16.5" customHeight="1">
      <c r="A94" s="30">
        <v>21</v>
      </c>
      <c r="B94" s="106" t="s">
        <v>220</v>
      </c>
      <c r="C94" s="107" t="s">
        <v>116</v>
      </c>
      <c r="D94" s="51"/>
      <c r="E94" s="13"/>
      <c r="F94" s="13">
        <v>0.03</v>
      </c>
      <c r="G94" s="36">
        <v>837</v>
      </c>
      <c r="H94" s="94">
        <f>G94*F94/1000</f>
        <v>2.511E-2</v>
      </c>
      <c r="I94" s="13">
        <f>G94*2</f>
        <v>1674</v>
      </c>
    </row>
    <row r="95" spans="1:21" ht="17.25" customHeight="1">
      <c r="A95" s="30">
        <v>22</v>
      </c>
      <c r="B95" s="106" t="s">
        <v>221</v>
      </c>
      <c r="C95" s="107" t="s">
        <v>116</v>
      </c>
      <c r="D95" s="51"/>
      <c r="E95" s="13"/>
      <c r="F95" s="13">
        <v>4</v>
      </c>
      <c r="G95" s="36">
        <v>1100</v>
      </c>
      <c r="H95" s="94">
        <f t="shared" ref="H95:H96" si="17">G95*F95/1000</f>
        <v>4.4000000000000004</v>
      </c>
      <c r="I95" s="13">
        <f>G95*1</f>
        <v>1100</v>
      </c>
    </row>
    <row r="96" spans="1:21" ht="32.25" customHeight="1">
      <c r="A96" s="30">
        <v>23</v>
      </c>
      <c r="B96" s="106" t="s">
        <v>204</v>
      </c>
      <c r="C96" s="107" t="s">
        <v>116</v>
      </c>
      <c r="D96" s="51"/>
      <c r="E96" s="13"/>
      <c r="F96" s="13">
        <f>10/10</f>
        <v>1</v>
      </c>
      <c r="G96" s="36">
        <v>735.42</v>
      </c>
      <c r="H96" s="94">
        <f t="shared" si="17"/>
        <v>0.73541999999999996</v>
      </c>
      <c r="I96" s="13">
        <f>G96*4</f>
        <v>2941.68</v>
      </c>
    </row>
    <row r="97" spans="1:9" ht="19.5" customHeight="1">
      <c r="A97" s="30">
        <v>24</v>
      </c>
      <c r="B97" s="106" t="s">
        <v>205</v>
      </c>
      <c r="C97" s="107" t="s">
        <v>116</v>
      </c>
      <c r="D97" s="51"/>
      <c r="E97" s="13"/>
      <c r="F97" s="13"/>
      <c r="G97" s="36">
        <v>86</v>
      </c>
      <c r="H97" s="94"/>
      <c r="I97" s="13">
        <f>G97*2</f>
        <v>172</v>
      </c>
    </row>
    <row r="98" spans="1:9" ht="19.5" customHeight="1">
      <c r="A98" s="30">
        <v>25</v>
      </c>
      <c r="B98" s="106" t="s">
        <v>207</v>
      </c>
      <c r="C98" s="107" t="s">
        <v>116</v>
      </c>
      <c r="D98" s="51"/>
      <c r="E98" s="13"/>
      <c r="F98" s="13"/>
      <c r="G98" s="36">
        <v>39</v>
      </c>
      <c r="H98" s="94"/>
      <c r="I98" s="13">
        <f>G98*2</f>
        <v>78</v>
      </c>
    </row>
    <row r="99" spans="1:9" ht="19.5" customHeight="1">
      <c r="A99" s="30">
        <v>26</v>
      </c>
      <c r="B99" s="106" t="s">
        <v>222</v>
      </c>
      <c r="C99" s="107" t="s">
        <v>116</v>
      </c>
      <c r="D99" s="51"/>
      <c r="E99" s="13"/>
      <c r="F99" s="13"/>
      <c r="G99" s="36">
        <v>43</v>
      </c>
      <c r="H99" s="94"/>
      <c r="I99" s="13">
        <f>G99*3</f>
        <v>129</v>
      </c>
    </row>
    <row r="100" spans="1:9" ht="19.5" customHeight="1">
      <c r="A100" s="30">
        <v>27</v>
      </c>
      <c r="B100" s="106" t="s">
        <v>223</v>
      </c>
      <c r="C100" s="107" t="s">
        <v>116</v>
      </c>
      <c r="D100" s="51"/>
      <c r="E100" s="13"/>
      <c r="F100" s="13"/>
      <c r="G100" s="36">
        <v>21</v>
      </c>
      <c r="H100" s="94"/>
      <c r="I100" s="13">
        <f>G100*6</f>
        <v>126</v>
      </c>
    </row>
    <row r="101" spans="1:9" ht="19.5" customHeight="1">
      <c r="A101" s="30">
        <v>28</v>
      </c>
      <c r="B101" s="110" t="s">
        <v>165</v>
      </c>
      <c r="C101" s="107" t="s">
        <v>116</v>
      </c>
      <c r="D101" s="51"/>
      <c r="E101" s="13"/>
      <c r="F101" s="13"/>
      <c r="G101" s="36">
        <v>207.32</v>
      </c>
      <c r="H101" s="94"/>
      <c r="I101" s="13">
        <f>G101*2</f>
        <v>414.64</v>
      </c>
    </row>
    <row r="102" spans="1:9" ht="30" customHeight="1">
      <c r="A102" s="30">
        <v>29</v>
      </c>
      <c r="B102" s="106" t="s">
        <v>224</v>
      </c>
      <c r="C102" s="107" t="s">
        <v>116</v>
      </c>
      <c r="D102" s="51"/>
      <c r="E102" s="13"/>
      <c r="F102" s="13"/>
      <c r="G102" s="36">
        <v>211.63</v>
      </c>
      <c r="H102" s="94"/>
      <c r="I102" s="13">
        <f>G102*1</f>
        <v>211.63</v>
      </c>
    </row>
    <row r="103" spans="1:9" ht="19.5" customHeight="1">
      <c r="A103" s="30">
        <v>30</v>
      </c>
      <c r="B103" s="106" t="s">
        <v>209</v>
      </c>
      <c r="C103" s="107" t="s">
        <v>158</v>
      </c>
      <c r="D103" s="51"/>
      <c r="E103" s="13"/>
      <c r="F103" s="13"/>
      <c r="G103" s="36">
        <v>214.07</v>
      </c>
      <c r="H103" s="94"/>
      <c r="I103" s="13">
        <f>G103*1</f>
        <v>214.07</v>
      </c>
    </row>
    <row r="104" spans="1:9" ht="28.5" customHeight="1">
      <c r="A104" s="30">
        <v>31</v>
      </c>
      <c r="B104" s="106" t="s">
        <v>225</v>
      </c>
      <c r="C104" s="107" t="s">
        <v>169</v>
      </c>
      <c r="D104" s="51"/>
      <c r="E104" s="13"/>
      <c r="F104" s="13"/>
      <c r="G104" s="36">
        <v>1465</v>
      </c>
      <c r="H104" s="94"/>
      <c r="I104" s="13">
        <f>G104*0.5</f>
        <v>732.5</v>
      </c>
    </row>
    <row r="105" spans="1:9" ht="19.5" customHeight="1">
      <c r="A105" s="30">
        <v>32</v>
      </c>
      <c r="B105" s="106" t="s">
        <v>226</v>
      </c>
      <c r="C105" s="107" t="s">
        <v>116</v>
      </c>
      <c r="D105" s="51"/>
      <c r="E105" s="13"/>
      <c r="F105" s="13"/>
      <c r="G105" s="36">
        <v>176</v>
      </c>
      <c r="H105" s="94"/>
      <c r="I105" s="13">
        <f>G105*1</f>
        <v>176</v>
      </c>
    </row>
    <row r="106" spans="1:9" ht="19.5" customHeight="1">
      <c r="A106" s="30">
        <v>33</v>
      </c>
      <c r="B106" s="106" t="s">
        <v>172</v>
      </c>
      <c r="C106" s="107" t="s">
        <v>173</v>
      </c>
      <c r="D106" s="51"/>
      <c r="E106" s="13"/>
      <c r="F106" s="13"/>
      <c r="G106" s="36">
        <v>26095.37</v>
      </c>
      <c r="H106" s="94"/>
      <c r="I106" s="13">
        <f>G106*0.01</f>
        <v>260.95369999999997</v>
      </c>
    </row>
    <row r="107" spans="1:9" ht="19.5" customHeight="1">
      <c r="A107" s="30">
        <v>34</v>
      </c>
      <c r="B107" s="110" t="s">
        <v>227</v>
      </c>
      <c r="C107" s="221" t="s">
        <v>228</v>
      </c>
      <c r="D107" s="51"/>
      <c r="E107" s="13"/>
      <c r="F107" s="13"/>
      <c r="G107" s="36">
        <v>14535.9</v>
      </c>
      <c r="H107" s="94"/>
      <c r="I107" s="13">
        <f>G107*0.3</f>
        <v>4360.7699999999995</v>
      </c>
    </row>
    <row r="108" spans="1:9" ht="19.5" customHeight="1">
      <c r="A108" s="30">
        <v>35</v>
      </c>
      <c r="B108" s="110" t="s">
        <v>229</v>
      </c>
      <c r="C108" s="221" t="s">
        <v>116</v>
      </c>
      <c r="D108" s="51"/>
      <c r="E108" s="13"/>
      <c r="F108" s="13"/>
      <c r="G108" s="36">
        <v>95</v>
      </c>
      <c r="H108" s="94"/>
      <c r="I108" s="13">
        <f>G108*6</f>
        <v>570</v>
      </c>
    </row>
    <row r="109" spans="1:9" ht="19.5" customHeight="1">
      <c r="A109" s="30">
        <v>36</v>
      </c>
      <c r="B109" s="110" t="s">
        <v>230</v>
      </c>
      <c r="C109" s="221" t="s">
        <v>176</v>
      </c>
      <c r="D109" s="51"/>
      <c r="E109" s="13"/>
      <c r="F109" s="13"/>
      <c r="G109" s="36">
        <v>1184.0999999999999</v>
      </c>
      <c r="H109" s="94"/>
      <c r="I109" s="13">
        <f>G109*1</f>
        <v>1184.0999999999999</v>
      </c>
    </row>
    <row r="110" spans="1:9" ht="15.75" customHeight="1">
      <c r="A110" s="30"/>
      <c r="B110" s="45" t="s">
        <v>51</v>
      </c>
      <c r="C110" s="41"/>
      <c r="D110" s="53"/>
      <c r="E110" s="53"/>
      <c r="F110" s="41">
        <v>1</v>
      </c>
      <c r="G110" s="41"/>
      <c r="H110" s="41"/>
      <c r="I110" s="32">
        <f>SUM(I90:I109)</f>
        <v>24194.3737</v>
      </c>
    </row>
    <row r="111" spans="1:9" ht="15.75" customHeight="1">
      <c r="A111" s="30"/>
      <c r="B111" s="51" t="s">
        <v>78</v>
      </c>
      <c r="C111" s="16"/>
      <c r="D111" s="16"/>
      <c r="E111" s="16"/>
      <c r="F111" s="42"/>
      <c r="G111" s="43"/>
      <c r="H111" s="43"/>
      <c r="I111" s="18">
        <v>0</v>
      </c>
    </row>
    <row r="112" spans="1:9" ht="15.75" customHeight="1">
      <c r="A112" s="54"/>
      <c r="B112" s="46" t="s">
        <v>139</v>
      </c>
      <c r="C112" s="34"/>
      <c r="D112" s="34"/>
      <c r="E112" s="34"/>
      <c r="F112" s="34"/>
      <c r="G112" s="34"/>
      <c r="H112" s="34"/>
      <c r="I112" s="44">
        <f>I88+I110</f>
        <v>144515.82731000002</v>
      </c>
    </row>
    <row r="113" spans="1:9" ht="15.75" customHeight="1">
      <c r="A113" s="256" t="s">
        <v>256</v>
      </c>
      <c r="B113" s="256"/>
      <c r="C113" s="256"/>
      <c r="D113" s="256"/>
      <c r="E113" s="256"/>
      <c r="F113" s="256"/>
      <c r="G113" s="256"/>
      <c r="H113" s="256"/>
      <c r="I113" s="256"/>
    </row>
    <row r="114" spans="1:9" ht="15.75" customHeight="1">
      <c r="A114" s="66"/>
      <c r="B114" s="257" t="s">
        <v>257</v>
      </c>
      <c r="C114" s="257"/>
      <c r="D114" s="257"/>
      <c r="E114" s="257"/>
      <c r="F114" s="257"/>
      <c r="G114" s="257"/>
      <c r="H114" s="73"/>
      <c r="I114" s="3"/>
    </row>
    <row r="115" spans="1:9" ht="15.75" customHeight="1">
      <c r="A115" s="62"/>
      <c r="B115" s="258" t="s">
        <v>6</v>
      </c>
      <c r="C115" s="258"/>
      <c r="D115" s="258"/>
      <c r="E115" s="258"/>
      <c r="F115" s="258"/>
      <c r="G115" s="258"/>
      <c r="H115" s="25"/>
      <c r="I115" s="5"/>
    </row>
    <row r="116" spans="1:9" ht="15.75" customHeight="1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 customHeight="1">
      <c r="A117" s="259" t="s">
        <v>7</v>
      </c>
      <c r="B117" s="259"/>
      <c r="C117" s="259"/>
      <c r="D117" s="259"/>
      <c r="E117" s="259"/>
      <c r="F117" s="259"/>
      <c r="G117" s="259"/>
      <c r="H117" s="259"/>
      <c r="I117" s="259"/>
    </row>
    <row r="118" spans="1:9" ht="15.75" customHeight="1">
      <c r="A118" s="259" t="s">
        <v>8</v>
      </c>
      <c r="B118" s="259"/>
      <c r="C118" s="259"/>
      <c r="D118" s="259"/>
      <c r="E118" s="259"/>
      <c r="F118" s="259"/>
      <c r="G118" s="259"/>
      <c r="H118" s="259"/>
      <c r="I118" s="259"/>
    </row>
    <row r="119" spans="1:9" ht="15.75" customHeight="1">
      <c r="A119" s="260" t="s">
        <v>60</v>
      </c>
      <c r="B119" s="260"/>
      <c r="C119" s="260"/>
      <c r="D119" s="260"/>
      <c r="E119" s="260"/>
      <c r="F119" s="260"/>
      <c r="G119" s="260"/>
      <c r="H119" s="260"/>
      <c r="I119" s="260"/>
    </row>
    <row r="120" spans="1:9" ht="15.75" customHeight="1">
      <c r="A120" s="11"/>
    </row>
    <row r="121" spans="1:9" ht="15.75" customHeight="1">
      <c r="A121" s="261" t="s">
        <v>9</v>
      </c>
      <c r="B121" s="261"/>
      <c r="C121" s="261"/>
      <c r="D121" s="261"/>
      <c r="E121" s="261"/>
      <c r="F121" s="261"/>
      <c r="G121" s="261"/>
      <c r="H121" s="261"/>
      <c r="I121" s="261"/>
    </row>
    <row r="122" spans="1:9" ht="15.75" customHeight="1">
      <c r="A122" s="4"/>
    </row>
    <row r="123" spans="1:9" ht="15.75" customHeight="1">
      <c r="B123" s="61" t="s">
        <v>10</v>
      </c>
      <c r="C123" s="262" t="s">
        <v>87</v>
      </c>
      <c r="D123" s="262"/>
      <c r="E123" s="262"/>
      <c r="F123" s="262"/>
      <c r="I123" s="64"/>
    </row>
    <row r="124" spans="1:9" ht="15.75" customHeight="1">
      <c r="A124" s="62"/>
      <c r="C124" s="258" t="s">
        <v>11</v>
      </c>
      <c r="D124" s="258"/>
      <c r="E124" s="258"/>
      <c r="F124" s="258"/>
      <c r="I124" s="63" t="s">
        <v>12</v>
      </c>
    </row>
    <row r="125" spans="1:9" ht="15.75" customHeight="1">
      <c r="A125" s="26"/>
      <c r="C125" s="12"/>
      <c r="D125" s="12"/>
      <c r="E125" s="12"/>
      <c r="G125" s="12"/>
      <c r="H125" s="12"/>
    </row>
    <row r="126" spans="1:9" ht="15.75" customHeight="1">
      <c r="B126" s="61" t="s">
        <v>13</v>
      </c>
      <c r="C126" s="264"/>
      <c r="D126" s="264"/>
      <c r="E126" s="264"/>
      <c r="F126" s="264"/>
      <c r="I126" s="64"/>
    </row>
    <row r="127" spans="1:9" ht="15.75" customHeight="1">
      <c r="A127" s="62"/>
      <c r="C127" s="245" t="s">
        <v>11</v>
      </c>
      <c r="D127" s="245"/>
      <c r="E127" s="245"/>
      <c r="F127" s="245"/>
      <c r="I127" s="63" t="s">
        <v>12</v>
      </c>
    </row>
    <row r="128" spans="1:9" ht="15.75" customHeight="1">
      <c r="A128" s="4" t="s">
        <v>14</v>
      </c>
    </row>
    <row r="129" spans="1:9" ht="15.75" customHeight="1">
      <c r="A129" s="265" t="s">
        <v>15</v>
      </c>
      <c r="B129" s="265"/>
      <c r="C129" s="265"/>
      <c r="D129" s="265"/>
      <c r="E129" s="265"/>
      <c r="F129" s="265"/>
      <c r="G129" s="265"/>
      <c r="H129" s="265"/>
      <c r="I129" s="265"/>
    </row>
    <row r="130" spans="1:9" ht="45" customHeight="1">
      <c r="A130" s="263" t="s">
        <v>16</v>
      </c>
      <c r="B130" s="263"/>
      <c r="C130" s="263"/>
      <c r="D130" s="263"/>
      <c r="E130" s="263"/>
      <c r="F130" s="263"/>
      <c r="G130" s="263"/>
      <c r="H130" s="263"/>
      <c r="I130" s="263"/>
    </row>
    <row r="131" spans="1:9" ht="30" customHeight="1">
      <c r="A131" s="263" t="s">
        <v>17</v>
      </c>
      <c r="B131" s="263"/>
      <c r="C131" s="263"/>
      <c r="D131" s="263"/>
      <c r="E131" s="263"/>
      <c r="F131" s="263"/>
      <c r="G131" s="263"/>
      <c r="H131" s="263"/>
      <c r="I131" s="263"/>
    </row>
    <row r="132" spans="1:9" ht="30" customHeight="1">
      <c r="A132" s="263" t="s">
        <v>21</v>
      </c>
      <c r="B132" s="263"/>
      <c r="C132" s="263"/>
      <c r="D132" s="263"/>
      <c r="E132" s="263"/>
      <c r="F132" s="263"/>
      <c r="G132" s="263"/>
      <c r="H132" s="263"/>
      <c r="I132" s="263"/>
    </row>
    <row r="133" spans="1:9" ht="15" customHeight="1">
      <c r="A133" s="263" t="s">
        <v>20</v>
      </c>
      <c r="B133" s="263"/>
      <c r="C133" s="263"/>
      <c r="D133" s="263"/>
      <c r="E133" s="263"/>
      <c r="F133" s="263"/>
      <c r="G133" s="263"/>
      <c r="H133" s="263"/>
      <c r="I133" s="263"/>
    </row>
  </sheetData>
  <autoFilter ref="I12:I66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1:U71"/>
    <mergeCell ref="C127:F127"/>
    <mergeCell ref="A89:I89"/>
    <mergeCell ref="A113:I113"/>
    <mergeCell ref="B114:G114"/>
    <mergeCell ref="B115:G115"/>
    <mergeCell ref="A117:I117"/>
    <mergeCell ref="A118:I118"/>
    <mergeCell ref="A119:I119"/>
    <mergeCell ref="A121:I121"/>
    <mergeCell ref="C123:F123"/>
    <mergeCell ref="C124:F124"/>
    <mergeCell ref="C126:F126"/>
    <mergeCell ref="A85:I85"/>
    <mergeCell ref="A129:I129"/>
    <mergeCell ref="A130:I130"/>
    <mergeCell ref="A131:I131"/>
    <mergeCell ref="A132:I132"/>
    <mergeCell ref="A133:I13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5.85546875" customWidth="1"/>
    <col min="5" max="5" width="18.14062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152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258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43677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5.7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6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ref="H20:H21" si="2">SUM(F20*G20/1000)</f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2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3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3"/>
        <v>26.795449999999999</v>
      </c>
      <c r="J23" s="23"/>
      <c r="K23" s="8"/>
      <c r="L23" s="8"/>
      <c r="M23" s="8"/>
    </row>
    <row r="24" spans="1:13" ht="14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3"/>
        <v>74.57392999999999</v>
      </c>
      <c r="J24" s="23"/>
      <c r="K24" s="8"/>
      <c r="L24" s="8"/>
      <c r="M24" s="8"/>
    </row>
    <row r="25" spans="1:13" ht="18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3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3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ref="H27" si="4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5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5"/>
        <v>10.949134715999998</v>
      </c>
      <c r="I31" s="13">
        <f t="shared" ref="I31:I33" si="6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1" t="s">
        <v>27</v>
      </c>
      <c r="C32" s="122" t="s">
        <v>107</v>
      </c>
      <c r="D32" s="121" t="s">
        <v>53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5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6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7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7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8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8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8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8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8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8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8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hidden="1" customHeight="1">
      <c r="A44" s="253" t="s">
        <v>136</v>
      </c>
      <c r="B44" s="254"/>
      <c r="C44" s="254"/>
      <c r="D44" s="254"/>
      <c r="E44" s="254"/>
      <c r="F44" s="254"/>
      <c r="G44" s="254"/>
      <c r="H44" s="254"/>
      <c r="I44" s="25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9">SUM(F45*G45/1000)</f>
        <v>2.6696072740000001</v>
      </c>
      <c r="I45" s="13">
        <f t="shared" ref="I45:I47" si="10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9"/>
        <v>0.10755148799999999</v>
      </c>
      <c r="I46" s="13">
        <f t="shared" si="10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9"/>
        <v>5.4908047920000005</v>
      </c>
      <c r="I47" s="13">
        <f t="shared" si="10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9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9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9"/>
        <v>3.8137022300000001</v>
      </c>
      <c r="I50" s="13">
        <f t="shared" ref="I50:I51" si="11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9"/>
        <v>2.1843919999999999</v>
      </c>
      <c r="I51" s="13">
        <f t="shared" si="11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9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0">
        <v>10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9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customHeight="1">
      <c r="A54" s="239" t="s">
        <v>136</v>
      </c>
      <c r="B54" s="240"/>
      <c r="C54" s="240"/>
      <c r="D54" s="240"/>
      <c r="E54" s="240"/>
      <c r="F54" s="240"/>
      <c r="G54" s="240"/>
      <c r="H54" s="240"/>
      <c r="I54" s="241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/>
      <c r="B59" s="72" t="s">
        <v>43</v>
      </c>
      <c r="C59" s="72"/>
      <c r="D59" s="72"/>
      <c r="E59" s="72"/>
      <c r="F59" s="72"/>
      <c r="G59" s="72"/>
      <c r="H59" s="72"/>
      <c r="I59" s="35"/>
      <c r="J59" s="24"/>
      <c r="L59" s="20"/>
      <c r="M59" s="21"/>
      <c r="N59" s="22"/>
    </row>
    <row r="60" spans="1:14" ht="15.75" customHeight="1">
      <c r="A60" s="40">
        <v>10</v>
      </c>
      <c r="B60" s="86" t="s">
        <v>93</v>
      </c>
      <c r="C60" s="87" t="s">
        <v>25</v>
      </c>
      <c r="D60" s="86" t="s">
        <v>234</v>
      </c>
      <c r="E60" s="88">
        <v>331.5</v>
      </c>
      <c r="F60" s="89">
        <v>2400</v>
      </c>
      <c r="G60" s="92">
        <v>1.4</v>
      </c>
      <c r="H60" s="90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.75" customHeight="1">
      <c r="A62" s="40"/>
      <c r="B62" s="72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5.75" hidden="1" customHeight="1">
      <c r="A63" s="40">
        <v>11</v>
      </c>
      <c r="B63" s="15" t="s">
        <v>46</v>
      </c>
      <c r="C63" s="17" t="s">
        <v>116</v>
      </c>
      <c r="D63" s="15" t="s">
        <v>66</v>
      </c>
      <c r="E63" s="19">
        <v>35</v>
      </c>
      <c r="F63" s="78">
        <v>35</v>
      </c>
      <c r="G63" s="13">
        <v>222.4</v>
      </c>
      <c r="H63" s="94">
        <f t="shared" ref="H63:H70" si="12">SUM(F63*G63/1000)</f>
        <v>7.7839999999999998</v>
      </c>
      <c r="I63" s="13">
        <f>G63*17</f>
        <v>3780.8</v>
      </c>
      <c r="J63" s="24"/>
      <c r="L63" s="20"/>
    </row>
    <row r="64" spans="1:14" ht="15.75" hidden="1" customHeight="1">
      <c r="A64" s="30">
        <v>29</v>
      </c>
      <c r="B64" s="15" t="s">
        <v>47</v>
      </c>
      <c r="C64" s="17" t="s">
        <v>116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12"/>
        <v>1.5249999999999999</v>
      </c>
      <c r="I64" s="13">
        <v>0</v>
      </c>
    </row>
    <row r="65" spans="1:22" ht="15.75" customHeight="1">
      <c r="A65" s="30">
        <v>11</v>
      </c>
      <c r="B65" s="131" t="s">
        <v>48</v>
      </c>
      <c r="C65" s="160" t="s">
        <v>118</v>
      </c>
      <c r="D65" s="37"/>
      <c r="E65" s="140">
        <v>22639</v>
      </c>
      <c r="F65" s="109">
        <f>SUM(E65/100)</f>
        <v>226.39</v>
      </c>
      <c r="G65" s="36">
        <v>304.13</v>
      </c>
      <c r="H65" s="94">
        <f t="shared" si="12"/>
        <v>68.851990700000002</v>
      </c>
      <c r="I65" s="13">
        <f>F65*G65</f>
        <v>68851.990699999995</v>
      </c>
    </row>
    <row r="66" spans="1:22" ht="18" customHeight="1">
      <c r="A66" s="30">
        <v>12</v>
      </c>
      <c r="B66" s="131" t="s">
        <v>49</v>
      </c>
      <c r="C66" s="38" t="s">
        <v>119</v>
      </c>
      <c r="D66" s="37"/>
      <c r="E66" s="140">
        <v>22639</v>
      </c>
      <c r="F66" s="36">
        <f>SUM(E66/1000)</f>
        <v>22.638999999999999</v>
      </c>
      <c r="G66" s="36">
        <v>236.84</v>
      </c>
      <c r="H66" s="94">
        <f t="shared" si="12"/>
        <v>5.3618207599999996</v>
      </c>
      <c r="I66" s="13">
        <f t="shared" ref="I66:I69" si="13">F66*G66</f>
        <v>5361.8207599999996</v>
      </c>
    </row>
    <row r="67" spans="1:22" ht="15.75" customHeight="1">
      <c r="A67" s="30">
        <v>13</v>
      </c>
      <c r="B67" s="131" t="s">
        <v>50</v>
      </c>
      <c r="C67" s="38" t="s">
        <v>76</v>
      </c>
      <c r="D67" s="37"/>
      <c r="E67" s="140">
        <v>3145</v>
      </c>
      <c r="F67" s="36">
        <f>SUM(E67/100)</f>
        <v>31.45</v>
      </c>
      <c r="G67" s="36">
        <v>2974.1</v>
      </c>
      <c r="H67" s="94">
        <f t="shared" si="12"/>
        <v>93.535444999999996</v>
      </c>
      <c r="I67" s="13">
        <f t="shared" si="13"/>
        <v>93535.444999999992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customHeight="1">
      <c r="A68" s="30">
        <v>14</v>
      </c>
      <c r="B68" s="216" t="s">
        <v>120</v>
      </c>
      <c r="C68" s="38" t="s">
        <v>33</v>
      </c>
      <c r="D68" s="37"/>
      <c r="E68" s="140">
        <v>18.7</v>
      </c>
      <c r="F68" s="36">
        <f>SUM(E68)</f>
        <v>18.7</v>
      </c>
      <c r="G68" s="36">
        <v>46.08</v>
      </c>
      <c r="H68" s="94">
        <f t="shared" si="12"/>
        <v>0.86169599999999991</v>
      </c>
      <c r="I68" s="13">
        <f t="shared" si="13"/>
        <v>861.69599999999991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30">
        <v>15</v>
      </c>
      <c r="B69" s="216" t="s">
        <v>145</v>
      </c>
      <c r="C69" s="38" t="s">
        <v>33</v>
      </c>
      <c r="D69" s="37"/>
      <c r="E69" s="140">
        <v>18.7</v>
      </c>
      <c r="F69" s="36">
        <f>SUM(E69)</f>
        <v>18.7</v>
      </c>
      <c r="G69" s="36">
        <v>49.7</v>
      </c>
      <c r="H69" s="94">
        <f t="shared" si="12"/>
        <v>0.92938999999999994</v>
      </c>
      <c r="I69" s="13">
        <f t="shared" si="13"/>
        <v>929.39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7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12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5"/>
      <c r="S70" s="245"/>
      <c r="T70" s="245"/>
      <c r="U70" s="245"/>
    </row>
    <row r="71" spans="1:22" ht="17.25" customHeight="1">
      <c r="A71" s="30"/>
      <c r="B71" s="157" t="s">
        <v>183</v>
      </c>
      <c r="C71" s="38"/>
      <c r="D71" s="37"/>
      <c r="E71" s="18"/>
      <c r="F71" s="158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220"/>
      <c r="S71" s="220"/>
      <c r="T71" s="220"/>
      <c r="U71" s="220"/>
    </row>
    <row r="72" spans="1:22" ht="34.5" customHeight="1">
      <c r="A72" s="30">
        <v>16</v>
      </c>
      <c r="B72" s="37" t="s">
        <v>184</v>
      </c>
      <c r="C72" s="40" t="s">
        <v>185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220"/>
      <c r="S72" s="220"/>
      <c r="T72" s="220"/>
      <c r="U72" s="220"/>
    </row>
    <row r="73" spans="1:22" ht="15.7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17</v>
      </c>
      <c r="B74" s="37" t="s">
        <v>73</v>
      </c>
      <c r="C74" s="38" t="s">
        <v>31</v>
      </c>
      <c r="D74" s="37"/>
      <c r="E74" s="18">
        <v>20</v>
      </c>
      <c r="F74" s="36">
        <v>2</v>
      </c>
      <c r="G74" s="36">
        <v>719.08</v>
      </c>
      <c r="H74" s="94">
        <f>F74*G74/1000</f>
        <v>1.4381600000000001</v>
      </c>
      <c r="I74" s="13">
        <f>G74*0.9</f>
        <v>647.17200000000003</v>
      </c>
    </row>
    <row r="75" spans="1:22" ht="15.75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15.7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14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</row>
    <row r="79" spans="1:22" ht="15.75" customHeight="1">
      <c r="A79" s="30">
        <v>18</v>
      </c>
      <c r="B79" s="106" t="s">
        <v>186</v>
      </c>
      <c r="C79" s="107" t="s">
        <v>116</v>
      </c>
      <c r="D79" s="37" t="s">
        <v>234</v>
      </c>
      <c r="E79" s="18">
        <v>1</v>
      </c>
      <c r="F79" s="36">
        <v>12</v>
      </c>
      <c r="G79" s="36">
        <v>58.39</v>
      </c>
      <c r="H79" s="94"/>
      <c r="I79" s="13">
        <f>G79*F79/12</f>
        <v>58.390000000000008</v>
      </c>
    </row>
    <row r="80" spans="1:22" ht="15.7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15.75" hidden="1" customHeight="1">
      <c r="A81" s="30">
        <v>39</v>
      </c>
      <c r="B81" s="51" t="s">
        <v>125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15">SUM(F81*G81/1000)</f>
        <v>3.725244</v>
      </c>
      <c r="I81" s="13">
        <v>0</v>
      </c>
    </row>
    <row r="82" spans="1:21" ht="15.75" hidden="1" customHeight="1">
      <c r="A82" s="74"/>
      <c r="B82" s="72" t="s">
        <v>121</v>
      </c>
      <c r="C82" s="72"/>
      <c r="D82" s="72"/>
      <c r="E82" s="72"/>
      <c r="F82" s="72"/>
      <c r="G82" s="72"/>
      <c r="H82" s="72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>
        <v>36</v>
      </c>
      <c r="B83" s="75" t="s">
        <v>122</v>
      </c>
      <c r="C83" s="17"/>
      <c r="D83" s="15"/>
      <c r="E83" s="97"/>
      <c r="F83" s="13">
        <v>1</v>
      </c>
      <c r="G83" s="13">
        <v>25286</v>
      </c>
      <c r="H83" s="94">
        <f>G83*F83/1000</f>
        <v>25.286000000000001</v>
      </c>
      <c r="I83" s="13">
        <v>0</v>
      </c>
    </row>
    <row r="84" spans="1:21" ht="15.75" customHeight="1">
      <c r="A84" s="239" t="s">
        <v>137</v>
      </c>
      <c r="B84" s="240"/>
      <c r="C84" s="240"/>
      <c r="D84" s="240"/>
      <c r="E84" s="240"/>
      <c r="F84" s="240"/>
      <c r="G84" s="240"/>
      <c r="H84" s="240"/>
      <c r="I84" s="241"/>
    </row>
    <row r="85" spans="1:21" ht="15.75" customHeight="1">
      <c r="A85" s="30">
        <v>19</v>
      </c>
      <c r="B85" s="37" t="s">
        <v>126</v>
      </c>
      <c r="C85" s="38" t="s">
        <v>54</v>
      </c>
      <c r="D85" s="167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20</v>
      </c>
      <c r="B86" s="37" t="s">
        <v>77</v>
      </c>
      <c r="C86" s="38"/>
      <c r="D86" s="170"/>
      <c r="E86" s="171">
        <f>E85</f>
        <v>5836.1</v>
      </c>
      <c r="F86" s="172">
        <f>E86*12</f>
        <v>70033.200000000012</v>
      </c>
      <c r="G86" s="172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74"/>
      <c r="B87" s="39" t="s">
        <v>79</v>
      </c>
      <c r="C87" s="40"/>
      <c r="D87" s="16"/>
      <c r="E87" s="16"/>
      <c r="F87" s="16"/>
      <c r="G87" s="19"/>
      <c r="H87" s="19"/>
      <c r="I87" s="32">
        <f>I86+I85+I79+I74+I72+I69+I68+I67+I66+I65+I60+I33+I31+I30+I27+I21+I20+I18+I17+I16</f>
        <v>264638.88806999999</v>
      </c>
    </row>
    <row r="88" spans="1:21" ht="15.75" customHeight="1">
      <c r="A88" s="242" t="s">
        <v>59</v>
      </c>
      <c r="B88" s="243"/>
      <c r="C88" s="243"/>
      <c r="D88" s="243"/>
      <c r="E88" s="243"/>
      <c r="F88" s="243"/>
      <c r="G88" s="243"/>
      <c r="H88" s="243"/>
      <c r="I88" s="244"/>
    </row>
    <row r="89" spans="1:21" ht="20.25" customHeight="1">
      <c r="A89" s="30">
        <v>21</v>
      </c>
      <c r="B89" s="108" t="s">
        <v>188</v>
      </c>
      <c r="C89" s="38" t="s">
        <v>169</v>
      </c>
      <c r="D89" s="51" t="s">
        <v>259</v>
      </c>
      <c r="E89" s="13"/>
      <c r="F89" s="13">
        <v>2</v>
      </c>
      <c r="G89" s="36">
        <v>273</v>
      </c>
      <c r="H89" s="94">
        <f t="shared" ref="H89:H90" si="16">G89*F89/1000</f>
        <v>0.54600000000000004</v>
      </c>
      <c r="I89" s="13">
        <f>G89*16</f>
        <v>4368</v>
      </c>
    </row>
    <row r="90" spans="1:21" ht="16.5" customHeight="1">
      <c r="A90" s="30">
        <v>22</v>
      </c>
      <c r="B90" s="106" t="s">
        <v>81</v>
      </c>
      <c r="C90" s="107" t="s">
        <v>116</v>
      </c>
      <c r="D90" s="51"/>
      <c r="E90" s="13"/>
      <c r="F90" s="13">
        <v>4</v>
      </c>
      <c r="G90" s="36">
        <v>207.55</v>
      </c>
      <c r="H90" s="94">
        <f t="shared" si="16"/>
        <v>0.83020000000000005</v>
      </c>
      <c r="I90" s="13">
        <f>G90*1</f>
        <v>207.55</v>
      </c>
    </row>
    <row r="91" spans="1:21" ht="18.75" customHeight="1">
      <c r="A91" s="30">
        <v>23</v>
      </c>
      <c r="B91" s="106" t="s">
        <v>172</v>
      </c>
      <c r="C91" s="107" t="s">
        <v>173</v>
      </c>
      <c r="D91" s="51"/>
      <c r="E91" s="13"/>
      <c r="F91" s="13">
        <v>14</v>
      </c>
      <c r="G91" s="36">
        <v>26095.37</v>
      </c>
      <c r="H91" s="94">
        <f>G91*F91/1000</f>
        <v>365.33517999999998</v>
      </c>
      <c r="I91" s="13">
        <f>G91*0.01</f>
        <v>260.95369999999997</v>
      </c>
    </row>
    <row r="92" spans="1:21" ht="34.5" customHeight="1">
      <c r="A92" s="30">
        <v>24</v>
      </c>
      <c r="B92" s="106" t="s">
        <v>154</v>
      </c>
      <c r="C92" s="107" t="s">
        <v>155</v>
      </c>
      <c r="D92" s="51"/>
      <c r="E92" s="13"/>
      <c r="F92" s="13">
        <v>8</v>
      </c>
      <c r="G92" s="36">
        <v>59.21</v>
      </c>
      <c r="H92" s="94">
        <f>G92*F92/1000</f>
        <v>0.47367999999999999</v>
      </c>
      <c r="I92" s="13">
        <f>G92*2</f>
        <v>118.42</v>
      </c>
    </row>
    <row r="93" spans="1:21" ht="30.75" customHeight="1">
      <c r="A93" s="30">
        <v>25</v>
      </c>
      <c r="B93" s="106" t="s">
        <v>150</v>
      </c>
      <c r="C93" s="107" t="s">
        <v>37</v>
      </c>
      <c r="D93" s="51"/>
      <c r="E93" s="13"/>
      <c r="F93" s="13">
        <v>4</v>
      </c>
      <c r="G93" s="36">
        <v>3914.31</v>
      </c>
      <c r="H93" s="94">
        <f t="shared" ref="H93" si="17">G93*F93/1000</f>
        <v>15.65724</v>
      </c>
      <c r="I93" s="13">
        <f>G93*0.03</f>
        <v>117.4293</v>
      </c>
    </row>
    <row r="94" spans="1:21" ht="31.5" customHeight="1">
      <c r="A94" s="30">
        <v>26</v>
      </c>
      <c r="B94" s="106" t="s">
        <v>261</v>
      </c>
      <c r="C94" s="107" t="s">
        <v>80</v>
      </c>
      <c r="D94" s="51"/>
      <c r="E94" s="13"/>
      <c r="F94" s="13"/>
      <c r="G94" s="36">
        <v>692.81</v>
      </c>
      <c r="H94" s="94"/>
      <c r="I94" s="13">
        <f>G94*1</f>
        <v>692.81</v>
      </c>
    </row>
    <row r="95" spans="1:21" ht="17.25" customHeight="1">
      <c r="A95" s="30">
        <v>27</v>
      </c>
      <c r="B95" s="106" t="s">
        <v>262</v>
      </c>
      <c r="C95" s="107" t="s">
        <v>116</v>
      </c>
      <c r="D95" s="51"/>
      <c r="E95" s="13"/>
      <c r="F95" s="13"/>
      <c r="G95" s="36">
        <v>15</v>
      </c>
      <c r="H95" s="94"/>
      <c r="I95" s="13">
        <f>G95*2</f>
        <v>30</v>
      </c>
    </row>
    <row r="96" spans="1:21" ht="27.75" customHeight="1">
      <c r="A96" s="30">
        <v>28</v>
      </c>
      <c r="B96" s="106" t="s">
        <v>225</v>
      </c>
      <c r="C96" s="107" t="s">
        <v>169</v>
      </c>
      <c r="D96" s="51"/>
      <c r="E96" s="13"/>
      <c r="F96" s="13"/>
      <c r="G96" s="36">
        <v>1465</v>
      </c>
      <c r="H96" s="94"/>
      <c r="I96" s="13">
        <f>G96*3</f>
        <v>4395</v>
      </c>
    </row>
    <row r="97" spans="1:9" ht="15" customHeight="1">
      <c r="A97" s="30">
        <v>29</v>
      </c>
      <c r="B97" s="132" t="s">
        <v>263</v>
      </c>
      <c r="C97" s="40" t="s">
        <v>264</v>
      </c>
      <c r="D97" s="51"/>
      <c r="E97" s="13"/>
      <c r="F97" s="13"/>
      <c r="G97" s="125">
        <v>374</v>
      </c>
      <c r="H97" s="94"/>
      <c r="I97" s="13">
        <f>G97*6</f>
        <v>2244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SUM(I89:I97)</f>
        <v>12434.163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139</v>
      </c>
      <c r="C100" s="34"/>
      <c r="D100" s="34"/>
      <c r="E100" s="34"/>
      <c r="F100" s="34"/>
      <c r="G100" s="34"/>
      <c r="H100" s="34"/>
      <c r="I100" s="44">
        <f>I87+I98</f>
        <v>277073.05106999999</v>
      </c>
    </row>
    <row r="101" spans="1:9" ht="15.75" customHeight="1">
      <c r="A101" s="256" t="s">
        <v>265</v>
      </c>
      <c r="B101" s="256"/>
      <c r="C101" s="256"/>
      <c r="D101" s="256"/>
      <c r="E101" s="256"/>
      <c r="F101" s="256"/>
      <c r="G101" s="256"/>
      <c r="H101" s="256"/>
      <c r="I101" s="256"/>
    </row>
    <row r="102" spans="1:9" ht="15.75" customHeight="1">
      <c r="A102" s="66"/>
      <c r="B102" s="257" t="s">
        <v>266</v>
      </c>
      <c r="C102" s="257"/>
      <c r="D102" s="257"/>
      <c r="E102" s="257"/>
      <c r="F102" s="257"/>
      <c r="G102" s="257"/>
      <c r="H102" s="73"/>
      <c r="I102" s="3"/>
    </row>
    <row r="103" spans="1:9" ht="15.75" customHeight="1">
      <c r="A103" s="69"/>
      <c r="B103" s="258" t="s">
        <v>6</v>
      </c>
      <c r="C103" s="258"/>
      <c r="D103" s="258"/>
      <c r="E103" s="258"/>
      <c r="F103" s="258"/>
      <c r="G103" s="258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59" t="s">
        <v>7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 customHeight="1">
      <c r="A106" s="259" t="s">
        <v>8</v>
      </c>
      <c r="B106" s="259"/>
      <c r="C106" s="259"/>
      <c r="D106" s="259"/>
      <c r="E106" s="259"/>
      <c r="F106" s="259"/>
      <c r="G106" s="259"/>
      <c r="H106" s="259"/>
      <c r="I106" s="259"/>
    </row>
    <row r="107" spans="1:9" ht="15.75" customHeight="1">
      <c r="A107" s="260" t="s">
        <v>60</v>
      </c>
      <c r="B107" s="260"/>
      <c r="C107" s="260"/>
      <c r="D107" s="260"/>
      <c r="E107" s="260"/>
      <c r="F107" s="260"/>
      <c r="G107" s="260"/>
      <c r="H107" s="260"/>
      <c r="I107" s="260"/>
    </row>
    <row r="108" spans="1:9" ht="15.75" customHeight="1">
      <c r="A108" s="11"/>
    </row>
    <row r="109" spans="1:9" ht="15.75" customHeight="1">
      <c r="A109" s="261" t="s">
        <v>9</v>
      </c>
      <c r="B109" s="261"/>
      <c r="C109" s="261"/>
      <c r="D109" s="261"/>
      <c r="E109" s="261"/>
      <c r="F109" s="261"/>
      <c r="G109" s="261"/>
      <c r="H109" s="261"/>
      <c r="I109" s="261"/>
    </row>
    <row r="110" spans="1:9" ht="15.75" customHeight="1">
      <c r="A110" s="4"/>
    </row>
    <row r="111" spans="1:9" ht="15.75" customHeight="1">
      <c r="B111" s="70" t="s">
        <v>10</v>
      </c>
      <c r="C111" s="262" t="s">
        <v>87</v>
      </c>
      <c r="D111" s="262"/>
      <c r="E111" s="262"/>
      <c r="F111" s="262"/>
      <c r="I111" s="68"/>
    </row>
    <row r="112" spans="1:9" ht="15.75" customHeight="1">
      <c r="A112" s="69"/>
      <c r="C112" s="258" t="s">
        <v>11</v>
      </c>
      <c r="D112" s="258"/>
      <c r="E112" s="258"/>
      <c r="F112" s="258"/>
      <c r="I112" s="67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264"/>
      <c r="D114" s="264"/>
      <c r="E114" s="264"/>
      <c r="F114" s="264"/>
      <c r="I114" s="68"/>
    </row>
    <row r="115" spans="1:9" ht="15.75" customHeight="1">
      <c r="A115" s="69"/>
      <c r="C115" s="245" t="s">
        <v>11</v>
      </c>
      <c r="D115" s="245"/>
      <c r="E115" s="245"/>
      <c r="F115" s="245"/>
      <c r="I115" s="67" t="s">
        <v>12</v>
      </c>
    </row>
    <row r="116" spans="1:9" ht="15.75" customHeight="1">
      <c r="A116" s="4" t="s">
        <v>14</v>
      </c>
    </row>
    <row r="117" spans="1:9" ht="15.75" customHeight="1">
      <c r="A117" s="265" t="s">
        <v>15</v>
      </c>
      <c r="B117" s="265"/>
      <c r="C117" s="265"/>
      <c r="D117" s="265"/>
      <c r="E117" s="265"/>
      <c r="F117" s="265"/>
      <c r="G117" s="265"/>
      <c r="H117" s="265"/>
      <c r="I117" s="265"/>
    </row>
    <row r="118" spans="1:9" ht="45" customHeight="1">
      <c r="A118" s="263" t="s">
        <v>16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30" customHeight="1">
      <c r="A119" s="263" t="s">
        <v>17</v>
      </c>
      <c r="B119" s="263"/>
      <c r="C119" s="263"/>
      <c r="D119" s="263"/>
      <c r="E119" s="263"/>
      <c r="F119" s="263"/>
      <c r="G119" s="263"/>
      <c r="H119" s="263"/>
      <c r="I119" s="263"/>
    </row>
    <row r="120" spans="1:9" ht="30" customHeight="1">
      <c r="A120" s="263" t="s">
        <v>21</v>
      </c>
      <c r="B120" s="263"/>
      <c r="C120" s="263"/>
      <c r="D120" s="263"/>
      <c r="E120" s="263"/>
      <c r="F120" s="263"/>
      <c r="G120" s="263"/>
      <c r="H120" s="263"/>
      <c r="I120" s="263"/>
    </row>
    <row r="121" spans="1:9" ht="15" customHeight="1">
      <c r="A121" s="263" t="s">
        <v>20</v>
      </c>
      <c r="B121" s="263"/>
      <c r="C121" s="263"/>
      <c r="D121" s="263"/>
      <c r="E121" s="263"/>
      <c r="F121" s="263"/>
      <c r="G121" s="263"/>
      <c r="H121" s="263"/>
      <c r="I121" s="263"/>
    </row>
  </sheetData>
  <autoFilter ref="I12:I65"/>
  <mergeCells count="29">
    <mergeCell ref="A117:I117"/>
    <mergeCell ref="A118:I118"/>
    <mergeCell ref="A119:I119"/>
    <mergeCell ref="A120:I120"/>
    <mergeCell ref="A121:I121"/>
    <mergeCell ref="R70:U70"/>
    <mergeCell ref="C115:F115"/>
    <mergeCell ref="A88:I88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5"/>
  <sheetViews>
    <sheetView view="pageBreakPreview" topLeftCell="A93" zoomScale="60" workbookViewId="0">
      <selection activeCell="G2" sqref="G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156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267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43708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.75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1.7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0.25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1" t="s">
        <v>27</v>
      </c>
      <c r="C32" s="122" t="s">
        <v>107</v>
      </c>
      <c r="D32" s="121" t="s">
        <v>53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hidden="1" customHeight="1">
      <c r="A44" s="253" t="s">
        <v>136</v>
      </c>
      <c r="B44" s="254"/>
      <c r="C44" s="254"/>
      <c r="D44" s="254"/>
      <c r="E44" s="254"/>
      <c r="F44" s="254"/>
      <c r="G44" s="254"/>
      <c r="H44" s="254"/>
      <c r="I44" s="25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113</v>
      </c>
      <c r="C45" s="76" t="s">
        <v>107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7">SUM(F45*G45/1000)</f>
        <v>2.6696072740000001</v>
      </c>
      <c r="I45" s="13">
        <f t="shared" ref="I45:I47" si="8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107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7"/>
        <v>0.10755148799999999</v>
      </c>
      <c r="I46" s="13">
        <f t="shared" si="8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107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7"/>
        <v>5.4908047920000005</v>
      </c>
      <c r="I47" s="13">
        <f t="shared" si="8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107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7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107</v>
      </c>
      <c r="D49" s="75" t="s">
        <v>143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7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114</v>
      </c>
      <c r="C50" s="76" t="s">
        <v>107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7"/>
        <v>3.8137022300000001</v>
      </c>
      <c r="I50" s="13">
        <f t="shared" ref="I50:I51" si="9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115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7"/>
        <v>2.1843919999999999</v>
      </c>
      <c r="I51" s="13">
        <f t="shared" si="9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7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0">
        <v>10</v>
      </c>
      <c r="B53" s="75" t="s">
        <v>40</v>
      </c>
      <c r="C53" s="76" t="s">
        <v>116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7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customHeight="1">
      <c r="A54" s="239" t="s">
        <v>153</v>
      </c>
      <c r="B54" s="240"/>
      <c r="C54" s="240"/>
      <c r="D54" s="240"/>
      <c r="E54" s="240"/>
      <c r="F54" s="240"/>
      <c r="G54" s="240"/>
      <c r="H54" s="240"/>
      <c r="I54" s="241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/>
      <c r="B59" s="72" t="s">
        <v>43</v>
      </c>
      <c r="C59" s="72"/>
      <c r="D59" s="72"/>
      <c r="E59" s="72"/>
      <c r="F59" s="72"/>
      <c r="G59" s="72"/>
      <c r="H59" s="72"/>
      <c r="I59" s="35"/>
      <c r="J59" s="24"/>
      <c r="L59" s="20"/>
      <c r="M59" s="21"/>
      <c r="N59" s="22"/>
    </row>
    <row r="60" spans="1:14" ht="15.75" customHeight="1">
      <c r="A60" s="40">
        <v>10</v>
      </c>
      <c r="B60" s="86" t="s">
        <v>93</v>
      </c>
      <c r="C60" s="87" t="s">
        <v>25</v>
      </c>
      <c r="D60" s="86" t="s">
        <v>234</v>
      </c>
      <c r="E60" s="88">
        <v>331.5</v>
      </c>
      <c r="F60" s="89">
        <v>2400</v>
      </c>
      <c r="G60" s="92">
        <v>1.4</v>
      </c>
      <c r="H60" s="90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" customHeight="1">
      <c r="A62" s="40"/>
      <c r="B62" s="72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8" customHeight="1">
      <c r="A63" s="40">
        <v>11</v>
      </c>
      <c r="B63" s="131" t="s">
        <v>46</v>
      </c>
      <c r="C63" s="38" t="s">
        <v>116</v>
      </c>
      <c r="D63" s="37" t="s">
        <v>234</v>
      </c>
      <c r="E63" s="18">
        <v>40</v>
      </c>
      <c r="F63" s="123">
        <v>40</v>
      </c>
      <c r="G63" s="36">
        <v>318.82</v>
      </c>
      <c r="H63" s="94">
        <f t="shared" ref="H63:H70" si="10">SUM(F63*G63/1000)</f>
        <v>12.752799999999999</v>
      </c>
      <c r="I63" s="13">
        <f>G63*1</f>
        <v>318.82</v>
      </c>
      <c r="J63" s="24"/>
      <c r="L63" s="20"/>
    </row>
    <row r="64" spans="1:14" ht="25.5" hidden="1" customHeight="1">
      <c r="A64" s="30">
        <v>29</v>
      </c>
      <c r="B64" s="15" t="s">
        <v>47</v>
      </c>
      <c r="C64" s="17" t="s">
        <v>116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10"/>
        <v>1.5249999999999999</v>
      </c>
      <c r="I64" s="13">
        <v>0</v>
      </c>
    </row>
    <row r="65" spans="1:22" ht="22.5" hidden="1" customHeight="1">
      <c r="A65" s="30">
        <v>26</v>
      </c>
      <c r="B65" s="15" t="s">
        <v>48</v>
      </c>
      <c r="C65" s="17" t="s">
        <v>118</v>
      </c>
      <c r="D65" s="15" t="s">
        <v>53</v>
      </c>
      <c r="E65" s="77">
        <v>22639</v>
      </c>
      <c r="F65" s="13">
        <f>SUM(E65/100)</f>
        <v>226.39</v>
      </c>
      <c r="G65" s="13">
        <v>212.15</v>
      </c>
      <c r="H65" s="94">
        <f t="shared" si="10"/>
        <v>48.0286385</v>
      </c>
      <c r="I65" s="13">
        <f>F65*G65</f>
        <v>48028.638500000001</v>
      </c>
    </row>
    <row r="66" spans="1:22" ht="20.25" hidden="1" customHeight="1">
      <c r="A66" s="30">
        <v>27</v>
      </c>
      <c r="B66" s="15" t="s">
        <v>49</v>
      </c>
      <c r="C66" s="17" t="s">
        <v>119</v>
      </c>
      <c r="D66" s="15"/>
      <c r="E66" s="77">
        <v>22639</v>
      </c>
      <c r="F66" s="13">
        <f>SUM(E66/1000)</f>
        <v>22.638999999999999</v>
      </c>
      <c r="G66" s="13">
        <v>165.21</v>
      </c>
      <c r="H66" s="94">
        <f t="shared" si="10"/>
        <v>3.7401891900000002</v>
      </c>
      <c r="I66" s="13">
        <f t="shared" ref="I66:I69" si="11">F66*G66</f>
        <v>3740.1891900000001</v>
      </c>
    </row>
    <row r="67" spans="1:22" ht="19.5" hidden="1" customHeight="1">
      <c r="A67" s="30">
        <v>28</v>
      </c>
      <c r="B67" s="15" t="s">
        <v>50</v>
      </c>
      <c r="C67" s="17" t="s">
        <v>76</v>
      </c>
      <c r="D67" s="15" t="s">
        <v>53</v>
      </c>
      <c r="E67" s="77">
        <v>3145</v>
      </c>
      <c r="F67" s="13">
        <f>SUM(E67/100)</f>
        <v>31.45</v>
      </c>
      <c r="G67" s="13">
        <v>2074.63</v>
      </c>
      <c r="H67" s="94">
        <f t="shared" si="10"/>
        <v>65.247113499999998</v>
      </c>
      <c r="I67" s="13">
        <f t="shared" si="11"/>
        <v>65247.113499999999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20.25" hidden="1" customHeight="1">
      <c r="A68" s="30">
        <v>29</v>
      </c>
      <c r="B68" s="95" t="s">
        <v>120</v>
      </c>
      <c r="C68" s="17" t="s">
        <v>33</v>
      </c>
      <c r="D68" s="15"/>
      <c r="E68" s="77">
        <v>20.28</v>
      </c>
      <c r="F68" s="13">
        <f>SUM(E68)</f>
        <v>20.28</v>
      </c>
      <c r="G68" s="13">
        <v>42.67</v>
      </c>
      <c r="H68" s="94">
        <f t="shared" si="10"/>
        <v>0.86534760000000011</v>
      </c>
      <c r="I68" s="13">
        <f t="shared" si="11"/>
        <v>865.34760000000006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8" hidden="1" customHeight="1">
      <c r="A69" s="30">
        <v>30</v>
      </c>
      <c r="B69" s="95" t="s">
        <v>145</v>
      </c>
      <c r="C69" s="17" t="s">
        <v>33</v>
      </c>
      <c r="D69" s="15"/>
      <c r="E69" s="77">
        <v>20.28</v>
      </c>
      <c r="F69" s="13">
        <f>SUM(E69)</f>
        <v>20.28</v>
      </c>
      <c r="G69" s="13">
        <v>39.81</v>
      </c>
      <c r="H69" s="94">
        <f t="shared" si="10"/>
        <v>0.80734680000000014</v>
      </c>
      <c r="I69" s="13">
        <f t="shared" si="11"/>
        <v>807.34680000000014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0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10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5"/>
      <c r="S70" s="245"/>
      <c r="T70" s="245"/>
      <c r="U70" s="245"/>
    </row>
    <row r="71" spans="1:22" ht="20.25" customHeight="1">
      <c r="A71" s="30"/>
      <c r="B71" s="157" t="s">
        <v>183</v>
      </c>
      <c r="C71" s="38"/>
      <c r="D71" s="37"/>
      <c r="E71" s="18"/>
      <c r="F71" s="158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227"/>
      <c r="S71" s="227"/>
      <c r="T71" s="227"/>
      <c r="U71" s="227"/>
    </row>
    <row r="72" spans="1:22" ht="31.5" customHeight="1">
      <c r="A72" s="30">
        <v>12</v>
      </c>
      <c r="B72" s="37" t="s">
        <v>184</v>
      </c>
      <c r="C72" s="40" t="s">
        <v>185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227"/>
      <c r="S72" s="227"/>
      <c r="T72" s="227"/>
      <c r="U72" s="227"/>
    </row>
    <row r="73" spans="1:22" ht="22.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20.25" hidden="1" customHeight="1">
      <c r="A74" s="30">
        <v>12</v>
      </c>
      <c r="B74" s="15" t="s">
        <v>73</v>
      </c>
      <c r="C74" s="17" t="s">
        <v>31</v>
      </c>
      <c r="D74" s="15"/>
      <c r="E74" s="19">
        <v>5</v>
      </c>
      <c r="F74" s="96">
        <v>0.5</v>
      </c>
      <c r="G74" s="13">
        <v>501.62</v>
      </c>
      <c r="H74" s="94">
        <f>F74*G74/1000</f>
        <v>0.25080999999999998</v>
      </c>
      <c r="I74" s="13">
        <f>G74*1.1</f>
        <v>551.78200000000004</v>
      </c>
    </row>
    <row r="75" spans="1:22" ht="18" hidden="1" customHeight="1">
      <c r="A75" s="30"/>
      <c r="B75" s="15" t="s">
        <v>124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19.5" hidden="1" customHeight="1">
      <c r="A76" s="30"/>
      <c r="B76" s="15" t="s">
        <v>123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18" hidden="1" customHeight="1">
      <c r="A77" s="30"/>
      <c r="B77" s="15" t="s">
        <v>85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12">SUM(F77*G77/1000)</f>
        <v>0.71701999999999999</v>
      </c>
      <c r="I77" s="13">
        <v>0</v>
      </c>
    </row>
    <row r="78" spans="1:22" ht="21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</row>
    <row r="79" spans="1:22" ht="21" customHeight="1">
      <c r="A79" s="30">
        <v>13</v>
      </c>
      <c r="B79" s="106" t="s">
        <v>186</v>
      </c>
      <c r="C79" s="107" t="s">
        <v>116</v>
      </c>
      <c r="D79" s="37" t="s">
        <v>234</v>
      </c>
      <c r="E79" s="18">
        <v>1</v>
      </c>
      <c r="F79" s="36">
        <v>12</v>
      </c>
      <c r="G79" s="36">
        <v>58.39</v>
      </c>
      <c r="H79" s="94"/>
      <c r="I79" s="13">
        <f>G79*F79/12</f>
        <v>58.390000000000008</v>
      </c>
    </row>
    <row r="80" spans="1:22" ht="19.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19.5" hidden="1" customHeight="1">
      <c r="A81" s="30">
        <v>39</v>
      </c>
      <c r="B81" s="51" t="s">
        <v>125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13">SUM(F81*G81/1000)</f>
        <v>3.725244</v>
      </c>
      <c r="I81" s="13">
        <v>0</v>
      </c>
    </row>
    <row r="82" spans="1:21" ht="21.75" hidden="1" customHeight="1">
      <c r="A82" s="74"/>
      <c r="B82" s="72" t="s">
        <v>121</v>
      </c>
      <c r="C82" s="72"/>
      <c r="D82" s="72"/>
      <c r="E82" s="72"/>
      <c r="F82" s="72"/>
      <c r="G82" s="72"/>
      <c r="H82" s="72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20.25" hidden="1" customHeight="1">
      <c r="A83" s="30">
        <v>13</v>
      </c>
      <c r="B83" s="75" t="s">
        <v>122</v>
      </c>
      <c r="C83" s="17"/>
      <c r="D83" s="15"/>
      <c r="E83" s="97"/>
      <c r="F83" s="13">
        <v>1</v>
      </c>
      <c r="G83" s="13">
        <v>26896</v>
      </c>
      <c r="H83" s="94">
        <f>G83*F83/1000</f>
        <v>26.896000000000001</v>
      </c>
      <c r="I83" s="13">
        <f>G83</f>
        <v>26896</v>
      </c>
    </row>
    <row r="84" spans="1:21" ht="15.75" customHeight="1">
      <c r="A84" s="239" t="s">
        <v>137</v>
      </c>
      <c r="B84" s="240"/>
      <c r="C84" s="240"/>
      <c r="D84" s="240"/>
      <c r="E84" s="240"/>
      <c r="F84" s="240"/>
      <c r="G84" s="240"/>
      <c r="H84" s="240"/>
      <c r="I84" s="241"/>
    </row>
    <row r="85" spans="1:21" ht="15.75" customHeight="1">
      <c r="A85" s="30">
        <v>14</v>
      </c>
      <c r="B85" s="37" t="s">
        <v>126</v>
      </c>
      <c r="C85" s="38" t="s">
        <v>54</v>
      </c>
      <c r="D85" s="167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15</v>
      </c>
      <c r="B86" s="37" t="s">
        <v>77</v>
      </c>
      <c r="C86" s="38"/>
      <c r="D86" s="170"/>
      <c r="E86" s="171">
        <f>E85</f>
        <v>5836.1</v>
      </c>
      <c r="F86" s="172">
        <f>E86*12</f>
        <v>70033.200000000012</v>
      </c>
      <c r="G86" s="172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74"/>
      <c r="B87" s="39" t="s">
        <v>79</v>
      </c>
      <c r="C87" s="40"/>
      <c r="D87" s="16"/>
      <c r="E87" s="16"/>
      <c r="F87" s="16"/>
      <c r="G87" s="19"/>
      <c r="H87" s="19"/>
      <c r="I87" s="32">
        <f>I86+I85+I79+I72+I63+I60+I33+I31+I30+I27+I21+I20+I18+I17+I16</f>
        <v>94770.193610000002</v>
      </c>
    </row>
    <row r="88" spans="1:21" ht="15.75" customHeight="1">
      <c r="A88" s="242" t="s">
        <v>59</v>
      </c>
      <c r="B88" s="243"/>
      <c r="C88" s="243"/>
      <c r="D88" s="243"/>
      <c r="E88" s="243"/>
      <c r="F88" s="243"/>
      <c r="G88" s="243"/>
      <c r="H88" s="243"/>
      <c r="I88" s="244"/>
    </row>
    <row r="89" spans="1:21" ht="15.75" customHeight="1">
      <c r="A89" s="30">
        <v>16</v>
      </c>
      <c r="B89" s="108" t="s">
        <v>188</v>
      </c>
      <c r="C89" s="38" t="s">
        <v>169</v>
      </c>
      <c r="D89" s="51"/>
      <c r="E89" s="13"/>
      <c r="F89" s="13">
        <f>(3+3+30+25+15+20+20+3+15+15+20+10+3)/3</f>
        <v>60.666666666666664</v>
      </c>
      <c r="G89" s="36">
        <v>273</v>
      </c>
      <c r="H89" s="94">
        <f t="shared" ref="H89" si="14">G89*F89/1000</f>
        <v>16.562000000000001</v>
      </c>
      <c r="I89" s="13">
        <f>G89*7</f>
        <v>1911</v>
      </c>
    </row>
    <row r="90" spans="1:21" ht="15.75" customHeight="1">
      <c r="A90" s="30">
        <v>17</v>
      </c>
      <c r="B90" s="106" t="s">
        <v>268</v>
      </c>
      <c r="C90" s="107" t="s">
        <v>116</v>
      </c>
      <c r="D90" s="51"/>
      <c r="E90" s="13"/>
      <c r="F90" s="13">
        <v>14</v>
      </c>
      <c r="G90" s="36">
        <v>909</v>
      </c>
      <c r="H90" s="94">
        <f>G90*F90/1000</f>
        <v>12.726000000000001</v>
      </c>
      <c r="I90" s="13">
        <f>G90*2</f>
        <v>1818</v>
      </c>
    </row>
    <row r="91" spans="1:21" ht="14.25" customHeight="1">
      <c r="A91" s="30">
        <v>18</v>
      </c>
      <c r="B91" s="106" t="s">
        <v>170</v>
      </c>
      <c r="C91" s="107" t="s">
        <v>116</v>
      </c>
      <c r="D91" s="51"/>
      <c r="E91" s="13"/>
      <c r="F91" s="13">
        <v>8</v>
      </c>
      <c r="G91" s="36">
        <v>235</v>
      </c>
      <c r="H91" s="94">
        <f>G91*F91/1000</f>
        <v>1.88</v>
      </c>
      <c r="I91" s="13">
        <f>G91*1</f>
        <v>235</v>
      </c>
    </row>
    <row r="92" spans="1:21" ht="16.5" customHeight="1">
      <c r="A92" s="30">
        <v>19</v>
      </c>
      <c r="B92" s="106" t="s">
        <v>269</v>
      </c>
      <c r="C92" s="107" t="s">
        <v>116</v>
      </c>
      <c r="D92" s="108"/>
      <c r="E92" s="36"/>
      <c r="F92" s="36">
        <v>14</v>
      </c>
      <c r="G92" s="36">
        <v>98</v>
      </c>
      <c r="H92" s="98">
        <f t="shared" ref="H92:H94" si="15">G92*F92/1000</f>
        <v>1.3720000000000001</v>
      </c>
      <c r="I92" s="13">
        <f>G92*1</f>
        <v>98</v>
      </c>
    </row>
    <row r="93" spans="1:21" ht="15.75" customHeight="1">
      <c r="A93" s="30">
        <v>20</v>
      </c>
      <c r="B93" s="106" t="s">
        <v>270</v>
      </c>
      <c r="C93" s="107" t="s">
        <v>116</v>
      </c>
      <c r="D93" s="108"/>
      <c r="E93" s="36"/>
      <c r="F93" s="36">
        <v>3</v>
      </c>
      <c r="G93" s="36">
        <v>110</v>
      </c>
      <c r="H93" s="98">
        <f t="shared" si="15"/>
        <v>0.33</v>
      </c>
      <c r="I93" s="13">
        <f>G93*1</f>
        <v>110</v>
      </c>
    </row>
    <row r="94" spans="1:21" ht="15.75" customHeight="1">
      <c r="A94" s="30">
        <v>21</v>
      </c>
      <c r="B94" s="106" t="s">
        <v>171</v>
      </c>
      <c r="C94" s="107" t="s">
        <v>116</v>
      </c>
      <c r="D94" s="37"/>
      <c r="E94" s="18"/>
      <c r="F94" s="36">
        <v>7</v>
      </c>
      <c r="G94" s="36">
        <v>42</v>
      </c>
      <c r="H94" s="98">
        <f t="shared" si="15"/>
        <v>0.29399999999999998</v>
      </c>
      <c r="I94" s="13">
        <f>G94*1</f>
        <v>42</v>
      </c>
    </row>
    <row r="95" spans="1:21" ht="17.25" customHeight="1">
      <c r="A95" s="30">
        <v>22</v>
      </c>
      <c r="B95" s="110" t="s">
        <v>165</v>
      </c>
      <c r="C95" s="107" t="s">
        <v>116</v>
      </c>
      <c r="D95" s="51"/>
      <c r="E95" s="36"/>
      <c r="F95" s="36">
        <v>4</v>
      </c>
      <c r="G95" s="36">
        <v>207.32</v>
      </c>
      <c r="H95" s="98">
        <f>G95*F95/1000</f>
        <v>0.82928000000000002</v>
      </c>
      <c r="I95" s="13">
        <f>G95*1</f>
        <v>207.32</v>
      </c>
    </row>
    <row r="96" spans="1:21" ht="14.25" customHeight="1">
      <c r="A96" s="30">
        <v>23</v>
      </c>
      <c r="B96" s="110" t="s">
        <v>227</v>
      </c>
      <c r="C96" s="221" t="s">
        <v>228</v>
      </c>
      <c r="D96" s="108"/>
      <c r="E96" s="36"/>
      <c r="F96" s="36">
        <v>2</v>
      </c>
      <c r="G96" s="36">
        <v>14535.9</v>
      </c>
      <c r="H96" s="98">
        <f t="shared" ref="H96" si="16">G96*F96/1000</f>
        <v>29.0718</v>
      </c>
      <c r="I96" s="13">
        <f>G96*0.05</f>
        <v>726.79500000000007</v>
      </c>
    </row>
    <row r="97" spans="1:9" ht="15.75" customHeight="1">
      <c r="A97" s="30">
        <v>24</v>
      </c>
      <c r="B97" s="132" t="s">
        <v>263</v>
      </c>
      <c r="C97" s="40" t="s">
        <v>264</v>
      </c>
      <c r="D97" s="51" t="s">
        <v>275</v>
      </c>
      <c r="E97" s="36"/>
      <c r="F97" s="36">
        <v>1</v>
      </c>
      <c r="G97" s="36">
        <v>374</v>
      </c>
      <c r="H97" s="98">
        <f>G97*F97/1000</f>
        <v>0.374</v>
      </c>
      <c r="I97" s="13">
        <f>G97*10</f>
        <v>3740</v>
      </c>
    </row>
    <row r="98" spans="1:9" ht="16.5" customHeight="1">
      <c r="A98" s="30">
        <v>25</v>
      </c>
      <c r="B98" s="110" t="s">
        <v>271</v>
      </c>
      <c r="C98" s="107" t="s">
        <v>54</v>
      </c>
      <c r="D98" s="108"/>
      <c r="E98" s="36"/>
      <c r="F98" s="36">
        <f>32/10</f>
        <v>3.2</v>
      </c>
      <c r="G98" s="36">
        <v>594.58000000000004</v>
      </c>
      <c r="H98" s="94">
        <f t="shared" ref="H98:H101" si="17">G98*F98/1000</f>
        <v>1.9026560000000001</v>
      </c>
      <c r="I98" s="13">
        <f>G98*1.5</f>
        <v>891.87000000000012</v>
      </c>
    </row>
    <row r="99" spans="1:9" ht="15" customHeight="1">
      <c r="A99" s="30">
        <v>26</v>
      </c>
      <c r="B99" s="110" t="s">
        <v>272</v>
      </c>
      <c r="C99" s="107" t="s">
        <v>116</v>
      </c>
      <c r="D99" s="108"/>
      <c r="E99" s="36"/>
      <c r="F99" s="36"/>
      <c r="G99" s="36">
        <v>502</v>
      </c>
      <c r="H99" s="94"/>
      <c r="I99" s="13">
        <f>G99*1</f>
        <v>502</v>
      </c>
    </row>
    <row r="100" spans="1:9" ht="16.5" customHeight="1">
      <c r="A100" s="30">
        <v>27</v>
      </c>
      <c r="B100" s="106" t="s">
        <v>273</v>
      </c>
      <c r="C100" s="221" t="s">
        <v>274</v>
      </c>
      <c r="D100" s="108"/>
      <c r="E100" s="36"/>
      <c r="F100" s="36"/>
      <c r="G100" s="36">
        <v>249.01</v>
      </c>
      <c r="H100" s="94"/>
      <c r="I100" s="13">
        <f>G100*1</f>
        <v>249.01</v>
      </c>
    </row>
    <row r="101" spans="1:9" ht="29.25" customHeight="1">
      <c r="A101" s="30">
        <v>28</v>
      </c>
      <c r="B101" s="106" t="s">
        <v>150</v>
      </c>
      <c r="C101" s="107" t="s">
        <v>37</v>
      </c>
      <c r="D101" s="51"/>
      <c r="E101" s="13"/>
      <c r="F101" s="13">
        <v>2</v>
      </c>
      <c r="G101" s="36">
        <v>3914.31</v>
      </c>
      <c r="H101" s="94">
        <f t="shared" si="17"/>
        <v>7.8286199999999999</v>
      </c>
      <c r="I101" s="13">
        <f>G101*0.01</f>
        <v>39.143099999999997</v>
      </c>
    </row>
    <row r="102" spans="1:9" ht="15.75" customHeight="1">
      <c r="A102" s="30"/>
      <c r="B102" s="45" t="s">
        <v>51</v>
      </c>
      <c r="C102" s="41"/>
      <c r="D102" s="53"/>
      <c r="E102" s="53"/>
      <c r="F102" s="41">
        <v>1</v>
      </c>
      <c r="G102" s="41"/>
      <c r="H102" s="41"/>
      <c r="I102" s="32">
        <f>SUM(I89:I101)</f>
        <v>10570.1381</v>
      </c>
    </row>
    <row r="103" spans="1:9" ht="15.75" customHeight="1">
      <c r="A103" s="30"/>
      <c r="B103" s="51" t="s">
        <v>78</v>
      </c>
      <c r="C103" s="16"/>
      <c r="D103" s="16"/>
      <c r="E103" s="16"/>
      <c r="F103" s="42"/>
      <c r="G103" s="43"/>
      <c r="H103" s="43"/>
      <c r="I103" s="18">
        <v>0</v>
      </c>
    </row>
    <row r="104" spans="1:9" ht="15.75" customHeight="1">
      <c r="A104" s="54"/>
      <c r="B104" s="46" t="s">
        <v>139</v>
      </c>
      <c r="C104" s="34"/>
      <c r="D104" s="34"/>
      <c r="E104" s="34"/>
      <c r="F104" s="34"/>
      <c r="G104" s="34"/>
      <c r="H104" s="34"/>
      <c r="I104" s="44">
        <f>I87+I102</f>
        <v>105340.33171</v>
      </c>
    </row>
    <row r="105" spans="1:9" ht="15.75" customHeight="1">
      <c r="A105" s="256" t="s">
        <v>276</v>
      </c>
      <c r="B105" s="256"/>
      <c r="C105" s="256"/>
      <c r="D105" s="256"/>
      <c r="E105" s="256"/>
      <c r="F105" s="256"/>
      <c r="G105" s="256"/>
      <c r="H105" s="256"/>
      <c r="I105" s="256"/>
    </row>
    <row r="106" spans="1:9" ht="15.75" customHeight="1">
      <c r="A106" s="66"/>
      <c r="B106" s="257" t="s">
        <v>277</v>
      </c>
      <c r="C106" s="257"/>
      <c r="D106" s="257"/>
      <c r="E106" s="257"/>
      <c r="F106" s="257"/>
      <c r="G106" s="257"/>
      <c r="H106" s="73"/>
      <c r="I106" s="3"/>
    </row>
    <row r="107" spans="1:9" ht="15.75" customHeight="1">
      <c r="A107" s="69"/>
      <c r="B107" s="258" t="s">
        <v>6</v>
      </c>
      <c r="C107" s="258"/>
      <c r="D107" s="258"/>
      <c r="E107" s="258"/>
      <c r="F107" s="258"/>
      <c r="G107" s="258"/>
      <c r="H107" s="25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259" t="s">
        <v>7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 customHeight="1">
      <c r="A110" s="259" t="s">
        <v>8</v>
      </c>
      <c r="B110" s="259"/>
      <c r="C110" s="259"/>
      <c r="D110" s="259"/>
      <c r="E110" s="259"/>
      <c r="F110" s="259"/>
      <c r="G110" s="259"/>
      <c r="H110" s="259"/>
      <c r="I110" s="259"/>
    </row>
    <row r="111" spans="1:9" ht="15.75" customHeight="1">
      <c r="A111" s="260" t="s">
        <v>60</v>
      </c>
      <c r="B111" s="260"/>
      <c r="C111" s="260"/>
      <c r="D111" s="260"/>
      <c r="E111" s="260"/>
      <c r="F111" s="260"/>
      <c r="G111" s="260"/>
      <c r="H111" s="260"/>
      <c r="I111" s="260"/>
    </row>
    <row r="112" spans="1:9" ht="15.75" customHeight="1">
      <c r="A112" s="11"/>
    </row>
    <row r="113" spans="1:9" ht="15.75" customHeight="1">
      <c r="A113" s="261" t="s">
        <v>9</v>
      </c>
      <c r="B113" s="261"/>
      <c r="C113" s="261"/>
      <c r="D113" s="261"/>
      <c r="E113" s="261"/>
      <c r="F113" s="261"/>
      <c r="G113" s="261"/>
      <c r="H113" s="261"/>
      <c r="I113" s="261"/>
    </row>
    <row r="114" spans="1:9" ht="15.75" customHeight="1">
      <c r="A114" s="4"/>
    </row>
    <row r="115" spans="1:9" ht="15.75" customHeight="1">
      <c r="B115" s="70" t="s">
        <v>10</v>
      </c>
      <c r="C115" s="262" t="s">
        <v>87</v>
      </c>
      <c r="D115" s="262"/>
      <c r="E115" s="262"/>
      <c r="F115" s="262"/>
      <c r="I115" s="68"/>
    </row>
    <row r="116" spans="1:9" ht="15.75" customHeight="1">
      <c r="A116" s="69"/>
      <c r="C116" s="258" t="s">
        <v>11</v>
      </c>
      <c r="D116" s="258"/>
      <c r="E116" s="258"/>
      <c r="F116" s="258"/>
      <c r="I116" s="67" t="s">
        <v>12</v>
      </c>
    </row>
    <row r="117" spans="1:9" ht="15.75" customHeight="1">
      <c r="A117" s="26"/>
      <c r="C117" s="12"/>
      <c r="D117" s="12"/>
      <c r="E117" s="12"/>
      <c r="G117" s="12"/>
      <c r="H117" s="12"/>
    </row>
    <row r="118" spans="1:9" ht="15.75" customHeight="1">
      <c r="B118" s="70" t="s">
        <v>13</v>
      </c>
      <c r="C118" s="264"/>
      <c r="D118" s="264"/>
      <c r="E118" s="264"/>
      <c r="F118" s="264"/>
      <c r="I118" s="68"/>
    </row>
    <row r="119" spans="1:9" ht="15.75" customHeight="1">
      <c r="A119" s="69"/>
      <c r="C119" s="245" t="s">
        <v>11</v>
      </c>
      <c r="D119" s="245"/>
      <c r="E119" s="245"/>
      <c r="F119" s="245"/>
      <c r="I119" s="67" t="s">
        <v>12</v>
      </c>
    </row>
    <row r="120" spans="1:9" ht="15.75" customHeight="1">
      <c r="A120" s="4" t="s">
        <v>14</v>
      </c>
    </row>
    <row r="121" spans="1:9" ht="15.75" customHeight="1">
      <c r="A121" s="265" t="s">
        <v>15</v>
      </c>
      <c r="B121" s="265"/>
      <c r="C121" s="265"/>
      <c r="D121" s="265"/>
      <c r="E121" s="265"/>
      <c r="F121" s="265"/>
      <c r="G121" s="265"/>
      <c r="H121" s="265"/>
      <c r="I121" s="265"/>
    </row>
    <row r="122" spans="1:9" ht="45" customHeight="1">
      <c r="A122" s="263" t="s">
        <v>16</v>
      </c>
      <c r="B122" s="263"/>
      <c r="C122" s="263"/>
      <c r="D122" s="263"/>
      <c r="E122" s="263"/>
      <c r="F122" s="263"/>
      <c r="G122" s="263"/>
      <c r="H122" s="263"/>
      <c r="I122" s="263"/>
    </row>
    <row r="123" spans="1:9" ht="30" customHeight="1">
      <c r="A123" s="263" t="s">
        <v>17</v>
      </c>
      <c r="B123" s="263"/>
      <c r="C123" s="263"/>
      <c r="D123" s="263"/>
      <c r="E123" s="263"/>
      <c r="F123" s="263"/>
      <c r="G123" s="263"/>
      <c r="H123" s="263"/>
      <c r="I123" s="263"/>
    </row>
    <row r="124" spans="1:9" ht="30" customHeight="1">
      <c r="A124" s="263" t="s">
        <v>21</v>
      </c>
      <c r="B124" s="263"/>
      <c r="C124" s="263"/>
      <c r="D124" s="263"/>
      <c r="E124" s="263"/>
      <c r="F124" s="263"/>
      <c r="G124" s="263"/>
      <c r="H124" s="263"/>
      <c r="I124" s="263"/>
    </row>
    <row r="125" spans="1:9" ht="15" customHeight="1">
      <c r="A125" s="263" t="s">
        <v>20</v>
      </c>
      <c r="B125" s="263"/>
      <c r="C125" s="263"/>
      <c r="D125" s="263"/>
      <c r="E125" s="263"/>
      <c r="F125" s="263"/>
      <c r="G125" s="263"/>
      <c r="H125" s="263"/>
      <c r="I125" s="263"/>
    </row>
  </sheetData>
  <autoFilter ref="I12:I65"/>
  <mergeCells count="29">
    <mergeCell ref="A121:I121"/>
    <mergeCell ref="A122:I122"/>
    <mergeCell ref="A123:I123"/>
    <mergeCell ref="A124:I124"/>
    <mergeCell ref="A125:I125"/>
    <mergeCell ref="R70:U70"/>
    <mergeCell ref="C119:F119"/>
    <mergeCell ref="A88:I88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L98" sqref="L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167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46" t="s">
        <v>157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127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278</v>
      </c>
      <c r="B5" s="250"/>
      <c r="C5" s="250"/>
      <c r="D5" s="250"/>
      <c r="E5" s="250"/>
      <c r="F5" s="250"/>
      <c r="G5" s="250"/>
      <c r="H5" s="250"/>
      <c r="I5" s="25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43738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198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135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52" t="s">
        <v>4</v>
      </c>
      <c r="B15" s="252"/>
      <c r="C15" s="252"/>
      <c r="D15" s="252"/>
      <c r="E15" s="252"/>
      <c r="F15" s="252"/>
      <c r="G15" s="252"/>
      <c r="H15" s="252"/>
      <c r="I15" s="252"/>
      <c r="J15" s="8"/>
      <c r="K15" s="8"/>
      <c r="L15" s="8"/>
      <c r="M15" s="8"/>
    </row>
    <row r="16" spans="1:13" ht="15.75" customHeight="1">
      <c r="A16" s="30">
        <v>1</v>
      </c>
      <c r="B16" s="121" t="s">
        <v>84</v>
      </c>
      <c r="C16" s="122" t="s">
        <v>100</v>
      </c>
      <c r="D16" s="121" t="s">
        <v>232</v>
      </c>
      <c r="E16" s="146">
        <v>164.38</v>
      </c>
      <c r="F16" s="147">
        <f>SUM(E16*156/100)</f>
        <v>256.43279999999999</v>
      </c>
      <c r="G16" s="147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1" t="s">
        <v>89</v>
      </c>
      <c r="C17" s="122" t="s">
        <v>100</v>
      </c>
      <c r="D17" s="121" t="s">
        <v>233</v>
      </c>
      <c r="E17" s="146">
        <v>657.52</v>
      </c>
      <c r="F17" s="147">
        <f>SUM(E17*104/100)</f>
        <v>683.82079999999996</v>
      </c>
      <c r="G17" s="147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1" t="s">
        <v>90</v>
      </c>
      <c r="C18" s="122" t="s">
        <v>100</v>
      </c>
      <c r="D18" s="121" t="s">
        <v>234</v>
      </c>
      <c r="E18" s="146">
        <f>SUM(E16+E17)</f>
        <v>821.9</v>
      </c>
      <c r="F18" s="147">
        <f>SUM(E18*18/100)</f>
        <v>147.94199999999998</v>
      </c>
      <c r="G18" s="147">
        <v>723.23</v>
      </c>
      <c r="H18" s="79">
        <f t="shared" si="0"/>
        <v>106.99609265999997</v>
      </c>
      <c r="I18" s="13">
        <f>F18/12*G18</f>
        <v>8916.341054999999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101</v>
      </c>
      <c r="C19" s="76" t="s">
        <v>102</v>
      </c>
      <c r="D19" s="75" t="s">
        <v>103</v>
      </c>
      <c r="E19" s="77">
        <v>51.2</v>
      </c>
      <c r="F19" s="78">
        <f>SUM(E19/10)</f>
        <v>5.12</v>
      </c>
      <c r="G19" s="124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9.5" customHeight="1">
      <c r="A20" s="30">
        <v>4</v>
      </c>
      <c r="B20" s="121" t="s">
        <v>94</v>
      </c>
      <c r="C20" s="122" t="s">
        <v>100</v>
      </c>
      <c r="D20" s="121" t="s">
        <v>235</v>
      </c>
      <c r="E20" s="146">
        <v>57.5</v>
      </c>
      <c r="F20" s="147">
        <v>6.9</v>
      </c>
      <c r="G20" s="147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1" t="s">
        <v>95</v>
      </c>
      <c r="C21" s="122" t="s">
        <v>100</v>
      </c>
      <c r="D21" s="121" t="s">
        <v>235</v>
      </c>
      <c r="E21" s="146">
        <v>13.41</v>
      </c>
      <c r="F21" s="147">
        <v>1.61</v>
      </c>
      <c r="G21" s="147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7" hidden="1" customHeight="1">
      <c r="A22" s="30">
        <v>7</v>
      </c>
      <c r="B22" s="75" t="s">
        <v>104</v>
      </c>
      <c r="C22" s="76" t="s">
        <v>52</v>
      </c>
      <c r="D22" s="75" t="s">
        <v>103</v>
      </c>
      <c r="E22" s="77">
        <v>1025.5999999999999</v>
      </c>
      <c r="F22" s="78">
        <f>SUM(E22/100)</f>
        <v>10.255999999999998</v>
      </c>
      <c r="G22" s="124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2.5" hidden="1" customHeight="1">
      <c r="A23" s="30">
        <v>8</v>
      </c>
      <c r="B23" s="75" t="s">
        <v>105</v>
      </c>
      <c r="C23" s="76" t="s">
        <v>52</v>
      </c>
      <c r="D23" s="75" t="s">
        <v>103</v>
      </c>
      <c r="E23" s="80">
        <v>60.5</v>
      </c>
      <c r="F23" s="78">
        <f>SUM(E23/100)</f>
        <v>0.60499999999999998</v>
      </c>
      <c r="G23" s="124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4" hidden="1" customHeight="1">
      <c r="A24" s="30">
        <v>9</v>
      </c>
      <c r="B24" s="75" t="s">
        <v>98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4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20.25" hidden="1" customHeight="1">
      <c r="A25" s="30">
        <v>10</v>
      </c>
      <c r="B25" s="75" t="s">
        <v>128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4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99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4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121" t="s">
        <v>231</v>
      </c>
      <c r="C27" s="122" t="s">
        <v>25</v>
      </c>
      <c r="D27" s="121" t="s">
        <v>236</v>
      </c>
      <c r="E27" s="215">
        <v>5.52</v>
      </c>
      <c r="F27" s="123">
        <f>E27*258</f>
        <v>1424.1599999999999</v>
      </c>
      <c r="G27" s="123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52" t="s">
        <v>83</v>
      </c>
      <c r="B28" s="252"/>
      <c r="C28" s="252"/>
      <c r="D28" s="252"/>
      <c r="E28" s="252"/>
      <c r="F28" s="252"/>
      <c r="G28" s="252"/>
      <c r="H28" s="252"/>
      <c r="I28" s="25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1" t="s">
        <v>106</v>
      </c>
      <c r="C30" s="122" t="s">
        <v>107</v>
      </c>
      <c r="D30" s="121" t="s">
        <v>233</v>
      </c>
      <c r="E30" s="123">
        <v>904.85</v>
      </c>
      <c r="F30" s="123">
        <f>SUM(E30*52/1000)</f>
        <v>47.052200000000006</v>
      </c>
      <c r="G30" s="123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1" t="s">
        <v>141</v>
      </c>
      <c r="C31" s="122" t="s">
        <v>107</v>
      </c>
      <c r="D31" s="121" t="s">
        <v>233</v>
      </c>
      <c r="E31" s="123">
        <v>567.9</v>
      </c>
      <c r="F31" s="123">
        <f>SUM(E31*52/1000)</f>
        <v>29.530799999999999</v>
      </c>
      <c r="G31" s="123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1" t="s">
        <v>27</v>
      </c>
      <c r="C32" s="122" t="s">
        <v>107</v>
      </c>
      <c r="D32" s="121" t="s">
        <v>53</v>
      </c>
      <c r="E32" s="123">
        <v>904.85</v>
      </c>
      <c r="F32" s="214">
        <f>SUM(E32/1000)</f>
        <v>0.90485000000000004</v>
      </c>
      <c r="G32" s="123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1" t="s">
        <v>129</v>
      </c>
      <c r="C33" s="122" t="s">
        <v>39</v>
      </c>
      <c r="D33" s="121" t="s">
        <v>238</v>
      </c>
      <c r="E33" s="123">
        <v>8</v>
      </c>
      <c r="F33" s="123">
        <f>E33*155/100</f>
        <v>12.4</v>
      </c>
      <c r="G33" s="123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130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91</v>
      </c>
      <c r="C39" s="76" t="s">
        <v>142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111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82</v>
      </c>
      <c r="C41" s="76" t="s">
        <v>107</v>
      </c>
      <c r="D41" s="75" t="s">
        <v>131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112</v>
      </c>
      <c r="C42" s="76" t="s">
        <v>107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53" t="s">
        <v>136</v>
      </c>
      <c r="B44" s="254"/>
      <c r="C44" s="254"/>
      <c r="D44" s="254"/>
      <c r="E44" s="254"/>
      <c r="F44" s="254"/>
      <c r="G44" s="254"/>
      <c r="H44" s="254"/>
      <c r="I44" s="255"/>
      <c r="J44" s="24"/>
      <c r="L44" s="20"/>
      <c r="M44" s="21"/>
      <c r="N44" s="22"/>
    </row>
    <row r="45" spans="1:14" ht="15.75" customHeight="1">
      <c r="A45" s="40">
        <v>10</v>
      </c>
      <c r="B45" s="121" t="s">
        <v>113</v>
      </c>
      <c r="C45" s="122" t="s">
        <v>107</v>
      </c>
      <c r="D45" s="121" t="s">
        <v>234</v>
      </c>
      <c r="E45" s="140">
        <v>1571.3</v>
      </c>
      <c r="F45" s="123">
        <f>SUM(E45*2/1000)</f>
        <v>3.1425999999999998</v>
      </c>
      <c r="G45" s="36">
        <v>1217.79</v>
      </c>
      <c r="H45" s="79">
        <f t="shared" ref="H45:H53" si="7">SUM(F45*G45/1000)</f>
        <v>3.8270268539999996</v>
      </c>
      <c r="I45" s="13">
        <f t="shared" ref="I45:I47" si="8">F45/2*G45</f>
        <v>1913.5134269999999</v>
      </c>
      <c r="J45" s="24"/>
      <c r="L45" s="20"/>
      <c r="M45" s="21"/>
      <c r="N45" s="22"/>
    </row>
    <row r="46" spans="1:14" ht="15.75" customHeight="1">
      <c r="A46" s="40">
        <v>11</v>
      </c>
      <c r="B46" s="121" t="s">
        <v>179</v>
      </c>
      <c r="C46" s="122" t="s">
        <v>107</v>
      </c>
      <c r="D46" s="121" t="s">
        <v>234</v>
      </c>
      <c r="E46" s="140">
        <v>185.3</v>
      </c>
      <c r="F46" s="123">
        <f>SUM(E46*2/1000)</f>
        <v>0.37060000000000004</v>
      </c>
      <c r="G46" s="36">
        <v>830.69</v>
      </c>
      <c r="H46" s="79">
        <f t="shared" si="7"/>
        <v>0.30785371400000006</v>
      </c>
      <c r="I46" s="13">
        <f t="shared" si="8"/>
        <v>153.92685700000004</v>
      </c>
      <c r="J46" s="24"/>
      <c r="L46" s="20"/>
      <c r="M46" s="21"/>
      <c r="N46" s="22"/>
    </row>
    <row r="47" spans="1:14" ht="15.75" customHeight="1">
      <c r="A47" s="40">
        <v>12</v>
      </c>
      <c r="B47" s="121" t="s">
        <v>35</v>
      </c>
      <c r="C47" s="122" t="s">
        <v>107</v>
      </c>
      <c r="D47" s="121" t="s">
        <v>234</v>
      </c>
      <c r="E47" s="140">
        <v>4737.7</v>
      </c>
      <c r="F47" s="123">
        <f>SUM(E47*2/1000)</f>
        <v>9.4754000000000005</v>
      </c>
      <c r="G47" s="36">
        <v>830.69</v>
      </c>
      <c r="H47" s="79">
        <f t="shared" si="7"/>
        <v>7.8711200260000007</v>
      </c>
      <c r="I47" s="13">
        <f t="shared" si="8"/>
        <v>3935.5600130000003</v>
      </c>
      <c r="J47" s="24"/>
      <c r="L47" s="20"/>
      <c r="M47" s="21"/>
      <c r="N47" s="22"/>
    </row>
    <row r="48" spans="1:14" ht="15.75" customHeight="1">
      <c r="A48" s="40">
        <v>13</v>
      </c>
      <c r="B48" s="121" t="s">
        <v>36</v>
      </c>
      <c r="C48" s="122" t="s">
        <v>107</v>
      </c>
      <c r="D48" s="121" t="s">
        <v>234</v>
      </c>
      <c r="E48" s="140">
        <v>2811.99</v>
      </c>
      <c r="F48" s="123">
        <f>SUM(E48*2/1000)</f>
        <v>5.6239799999999995</v>
      </c>
      <c r="G48" s="36">
        <v>869.86</v>
      </c>
      <c r="H48" s="79">
        <f t="shared" si="7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14</v>
      </c>
      <c r="B49" s="121" t="s">
        <v>55</v>
      </c>
      <c r="C49" s="122" t="s">
        <v>107</v>
      </c>
      <c r="D49" s="121" t="s">
        <v>234</v>
      </c>
      <c r="E49" s="140">
        <v>5836.1</v>
      </c>
      <c r="F49" s="123">
        <f>SUM(E49*5/1000)</f>
        <v>29.180499999999999</v>
      </c>
      <c r="G49" s="36">
        <v>1739.68</v>
      </c>
      <c r="H49" s="79">
        <f t="shared" si="7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1.5" customHeight="1">
      <c r="A50" s="40">
        <v>15</v>
      </c>
      <c r="B50" s="121" t="s">
        <v>114</v>
      </c>
      <c r="C50" s="122" t="s">
        <v>107</v>
      </c>
      <c r="D50" s="121" t="s">
        <v>234</v>
      </c>
      <c r="E50" s="140">
        <v>5836.1</v>
      </c>
      <c r="F50" s="123">
        <f>SUM(E50*2/1000)</f>
        <v>11.6722</v>
      </c>
      <c r="G50" s="36">
        <v>1739.68</v>
      </c>
      <c r="H50" s="79">
        <f t="shared" si="7"/>
        <v>20.305892896</v>
      </c>
      <c r="I50" s="13">
        <f t="shared" ref="I50:I51" si="9">F50/2*G50</f>
        <v>10152.946448000001</v>
      </c>
      <c r="J50" s="24"/>
      <c r="L50" s="20"/>
      <c r="M50" s="21"/>
      <c r="N50" s="22"/>
    </row>
    <row r="51" spans="1:14" ht="31.5" customHeight="1">
      <c r="A51" s="40">
        <v>16</v>
      </c>
      <c r="B51" s="121" t="s">
        <v>115</v>
      </c>
      <c r="C51" s="122" t="s">
        <v>37</v>
      </c>
      <c r="D51" s="121" t="s">
        <v>234</v>
      </c>
      <c r="E51" s="140">
        <v>40</v>
      </c>
      <c r="F51" s="123">
        <f>SUM(E51*2/100)</f>
        <v>0.8</v>
      </c>
      <c r="G51" s="36">
        <v>3914.31</v>
      </c>
      <c r="H51" s="79">
        <f t="shared" si="7"/>
        <v>3.1314480000000002</v>
      </c>
      <c r="I51" s="13">
        <f t="shared" si="9"/>
        <v>1565.7240000000002</v>
      </c>
      <c r="J51" s="24"/>
      <c r="L51" s="20"/>
      <c r="M51" s="21"/>
      <c r="N51" s="22"/>
    </row>
    <row r="52" spans="1:14" ht="15.75" customHeight="1">
      <c r="A52" s="40">
        <v>17</v>
      </c>
      <c r="B52" s="121" t="s">
        <v>38</v>
      </c>
      <c r="C52" s="122" t="s">
        <v>39</v>
      </c>
      <c r="D52" s="121" t="s">
        <v>234</v>
      </c>
      <c r="E52" s="140">
        <v>1</v>
      </c>
      <c r="F52" s="123">
        <v>0.02</v>
      </c>
      <c r="G52" s="36">
        <v>8102.62</v>
      </c>
      <c r="H52" s="79">
        <f t="shared" si="7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5.75" customHeight="1">
      <c r="A53" s="40">
        <v>18</v>
      </c>
      <c r="B53" s="121" t="s">
        <v>40</v>
      </c>
      <c r="C53" s="122" t="s">
        <v>116</v>
      </c>
      <c r="D53" s="222">
        <v>43718</v>
      </c>
      <c r="E53" s="140">
        <v>238</v>
      </c>
      <c r="F53" s="123">
        <f>SUM(E53)*3</f>
        <v>714</v>
      </c>
      <c r="G53" s="109">
        <v>94.16</v>
      </c>
      <c r="H53" s="79">
        <f t="shared" si="7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39" t="s">
        <v>137</v>
      </c>
      <c r="B54" s="240"/>
      <c r="C54" s="240"/>
      <c r="D54" s="240"/>
      <c r="E54" s="240"/>
      <c r="F54" s="240"/>
      <c r="G54" s="240"/>
      <c r="H54" s="240"/>
      <c r="I54" s="241"/>
      <c r="J54" s="24"/>
      <c r="L54" s="20"/>
      <c r="M54" s="21"/>
      <c r="N54" s="22"/>
    </row>
    <row r="55" spans="1:14" ht="15.75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132</v>
      </c>
      <c r="C56" s="76" t="s">
        <v>100</v>
      </c>
      <c r="D56" s="75" t="s">
        <v>117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92</v>
      </c>
      <c r="C57" s="87" t="s">
        <v>100</v>
      </c>
      <c r="D57" s="86" t="s">
        <v>133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96</v>
      </c>
      <c r="C58" s="87" t="s">
        <v>97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>
        <v>19</v>
      </c>
      <c r="B59" s="111" t="s">
        <v>180</v>
      </c>
      <c r="C59" s="112" t="s">
        <v>181</v>
      </c>
      <c r="D59" s="111" t="s">
        <v>279</v>
      </c>
      <c r="E59" s="113"/>
      <c r="F59" s="116">
        <v>8</v>
      </c>
      <c r="G59" s="36">
        <v>1730</v>
      </c>
      <c r="H59" s="96"/>
      <c r="I59" s="13">
        <f>G59*7</f>
        <v>12110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20</v>
      </c>
      <c r="B61" s="86" t="s">
        <v>93</v>
      </c>
      <c r="C61" s="87" t="s">
        <v>25</v>
      </c>
      <c r="D61" s="86" t="s">
        <v>234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7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21</v>
      </c>
      <c r="B64" s="131" t="s">
        <v>46</v>
      </c>
      <c r="C64" s="38" t="s">
        <v>116</v>
      </c>
      <c r="D64" s="37" t="s">
        <v>233</v>
      </c>
      <c r="E64" s="18">
        <v>40</v>
      </c>
      <c r="F64" s="123">
        <v>40</v>
      </c>
      <c r="G64" s="36">
        <v>318.82</v>
      </c>
      <c r="H64" s="94">
        <f t="shared" ref="H64:H71" si="10">SUM(F64*G64/1000)</f>
        <v>12.752799999999999</v>
      </c>
      <c r="I64" s="13">
        <f>G64*8</f>
        <v>2550.56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116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0"/>
        <v>1.5249999999999999</v>
      </c>
      <c r="I65" s="13">
        <v>0</v>
      </c>
    </row>
    <row r="66" spans="1:22" ht="15.75" hidden="1" customHeight="1">
      <c r="A66" s="30">
        <v>26</v>
      </c>
      <c r="B66" s="15" t="s">
        <v>48</v>
      </c>
      <c r="C66" s="17" t="s">
        <v>118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15.75" hidden="1" customHeight="1">
      <c r="A67" s="30">
        <v>27</v>
      </c>
      <c r="B67" s="15" t="s">
        <v>49</v>
      </c>
      <c r="C67" s="17" t="s">
        <v>119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0" si="11">F67*G67</f>
        <v>3740.1891900000001</v>
      </c>
    </row>
    <row r="68" spans="1:22" ht="15.7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29</v>
      </c>
      <c r="B69" s="95" t="s">
        <v>120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30</v>
      </c>
      <c r="B70" s="95" t="s">
        <v>145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22</v>
      </c>
      <c r="B71" s="37" t="s">
        <v>56</v>
      </c>
      <c r="C71" s="38" t="s">
        <v>57</v>
      </c>
      <c r="D71" s="37" t="s">
        <v>234</v>
      </c>
      <c r="E71" s="18">
        <v>8</v>
      </c>
      <c r="F71" s="123">
        <f>SUM(E71)</f>
        <v>8</v>
      </c>
      <c r="G71" s="36">
        <v>71.510000000000005</v>
      </c>
      <c r="H71" s="94">
        <f t="shared" si="10"/>
        <v>0.57208000000000003</v>
      </c>
      <c r="I71" s="13">
        <f>F71*G71*1</f>
        <v>572.08000000000004</v>
      </c>
      <c r="J71" s="5"/>
      <c r="K71" s="5"/>
      <c r="L71" s="5"/>
      <c r="M71" s="5"/>
      <c r="N71" s="5"/>
      <c r="O71" s="5"/>
      <c r="P71" s="5"/>
      <c r="Q71" s="5"/>
      <c r="R71" s="245"/>
      <c r="S71" s="245"/>
      <c r="T71" s="245"/>
      <c r="U71" s="245"/>
    </row>
    <row r="72" spans="1:22" ht="15.7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15.75" hidden="1" customHeight="1">
      <c r="A73" s="30">
        <v>13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f>G73*0.1</f>
        <v>50.162000000000006</v>
      </c>
    </row>
    <row r="74" spans="1:22" ht="15.75" hidden="1" customHeight="1">
      <c r="A74" s="30">
        <v>14</v>
      </c>
      <c r="B74" s="15" t="s">
        <v>124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f>G74</f>
        <v>120.26</v>
      </c>
    </row>
    <row r="75" spans="1:22" ht="15.75" hidden="1" customHeight="1">
      <c r="A75" s="30"/>
      <c r="B75" s="15" t="s">
        <v>123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15.75" hidden="1" customHeight="1">
      <c r="A76" s="30"/>
      <c r="B76" s="15" t="s">
        <v>85</v>
      </c>
      <c r="C76" s="17" t="s">
        <v>30</v>
      </c>
      <c r="D76" s="15"/>
      <c r="E76" s="19">
        <v>2</v>
      </c>
      <c r="F76" s="78">
        <f>SUM(E76)</f>
        <v>2</v>
      </c>
      <c r="G76" s="13">
        <v>358.51</v>
      </c>
      <c r="H76" s="94">
        <f t="shared" ref="H76" si="12">SUM(F76*G76/1000)</f>
        <v>0.71701999999999999</v>
      </c>
      <c r="I76" s="13">
        <v>0</v>
      </c>
    </row>
    <row r="77" spans="1:22" ht="15.7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5.75" customHeight="1">
      <c r="A78" s="30">
        <v>23</v>
      </c>
      <c r="B78" s="106" t="s">
        <v>186</v>
      </c>
      <c r="C78" s="107" t="s">
        <v>116</v>
      </c>
      <c r="D78" s="37" t="s">
        <v>234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125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3">SUM(F80*G80/1000)</f>
        <v>3.725244</v>
      </c>
      <c r="I80" s="13">
        <v>0</v>
      </c>
    </row>
    <row r="81" spans="1:21" ht="15.75" hidden="1" customHeight="1">
      <c r="A81" s="74"/>
      <c r="B81" s="72" t="s">
        <v>121</v>
      </c>
      <c r="C81" s="72"/>
      <c r="D81" s="72"/>
      <c r="E81" s="72"/>
      <c r="F81" s="72"/>
      <c r="G81" s="72"/>
      <c r="H81" s="72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5" t="s">
        <v>122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f>G82</f>
        <v>25286</v>
      </c>
    </row>
    <row r="83" spans="1:21" ht="15.75" customHeight="1">
      <c r="A83" s="228"/>
      <c r="B83" s="157" t="s">
        <v>183</v>
      </c>
      <c r="C83" s="38"/>
      <c r="D83" s="37"/>
      <c r="E83" s="18"/>
      <c r="F83" s="158"/>
      <c r="G83" s="36"/>
      <c r="H83" s="94"/>
      <c r="I83" s="13"/>
    </row>
    <row r="84" spans="1:21" ht="34.5" customHeight="1">
      <c r="A84" s="228">
        <v>24</v>
      </c>
      <c r="B84" s="37" t="s">
        <v>184</v>
      </c>
      <c r="C84" s="40" t="s">
        <v>185</v>
      </c>
      <c r="D84" s="37"/>
      <c r="E84" s="18">
        <v>5836.1</v>
      </c>
      <c r="F84" s="36">
        <f>E84*12</f>
        <v>70033.200000000012</v>
      </c>
      <c r="G84" s="36">
        <v>2.4900000000000002</v>
      </c>
      <c r="H84" s="94"/>
      <c r="I84" s="13">
        <f>G84*F84/12</f>
        <v>14531.889000000003</v>
      </c>
    </row>
    <row r="85" spans="1:21" ht="15.75" customHeight="1">
      <c r="A85" s="239" t="s">
        <v>138</v>
      </c>
      <c r="B85" s="240"/>
      <c r="C85" s="240"/>
      <c r="D85" s="240"/>
      <c r="E85" s="240"/>
      <c r="F85" s="240"/>
      <c r="G85" s="240"/>
      <c r="H85" s="240"/>
      <c r="I85" s="241"/>
    </row>
    <row r="86" spans="1:21" ht="15.75" customHeight="1">
      <c r="A86" s="30">
        <v>25</v>
      </c>
      <c r="B86" s="37" t="s">
        <v>126</v>
      </c>
      <c r="C86" s="38" t="s">
        <v>54</v>
      </c>
      <c r="D86" s="167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26</v>
      </c>
      <c r="B87" s="37" t="s">
        <v>77</v>
      </c>
      <c r="C87" s="38"/>
      <c r="D87" s="170"/>
      <c r="E87" s="171">
        <f>E86</f>
        <v>5836.1</v>
      </c>
      <c r="F87" s="172">
        <f>E87*12</f>
        <v>70033.200000000012</v>
      </c>
      <c r="G87" s="172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I87+I86+I84+I78+I71+I64+I61+I59+I53+I52+I51+I50+I49+I48+I47+I46+I45+I33+I31+I30+I27+I21+I20+I18+I17+I16</f>
        <v>162495.77462440002</v>
      </c>
    </row>
    <row r="89" spans="1:21" ht="15.75" customHeight="1">
      <c r="A89" s="242" t="s">
        <v>59</v>
      </c>
      <c r="B89" s="243"/>
      <c r="C89" s="243"/>
      <c r="D89" s="243"/>
      <c r="E89" s="243"/>
      <c r="F89" s="243"/>
      <c r="G89" s="243"/>
      <c r="H89" s="243"/>
      <c r="I89" s="244"/>
    </row>
    <row r="90" spans="1:21" ht="15.75" customHeight="1">
      <c r="A90" s="30">
        <v>27</v>
      </c>
      <c r="B90" s="108" t="s">
        <v>188</v>
      </c>
      <c r="C90" s="38" t="s">
        <v>169</v>
      </c>
      <c r="D90" s="51"/>
      <c r="E90" s="13"/>
      <c r="F90" s="13">
        <f>(3+3+30+25+15+20+20+3+15+15+20+10+3)/3</f>
        <v>60.666666666666664</v>
      </c>
      <c r="G90" s="36">
        <v>273</v>
      </c>
      <c r="H90" s="94">
        <f t="shared" ref="H90:H91" si="14">G90*F90/1000</f>
        <v>16.562000000000001</v>
      </c>
      <c r="I90" s="13">
        <f>G90*9</f>
        <v>2457</v>
      </c>
    </row>
    <row r="91" spans="1:21" ht="16.5" customHeight="1">
      <c r="A91" s="30">
        <v>28</v>
      </c>
      <c r="B91" s="106" t="s">
        <v>280</v>
      </c>
      <c r="C91" s="107" t="s">
        <v>116</v>
      </c>
      <c r="D91" s="51"/>
      <c r="E91" s="13"/>
      <c r="F91" s="13">
        <v>4</v>
      </c>
      <c r="G91" s="36">
        <v>87.32</v>
      </c>
      <c r="H91" s="94">
        <f t="shared" si="14"/>
        <v>0.34927999999999998</v>
      </c>
      <c r="I91" s="13">
        <f>G91*1</f>
        <v>87.32</v>
      </c>
    </row>
    <row r="92" spans="1:21" ht="15.75" customHeight="1">
      <c r="A92" s="30">
        <v>29</v>
      </c>
      <c r="B92" s="106" t="s">
        <v>209</v>
      </c>
      <c r="C92" s="107" t="s">
        <v>158</v>
      </c>
      <c r="D92" s="51" t="s">
        <v>281</v>
      </c>
      <c r="E92" s="13"/>
      <c r="F92" s="13">
        <v>14</v>
      </c>
      <c r="G92" s="36">
        <v>214.07</v>
      </c>
      <c r="H92" s="94">
        <f>G92*F92/1000</f>
        <v>2.9969800000000002</v>
      </c>
      <c r="I92" s="13">
        <f>G92*1</f>
        <v>214.07</v>
      </c>
    </row>
    <row r="93" spans="1:21" ht="36.75" customHeight="1">
      <c r="A93" s="30">
        <v>30</v>
      </c>
      <c r="B93" s="132" t="s">
        <v>283</v>
      </c>
      <c r="C93" s="40" t="s">
        <v>264</v>
      </c>
      <c r="D93" s="51" t="s">
        <v>282</v>
      </c>
      <c r="E93" s="13"/>
      <c r="F93" s="13">
        <v>8</v>
      </c>
      <c r="G93" s="36">
        <v>374</v>
      </c>
      <c r="H93" s="94">
        <f>G93*F93/1000</f>
        <v>2.992</v>
      </c>
      <c r="I93" s="13">
        <f>G93*40</f>
        <v>14960</v>
      </c>
    </row>
    <row r="94" spans="1:21" ht="30.75" customHeight="1">
      <c r="A94" s="30">
        <v>31</v>
      </c>
      <c r="B94" s="106" t="s">
        <v>150</v>
      </c>
      <c r="C94" s="107" t="s">
        <v>37</v>
      </c>
      <c r="D94" s="51"/>
      <c r="E94" s="13"/>
      <c r="F94" s="13">
        <v>2</v>
      </c>
      <c r="G94" s="36">
        <v>3914.31</v>
      </c>
      <c r="H94" s="94">
        <f>G94*F94/1000</f>
        <v>7.8286199999999999</v>
      </c>
      <c r="I94" s="13">
        <f>G94*0.02</f>
        <v>78.286199999999994</v>
      </c>
    </row>
    <row r="95" spans="1:21" ht="30.75" customHeight="1">
      <c r="A95" s="30">
        <v>32</v>
      </c>
      <c r="B95" s="106" t="s">
        <v>225</v>
      </c>
      <c r="C95" s="107" t="s">
        <v>169</v>
      </c>
      <c r="D95" s="51" t="s">
        <v>284</v>
      </c>
      <c r="E95" s="13"/>
      <c r="F95" s="13"/>
      <c r="G95" s="36">
        <v>1465</v>
      </c>
      <c r="H95" s="94"/>
      <c r="I95" s="13">
        <f>G95*1</f>
        <v>1465</v>
      </c>
    </row>
    <row r="96" spans="1:21" ht="30.75" customHeight="1">
      <c r="A96" s="30">
        <v>33</v>
      </c>
      <c r="B96" s="106" t="s">
        <v>86</v>
      </c>
      <c r="C96" s="107" t="s">
        <v>88</v>
      </c>
      <c r="D96" s="51" t="s">
        <v>285</v>
      </c>
      <c r="E96" s="13"/>
      <c r="F96" s="13"/>
      <c r="G96" s="36">
        <v>644.72</v>
      </c>
      <c r="H96" s="94"/>
      <c r="I96" s="13">
        <f>G96*1</f>
        <v>644.72</v>
      </c>
    </row>
    <row r="97" spans="1:9" ht="15.75" customHeight="1">
      <c r="A97" s="30">
        <v>34</v>
      </c>
      <c r="B97" s="106" t="s">
        <v>313</v>
      </c>
      <c r="C97" s="107" t="s">
        <v>314</v>
      </c>
      <c r="D97" s="51"/>
      <c r="E97" s="13"/>
      <c r="F97" s="13"/>
      <c r="G97" s="36">
        <v>7037.08</v>
      </c>
      <c r="H97" s="94"/>
      <c r="I97" s="13">
        <f>G97*1</f>
        <v>7037.08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SUM(I90:I97)</f>
        <v>26943.476199999997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139</v>
      </c>
      <c r="C100" s="34"/>
      <c r="D100" s="34"/>
      <c r="E100" s="34"/>
      <c r="F100" s="34"/>
      <c r="G100" s="34"/>
      <c r="H100" s="34"/>
      <c r="I100" s="44">
        <f>I88+I98</f>
        <v>189439.25082440002</v>
      </c>
    </row>
    <row r="101" spans="1:9" ht="15.75" customHeight="1">
      <c r="A101" s="256" t="s">
        <v>315</v>
      </c>
      <c r="B101" s="256"/>
      <c r="C101" s="256"/>
      <c r="D101" s="256"/>
      <c r="E101" s="256"/>
      <c r="F101" s="256"/>
      <c r="G101" s="256"/>
      <c r="H101" s="256"/>
      <c r="I101" s="256"/>
    </row>
    <row r="102" spans="1:9" ht="15.75" customHeight="1">
      <c r="A102" s="66"/>
      <c r="B102" s="257" t="s">
        <v>316</v>
      </c>
      <c r="C102" s="257"/>
      <c r="D102" s="257"/>
      <c r="E102" s="257"/>
      <c r="F102" s="257"/>
      <c r="G102" s="257"/>
      <c r="H102" s="73"/>
      <c r="I102" s="3"/>
    </row>
    <row r="103" spans="1:9" ht="15.75" customHeight="1">
      <c r="A103" s="69"/>
      <c r="B103" s="258" t="s">
        <v>6</v>
      </c>
      <c r="C103" s="258"/>
      <c r="D103" s="258"/>
      <c r="E103" s="258"/>
      <c r="F103" s="258"/>
      <c r="G103" s="258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59" t="s">
        <v>7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 customHeight="1">
      <c r="A106" s="259" t="s">
        <v>8</v>
      </c>
      <c r="B106" s="259"/>
      <c r="C106" s="259"/>
      <c r="D106" s="259"/>
      <c r="E106" s="259"/>
      <c r="F106" s="259"/>
      <c r="G106" s="259"/>
      <c r="H106" s="259"/>
      <c r="I106" s="259"/>
    </row>
    <row r="107" spans="1:9" ht="15.75" customHeight="1">
      <c r="A107" s="260" t="s">
        <v>60</v>
      </c>
      <c r="B107" s="260"/>
      <c r="C107" s="260"/>
      <c r="D107" s="260"/>
      <c r="E107" s="260"/>
      <c r="F107" s="260"/>
      <c r="G107" s="260"/>
      <c r="H107" s="260"/>
      <c r="I107" s="260"/>
    </row>
    <row r="108" spans="1:9" ht="15.75" customHeight="1">
      <c r="A108" s="11"/>
    </row>
    <row r="109" spans="1:9" ht="15.75" customHeight="1">
      <c r="A109" s="261" t="s">
        <v>9</v>
      </c>
      <c r="B109" s="261"/>
      <c r="C109" s="261"/>
      <c r="D109" s="261"/>
      <c r="E109" s="261"/>
      <c r="F109" s="261"/>
      <c r="G109" s="261"/>
      <c r="H109" s="261"/>
      <c r="I109" s="261"/>
    </row>
    <row r="110" spans="1:9" ht="15.75" customHeight="1">
      <c r="A110" s="4"/>
    </row>
    <row r="111" spans="1:9" ht="15.75" customHeight="1">
      <c r="B111" s="70" t="s">
        <v>10</v>
      </c>
      <c r="C111" s="262" t="s">
        <v>87</v>
      </c>
      <c r="D111" s="262"/>
      <c r="E111" s="262"/>
      <c r="F111" s="262"/>
      <c r="I111" s="68"/>
    </row>
    <row r="112" spans="1:9" ht="15.75" customHeight="1">
      <c r="A112" s="69"/>
      <c r="C112" s="258" t="s">
        <v>11</v>
      </c>
      <c r="D112" s="258"/>
      <c r="E112" s="258"/>
      <c r="F112" s="258"/>
      <c r="I112" s="67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264"/>
      <c r="D114" s="264"/>
      <c r="E114" s="264"/>
      <c r="F114" s="264"/>
      <c r="I114" s="68"/>
    </row>
    <row r="115" spans="1:9" ht="15.75" customHeight="1">
      <c r="A115" s="69"/>
      <c r="C115" s="245" t="s">
        <v>11</v>
      </c>
      <c r="D115" s="245"/>
      <c r="E115" s="245"/>
      <c r="F115" s="245"/>
      <c r="I115" s="67" t="s">
        <v>12</v>
      </c>
    </row>
    <row r="116" spans="1:9" ht="15.75" customHeight="1">
      <c r="A116" s="4" t="s">
        <v>14</v>
      </c>
    </row>
    <row r="117" spans="1:9" ht="15.75" customHeight="1">
      <c r="A117" s="265" t="s">
        <v>15</v>
      </c>
      <c r="B117" s="265"/>
      <c r="C117" s="265"/>
      <c r="D117" s="265"/>
      <c r="E117" s="265"/>
      <c r="F117" s="265"/>
      <c r="G117" s="265"/>
      <c r="H117" s="265"/>
      <c r="I117" s="265"/>
    </row>
    <row r="118" spans="1:9" ht="45" customHeight="1">
      <c r="A118" s="263" t="s">
        <v>16</v>
      </c>
      <c r="B118" s="263"/>
      <c r="C118" s="263"/>
      <c r="D118" s="263"/>
      <c r="E118" s="263"/>
      <c r="F118" s="263"/>
      <c r="G118" s="263"/>
      <c r="H118" s="263"/>
      <c r="I118" s="263"/>
    </row>
    <row r="119" spans="1:9" ht="30" customHeight="1">
      <c r="A119" s="263" t="s">
        <v>17</v>
      </c>
      <c r="B119" s="263"/>
      <c r="C119" s="263"/>
      <c r="D119" s="263"/>
      <c r="E119" s="263"/>
      <c r="F119" s="263"/>
      <c r="G119" s="263"/>
      <c r="H119" s="263"/>
      <c r="I119" s="263"/>
    </row>
    <row r="120" spans="1:9" ht="30" customHeight="1">
      <c r="A120" s="263" t="s">
        <v>21</v>
      </c>
      <c r="B120" s="263"/>
      <c r="C120" s="263"/>
      <c r="D120" s="263"/>
      <c r="E120" s="263"/>
      <c r="F120" s="263"/>
      <c r="G120" s="263"/>
      <c r="H120" s="263"/>
      <c r="I120" s="263"/>
    </row>
    <row r="121" spans="1:9" ht="15" customHeight="1">
      <c r="A121" s="263" t="s">
        <v>20</v>
      </c>
      <c r="B121" s="263"/>
      <c r="C121" s="263"/>
      <c r="D121" s="263"/>
      <c r="E121" s="263"/>
      <c r="F121" s="263"/>
      <c r="G121" s="263"/>
      <c r="H121" s="263"/>
      <c r="I121" s="263"/>
    </row>
  </sheetData>
  <autoFilter ref="I12:I66"/>
  <mergeCells count="29">
    <mergeCell ref="A117:I117"/>
    <mergeCell ref="A118:I118"/>
    <mergeCell ref="A119:I119"/>
    <mergeCell ref="A120:I120"/>
    <mergeCell ref="A121:I121"/>
    <mergeCell ref="R71:U71"/>
    <mergeCell ref="C115:F115"/>
    <mergeCell ref="A89:I89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'05.19'!Заголовки_для_печати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2020-02-07T05:15:37Z</cp:lastPrinted>
  <dcterms:created xsi:type="dcterms:W3CDTF">2016-03-25T08:33:47Z</dcterms:created>
  <dcterms:modified xsi:type="dcterms:W3CDTF">2020-02-07T05:16:59Z</dcterms:modified>
</cp:coreProperties>
</file>