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_FilterDatabase" localSheetId="0" hidden="1">'01.20'!$I$12:$I$61</definedName>
    <definedName name="_xlnm._FilterDatabase" localSheetId="1" hidden="1">'02.20'!$I$12:$I$62</definedName>
    <definedName name="_xlnm._FilterDatabase" localSheetId="2" hidden="1">'03.20'!$I$12:$I$56</definedName>
    <definedName name="_xlnm.Print_Area" localSheetId="0">'01.20'!$A$1:$I$111</definedName>
    <definedName name="_xlnm.Print_Area" localSheetId="1">'02.20'!$A$1:$I$111</definedName>
    <definedName name="_xlnm.Print_Area" localSheetId="2">'03.20'!$A$1:$I$117</definedName>
  </definedNames>
  <calcPr calcId="124519"/>
</workbook>
</file>

<file path=xl/calcChain.xml><?xml version="1.0" encoding="utf-8"?>
<calcChain xmlns="http://schemas.openxmlformats.org/spreadsheetml/2006/main">
  <c r="I97" i="28"/>
  <c r="I96"/>
  <c r="I99"/>
  <c r="I89"/>
  <c r="I98"/>
  <c r="I95"/>
  <c r="I94"/>
  <c r="I93"/>
  <c r="I92"/>
  <c r="I91"/>
  <c r="I66"/>
  <c r="I45"/>
  <c r="I39"/>
  <c r="I89" i="27"/>
  <c r="I96"/>
  <c r="I95"/>
  <c r="I94"/>
  <c r="I93"/>
  <c r="I92"/>
  <c r="I91"/>
  <c r="I60"/>
  <c r="I96" i="26"/>
  <c r="I87"/>
  <c r="I94"/>
  <c r="I93"/>
  <c r="I92"/>
  <c r="I91"/>
  <c r="I90"/>
  <c r="I89"/>
  <c r="I64"/>
  <c r="I87" i="25"/>
  <c r="I93"/>
  <c r="I92"/>
  <c r="I91"/>
  <c r="I90"/>
  <c r="I89"/>
  <c r="I64"/>
  <c r="I87" i="24" l="1"/>
  <c r="I87" i="23" l="1"/>
  <c r="I83"/>
  <c r="I92"/>
  <c r="I91"/>
  <c r="I74"/>
  <c r="I26" i="22"/>
  <c r="I87"/>
  <c r="I102"/>
  <c r="I59"/>
  <c r="I101"/>
  <c r="I100"/>
  <c r="I98"/>
  <c r="I97"/>
  <c r="I96"/>
  <c r="I95"/>
  <c r="I94"/>
  <c r="I93"/>
  <c r="I92"/>
  <c r="I91"/>
  <c r="I90"/>
  <c r="I89"/>
  <c r="I25"/>
  <c r="I24"/>
  <c r="I23"/>
  <c r="I22"/>
  <c r="I21"/>
  <c r="I19"/>
  <c r="F25"/>
  <c r="F24"/>
  <c r="F23"/>
  <c r="F22"/>
  <c r="F21"/>
  <c r="F20"/>
  <c r="F19"/>
  <c r="F21" i="21" l="1"/>
  <c r="H21" s="1"/>
  <c r="I92"/>
  <c r="I59"/>
  <c r="I90"/>
  <c r="F27"/>
  <c r="H27" s="1"/>
  <c r="I26"/>
  <c r="H26"/>
  <c r="F25"/>
  <c r="H25" s="1"/>
  <c r="F24"/>
  <c r="H24" s="1"/>
  <c r="F23"/>
  <c r="H23" s="1"/>
  <c r="F22"/>
  <c r="H22" s="1"/>
  <c r="F20"/>
  <c r="I20" s="1"/>
  <c r="F19"/>
  <c r="H19" s="1"/>
  <c r="F18"/>
  <c r="I18" s="1"/>
  <c r="E18"/>
  <c r="F17"/>
  <c r="I17" s="1"/>
  <c r="H16"/>
  <c r="F16"/>
  <c r="I16" s="1"/>
  <c r="I98" i="20"/>
  <c r="I97"/>
  <c r="I88"/>
  <c r="I95"/>
  <c r="I94"/>
  <c r="I93"/>
  <c r="I92"/>
  <c r="I91"/>
  <c r="I21" i="21" l="1"/>
  <c r="I87" s="1"/>
  <c r="H20"/>
  <c r="H17"/>
  <c r="H18"/>
  <c r="I27"/>
  <c r="I89" i="19"/>
  <c r="I94"/>
  <c r="I92"/>
  <c r="I91"/>
  <c r="I45"/>
  <c r="I44"/>
  <c r="I39"/>
  <c r="I86" i="18" l="1"/>
  <c r="I58"/>
  <c r="I57"/>
  <c r="F57"/>
  <c r="I37"/>
  <c r="I85" i="17"/>
  <c r="I87"/>
  <c r="I37"/>
  <c r="I60" i="28"/>
  <c r="I61"/>
  <c r="F46"/>
  <c r="H46" s="1"/>
  <c r="H45"/>
  <c r="F44"/>
  <c r="I44" s="1"/>
  <c r="F43"/>
  <c r="H43" s="1"/>
  <c r="H42"/>
  <c r="F41"/>
  <c r="H41" s="1"/>
  <c r="F40"/>
  <c r="I40" s="1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66" i="27"/>
  <c r="I39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i="28" l="1"/>
  <c r="H40"/>
  <c r="H17"/>
  <c r="H44"/>
  <c r="I41"/>
  <c r="I43"/>
  <c r="I46"/>
  <c r="I18"/>
  <c r="H18"/>
  <c r="I16"/>
  <c r="I20"/>
  <c r="I27"/>
  <c r="H17" i="27"/>
  <c r="H21"/>
  <c r="I18"/>
  <c r="H18"/>
  <c r="I16"/>
  <c r="I20"/>
  <c r="I27"/>
  <c r="I59" i="26" l="1"/>
  <c r="F33"/>
  <c r="H33" s="1"/>
  <c r="F32"/>
  <c r="I32" s="1"/>
  <c r="F31"/>
  <c r="H31" s="1"/>
  <c r="F30"/>
  <c r="I30" s="1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59" i="25"/>
  <c r="F27"/>
  <c r="H27" s="1"/>
  <c r="F20"/>
  <c r="H20" s="1"/>
  <c r="E18"/>
  <c r="F18" s="1"/>
  <c r="F17"/>
  <c r="I17" s="1"/>
  <c r="F16"/>
  <c r="I16" s="1"/>
  <c r="I59" i="24"/>
  <c r="F33"/>
  <c r="H33" s="1"/>
  <c r="F32"/>
  <c r="I32" s="1"/>
  <c r="F31"/>
  <c r="H31" s="1"/>
  <c r="F30"/>
  <c r="I30" s="1"/>
  <c r="F27"/>
  <c r="H27" s="1"/>
  <c r="I26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2" l="1"/>
  <c r="H30" i="26"/>
  <c r="H17"/>
  <c r="H32"/>
  <c r="I31"/>
  <c r="I33"/>
  <c r="I18"/>
  <c r="H18"/>
  <c r="I16"/>
  <c r="I20"/>
  <c r="H21"/>
  <c r="I27"/>
  <c r="H17" i="25"/>
  <c r="I27"/>
  <c r="I20"/>
  <c r="H18"/>
  <c r="I18"/>
  <c r="H16"/>
  <c r="H30" i="24"/>
  <c r="H32"/>
  <c r="I31"/>
  <c r="I33"/>
  <c r="H17"/>
  <c r="H21"/>
  <c r="I18"/>
  <c r="H18"/>
  <c r="I16"/>
  <c r="I20"/>
  <c r="I27"/>
  <c r="I64" i="23" l="1"/>
  <c r="F27"/>
  <c r="H27" s="1"/>
  <c r="I26"/>
  <c r="H26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H16" s="1"/>
  <c r="H20" l="1"/>
  <c r="I18"/>
  <c r="H18"/>
  <c r="I16"/>
  <c r="H17"/>
  <c r="H21"/>
  <c r="I27"/>
  <c r="F27" i="22"/>
  <c r="H27" s="1"/>
  <c r="H26"/>
  <c r="H25"/>
  <c r="H24"/>
  <c r="H23"/>
  <c r="H22"/>
  <c r="H20"/>
  <c r="H19"/>
  <c r="E18"/>
  <c r="F18" s="1"/>
  <c r="F17"/>
  <c r="I17" s="1"/>
  <c r="F16"/>
  <c r="H16" s="1"/>
  <c r="H17" l="1"/>
  <c r="H21"/>
  <c r="I18"/>
  <c r="H18"/>
  <c r="I16"/>
  <c r="I20"/>
  <c r="I27"/>
  <c r="F27" i="20"/>
  <c r="H27" s="1"/>
  <c r="I26"/>
  <c r="H26"/>
  <c r="F25"/>
  <c r="H25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F17"/>
  <c r="I17" s="1"/>
  <c r="F16"/>
  <c r="H16" s="1"/>
  <c r="F27" i="19"/>
  <c r="H27" s="1"/>
  <c r="F26" i="18"/>
  <c r="H26" s="1"/>
  <c r="F26" i="17"/>
  <c r="H17" i="20" l="1"/>
  <c r="I18"/>
  <c r="H18"/>
  <c r="I16"/>
  <c r="I20"/>
  <c r="I27"/>
  <c r="I27" i="19"/>
  <c r="I26" i="18"/>
  <c r="I55" i="22" l="1"/>
  <c r="I41" i="20" l="1"/>
  <c r="I38"/>
  <c r="I61" i="19"/>
  <c r="I60"/>
  <c r="E85" i="18"/>
  <c r="F84"/>
  <c r="F82"/>
  <c r="I82" s="1"/>
  <c r="F76"/>
  <c r="I76" s="1"/>
  <c r="F62"/>
  <c r="F54"/>
  <c r="F50"/>
  <c r="H50" s="1"/>
  <c r="F43"/>
  <c r="I43" s="1"/>
  <c r="F41"/>
  <c r="F40"/>
  <c r="F39"/>
  <c r="F38"/>
  <c r="F25"/>
  <c r="F24"/>
  <c r="F23"/>
  <c r="F22"/>
  <c r="F21"/>
  <c r="F20"/>
  <c r="F19"/>
  <c r="E18"/>
  <c r="F18" s="1"/>
  <c r="F17"/>
  <c r="F16"/>
  <c r="I50" l="1"/>
  <c r="I88" i="17" l="1"/>
  <c r="F41" l="1"/>
  <c r="E84"/>
  <c r="F83"/>
  <c r="F77"/>
  <c r="I77" s="1"/>
  <c r="F75"/>
  <c r="I75" s="1"/>
  <c r="F50"/>
  <c r="F43"/>
  <c r="I43" s="1"/>
  <c r="F40"/>
  <c r="F39"/>
  <c r="F38"/>
  <c r="F20"/>
  <c r="E18"/>
  <c r="F18" s="1"/>
  <c r="F17"/>
  <c r="F16"/>
  <c r="I85" i="28" l="1"/>
  <c r="F88"/>
  <c r="I88" s="1"/>
  <c r="F87"/>
  <c r="H87" s="1"/>
  <c r="H85"/>
  <c r="I83"/>
  <c r="H83"/>
  <c r="F81"/>
  <c r="H81" s="1"/>
  <c r="F79"/>
  <c r="I79" s="1"/>
  <c r="H78"/>
  <c r="F77"/>
  <c r="H77" s="1"/>
  <c r="F76"/>
  <c r="H76" s="1"/>
  <c r="H75"/>
  <c r="I73"/>
  <c r="F73"/>
  <c r="H73" s="1"/>
  <c r="I72"/>
  <c r="F72"/>
  <c r="H72" s="1"/>
  <c r="I71"/>
  <c r="F71"/>
  <c r="H71" s="1"/>
  <c r="I70"/>
  <c r="F70"/>
  <c r="H70" s="1"/>
  <c r="I69"/>
  <c r="F69"/>
  <c r="H69" s="1"/>
  <c r="I68"/>
  <c r="F68"/>
  <c r="H68" s="1"/>
  <c r="F67"/>
  <c r="H67" s="1"/>
  <c r="F66"/>
  <c r="H66" s="1"/>
  <c r="F64"/>
  <c r="I64" s="1"/>
  <c r="F63"/>
  <c r="H63" s="1"/>
  <c r="H61"/>
  <c r="F60"/>
  <c r="I57"/>
  <c r="F57"/>
  <c r="H57" s="1"/>
  <c r="I56"/>
  <c r="H56"/>
  <c r="I55"/>
  <c r="F55"/>
  <c r="H55" s="1"/>
  <c r="I54"/>
  <c r="F54"/>
  <c r="H54" s="1"/>
  <c r="I53"/>
  <c r="H53"/>
  <c r="F53"/>
  <c r="I52"/>
  <c r="F52"/>
  <c r="H52" s="1"/>
  <c r="I51"/>
  <c r="F51"/>
  <c r="H51" s="1"/>
  <c r="I50"/>
  <c r="F50"/>
  <c r="H50" s="1"/>
  <c r="I49"/>
  <c r="F49"/>
  <c r="H49" s="1"/>
  <c r="I48"/>
  <c r="F48"/>
  <c r="H48" s="1"/>
  <c r="H39"/>
  <c r="H37"/>
  <c r="H36"/>
  <c r="H35"/>
  <c r="F35"/>
  <c r="I35" s="1"/>
  <c r="F34"/>
  <c r="H34" s="1"/>
  <c r="F33"/>
  <c r="I33" s="1"/>
  <c r="F32"/>
  <c r="H32" s="1"/>
  <c r="F31"/>
  <c r="I31" s="1"/>
  <c r="F28"/>
  <c r="H28" s="1"/>
  <c r="I45" i="27"/>
  <c r="F88"/>
  <c r="I88" s="1"/>
  <c r="F87"/>
  <c r="H87" s="1"/>
  <c r="H85"/>
  <c r="I83"/>
  <c r="H83"/>
  <c r="F81"/>
  <c r="I81" s="1"/>
  <c r="F79"/>
  <c r="I79" s="1"/>
  <c r="H78"/>
  <c r="F77"/>
  <c r="H77" s="1"/>
  <c r="F76"/>
  <c r="H76" s="1"/>
  <c r="H75"/>
  <c r="I73"/>
  <c r="F73"/>
  <c r="H73" s="1"/>
  <c r="I72"/>
  <c r="F72"/>
  <c r="H72" s="1"/>
  <c r="I71"/>
  <c r="F71"/>
  <c r="H71" s="1"/>
  <c r="I70"/>
  <c r="F70"/>
  <c r="H70" s="1"/>
  <c r="I69"/>
  <c r="F69"/>
  <c r="H69" s="1"/>
  <c r="I68"/>
  <c r="F68"/>
  <c r="H68" s="1"/>
  <c r="F67"/>
  <c r="H67" s="1"/>
  <c r="F66"/>
  <c r="H66" s="1"/>
  <c r="F64"/>
  <c r="I64" s="1"/>
  <c r="F63"/>
  <c r="H63" s="1"/>
  <c r="H61"/>
  <c r="F60"/>
  <c r="I57"/>
  <c r="F57"/>
  <c r="H57" s="1"/>
  <c r="I56"/>
  <c r="H56"/>
  <c r="I55"/>
  <c r="F55"/>
  <c r="H55" s="1"/>
  <c r="I54"/>
  <c r="F54"/>
  <c r="H54" s="1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F46"/>
  <c r="I46" s="1"/>
  <c r="H45"/>
  <c r="F44"/>
  <c r="I44" s="1"/>
  <c r="F43"/>
  <c r="I43" s="1"/>
  <c r="H42"/>
  <c r="F41"/>
  <c r="I41" s="1"/>
  <c r="F40"/>
  <c r="I40" s="1"/>
  <c r="H39"/>
  <c r="H37"/>
  <c r="H36"/>
  <c r="H35"/>
  <c r="F35"/>
  <c r="I35" s="1"/>
  <c r="F34"/>
  <c r="I34" s="1"/>
  <c r="F33"/>
  <c r="I33" s="1"/>
  <c r="F32"/>
  <c r="I32" s="1"/>
  <c r="F31"/>
  <c r="I31" s="1"/>
  <c r="F28"/>
  <c r="I28" s="1"/>
  <c r="H89" i="26"/>
  <c r="F86"/>
  <c r="H86" s="1"/>
  <c r="H87" s="1"/>
  <c r="F85"/>
  <c r="I85" s="1"/>
  <c r="H83"/>
  <c r="I81"/>
  <c r="H81"/>
  <c r="F79"/>
  <c r="I79" s="1"/>
  <c r="F77"/>
  <c r="H77" s="1"/>
  <c r="H76"/>
  <c r="F75"/>
  <c r="H75" s="1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3"/>
  <c r="H43"/>
  <c r="F42"/>
  <c r="I42" s="1"/>
  <c r="F41"/>
  <c r="H41" s="1"/>
  <c r="H40"/>
  <c r="F39"/>
  <c r="H39" s="1"/>
  <c r="F38"/>
  <c r="I38" s="1"/>
  <c r="I37"/>
  <c r="H37"/>
  <c r="H35"/>
  <c r="H34"/>
  <c r="I64" i="24"/>
  <c r="H44" i="26" l="1"/>
  <c r="I44"/>
  <c r="H64" i="28"/>
  <c r="H85" i="26"/>
  <c r="H79"/>
  <c r="H42"/>
  <c r="H88" i="28"/>
  <c r="H89" s="1"/>
  <c r="H79"/>
  <c r="H60"/>
  <c r="H33"/>
  <c r="H31"/>
  <c r="I28"/>
  <c r="I32"/>
  <c r="I34"/>
  <c r="I81"/>
  <c r="I87"/>
  <c r="H40" i="27"/>
  <c r="H44"/>
  <c r="H81"/>
  <c r="H88"/>
  <c r="H89" s="1"/>
  <c r="H34"/>
  <c r="H32"/>
  <c r="H28"/>
  <c r="H31"/>
  <c r="H33"/>
  <c r="H41"/>
  <c r="H43"/>
  <c r="H46"/>
  <c r="H60"/>
  <c r="H64"/>
  <c r="H79"/>
  <c r="I87"/>
  <c r="H38" i="26"/>
  <c r="I39"/>
  <c r="I41"/>
  <c r="I58"/>
  <c r="I62"/>
  <c r="I77"/>
  <c r="I86"/>
  <c r="I71" i="25"/>
  <c r="H89"/>
  <c r="F86"/>
  <c r="I86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F32"/>
  <c r="I32" s="1"/>
  <c r="F31"/>
  <c r="I31" s="1"/>
  <c r="H30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F21"/>
  <c r="I21" s="1"/>
  <c r="I19"/>
  <c r="F19"/>
  <c r="H19" s="1"/>
  <c r="H89" i="24"/>
  <c r="F86"/>
  <c r="I86" s="1"/>
  <c r="F85"/>
  <c r="H85" s="1"/>
  <c r="H83"/>
  <c r="I81"/>
  <c r="H81"/>
  <c r="F79"/>
  <c r="I79" s="1"/>
  <c r="F77"/>
  <c r="I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I62" s="1"/>
  <c r="F61"/>
  <c r="H61" s="1"/>
  <c r="H59"/>
  <c r="F58"/>
  <c r="I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I57" i="17"/>
  <c r="I101" i="28" l="1"/>
  <c r="I98" i="26"/>
  <c r="H86" i="25"/>
  <c r="H87" s="1"/>
  <c r="H79" i="24"/>
  <c r="H86"/>
  <c r="H87" s="1"/>
  <c r="I98" i="27"/>
  <c r="H44" i="25"/>
  <c r="H41"/>
  <c r="H39"/>
  <c r="H32"/>
  <c r="H21"/>
  <c r="H31"/>
  <c r="H33"/>
  <c r="H38"/>
  <c r="H42"/>
  <c r="I58"/>
  <c r="I62"/>
  <c r="I77"/>
  <c r="H79"/>
  <c r="H85"/>
  <c r="H42" i="24"/>
  <c r="H38"/>
  <c r="H39"/>
  <c r="H41"/>
  <c r="H44"/>
  <c r="H58"/>
  <c r="H62"/>
  <c r="H77"/>
  <c r="I85"/>
  <c r="I95" i="25" l="1"/>
  <c r="I94" i="24"/>
  <c r="H89" i="23"/>
  <c r="F86"/>
  <c r="H86" s="1"/>
  <c r="H87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I55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F33"/>
  <c r="I33" s="1"/>
  <c r="F32"/>
  <c r="H32" s="1"/>
  <c r="F31"/>
  <c r="I31" s="1"/>
  <c r="F30"/>
  <c r="H30" s="1"/>
  <c r="H31" l="1"/>
  <c r="H85"/>
  <c r="H33"/>
  <c r="H79"/>
  <c r="H42"/>
  <c r="H38"/>
  <c r="I30"/>
  <c r="I32"/>
  <c r="I39"/>
  <c r="I41"/>
  <c r="I44"/>
  <c r="I58"/>
  <c r="I62"/>
  <c r="I77"/>
  <c r="I86"/>
  <c r="H89" i="22"/>
  <c r="F86"/>
  <c r="I86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H59"/>
  <c r="F58"/>
  <c r="H58" s="1"/>
  <c r="F55"/>
  <c r="H55" s="1"/>
  <c r="I54"/>
  <c r="H54"/>
  <c r="I53"/>
  <c r="F53"/>
  <c r="H53" s="1"/>
  <c r="I52"/>
  <c r="F52"/>
  <c r="H52" s="1"/>
  <c r="I51"/>
  <c r="F51"/>
  <c r="H51" s="1"/>
  <c r="I50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F32"/>
  <c r="I32" s="1"/>
  <c r="F31"/>
  <c r="I31" s="1"/>
  <c r="F30"/>
  <c r="I30" s="1"/>
  <c r="I70" i="21"/>
  <c r="I69"/>
  <c r="I68"/>
  <c r="I67"/>
  <c r="I66"/>
  <c r="I54"/>
  <c r="I53"/>
  <c r="I52"/>
  <c r="I51"/>
  <c r="I50"/>
  <c r="I49"/>
  <c r="I48"/>
  <c r="I47"/>
  <c r="I46"/>
  <c r="H89"/>
  <c r="F86"/>
  <c r="I86" s="1"/>
  <c r="F85"/>
  <c r="I85" s="1"/>
  <c r="H83"/>
  <c r="I81"/>
  <c r="H81"/>
  <c r="F79"/>
  <c r="I79" s="1"/>
  <c r="F77"/>
  <c r="H77" s="1"/>
  <c r="H76"/>
  <c r="F75"/>
  <c r="H75" s="1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4"/>
  <c r="I44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F32"/>
  <c r="I32" s="1"/>
  <c r="F31"/>
  <c r="I31" s="1"/>
  <c r="F30"/>
  <c r="I30" s="1"/>
  <c r="I94" i="23" l="1"/>
  <c r="H30" i="22"/>
  <c r="H86"/>
  <c r="H87" s="1"/>
  <c r="H44"/>
  <c r="H41"/>
  <c r="H39"/>
  <c r="H32"/>
  <c r="H31"/>
  <c r="H33"/>
  <c r="H38"/>
  <c r="H42"/>
  <c r="I58"/>
  <c r="I62"/>
  <c r="I77"/>
  <c r="H79"/>
  <c r="H85"/>
  <c r="H32" i="21"/>
  <c r="H30"/>
  <c r="H62"/>
  <c r="H86"/>
  <c r="H87" s="1"/>
  <c r="H58"/>
  <c r="H39"/>
  <c r="H41"/>
  <c r="H44"/>
  <c r="H31"/>
  <c r="H33"/>
  <c r="H38"/>
  <c r="H42"/>
  <c r="I77"/>
  <c r="H79"/>
  <c r="H85"/>
  <c r="I104" i="22" l="1"/>
  <c r="I94" i="21"/>
  <c r="I56" i="20" l="1"/>
  <c r="H90"/>
  <c r="F87"/>
  <c r="I87" s="1"/>
  <c r="F86"/>
  <c r="I86" s="1"/>
  <c r="H84"/>
  <c r="I82"/>
  <c r="H82"/>
  <c r="F80"/>
  <c r="I80" s="1"/>
  <c r="F78"/>
  <c r="I78" s="1"/>
  <c r="H77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5"/>
  <c r="I45" s="1"/>
  <c r="I44"/>
  <c r="H44"/>
  <c r="F43"/>
  <c r="I43" s="1"/>
  <c r="F42"/>
  <c r="I42" s="1"/>
  <c r="H41"/>
  <c r="F40"/>
  <c r="I40" s="1"/>
  <c r="F39"/>
  <c r="I39" s="1"/>
  <c r="H38"/>
  <c r="H36"/>
  <c r="H35"/>
  <c r="H34"/>
  <c r="F34"/>
  <c r="I34" s="1"/>
  <c r="F33"/>
  <c r="I33" s="1"/>
  <c r="F32"/>
  <c r="I32" s="1"/>
  <c r="F31"/>
  <c r="I31" s="1"/>
  <c r="F30"/>
  <c r="I30" s="1"/>
  <c r="F87" i="19"/>
  <c r="H87" s="1"/>
  <c r="F88"/>
  <c r="H88" s="1"/>
  <c r="H85"/>
  <c r="H83"/>
  <c r="F81"/>
  <c r="H81" s="1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6"/>
  <c r="H46" s="1"/>
  <c r="H45"/>
  <c r="F44"/>
  <c r="H44" s="1"/>
  <c r="F43"/>
  <c r="H43" s="1"/>
  <c r="H42"/>
  <c r="F41"/>
  <c r="H41" s="1"/>
  <c r="F40"/>
  <c r="H40" s="1"/>
  <c r="H39"/>
  <c r="F28"/>
  <c r="H28" s="1"/>
  <c r="H37"/>
  <c r="H36"/>
  <c r="H35"/>
  <c r="F35"/>
  <c r="I35" s="1"/>
  <c r="F34"/>
  <c r="H34" s="1"/>
  <c r="F33"/>
  <c r="H33" s="1"/>
  <c r="F32"/>
  <c r="H32" s="1"/>
  <c r="F31"/>
  <c r="H31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H87" i="20" l="1"/>
  <c r="H88" s="1"/>
  <c r="H43"/>
  <c r="H39"/>
  <c r="H78"/>
  <c r="I88" i="19"/>
  <c r="H31" i="20"/>
  <c r="H33"/>
  <c r="H30"/>
  <c r="H32"/>
  <c r="H40"/>
  <c r="H42"/>
  <c r="H45"/>
  <c r="H59"/>
  <c r="H63"/>
  <c r="H80"/>
  <c r="H86"/>
  <c r="I79" i="19"/>
  <c r="I64"/>
  <c r="I81"/>
  <c r="I43"/>
  <c r="I40"/>
  <c r="I46"/>
  <c r="I41"/>
  <c r="I28"/>
  <c r="I34"/>
  <c r="I33"/>
  <c r="I32"/>
  <c r="I100" i="20" l="1"/>
  <c r="I42" i="18"/>
  <c r="I42" i="17"/>
  <c r="H87" l="1"/>
  <c r="F61"/>
  <c r="H61" s="1"/>
  <c r="I83" i="19" l="1"/>
  <c r="H91"/>
  <c r="I87"/>
  <c r="I21"/>
  <c r="I17"/>
  <c r="I53" i="18"/>
  <c r="H84"/>
  <c r="H80"/>
  <c r="H78"/>
  <c r="H75"/>
  <c r="H74"/>
  <c r="H73"/>
  <c r="I71"/>
  <c r="H71"/>
  <c r="F70"/>
  <c r="I70" s="1"/>
  <c r="F69"/>
  <c r="H69" s="1"/>
  <c r="F68"/>
  <c r="I68" s="1"/>
  <c r="F67"/>
  <c r="H67" s="1"/>
  <c r="F66"/>
  <c r="I66" s="1"/>
  <c r="H65"/>
  <c r="H64"/>
  <c r="H62"/>
  <c r="H61"/>
  <c r="H60"/>
  <c r="I54"/>
  <c r="H54"/>
  <c r="H53"/>
  <c r="F52"/>
  <c r="H52" s="1"/>
  <c r="F51"/>
  <c r="H51" s="1"/>
  <c r="F49"/>
  <c r="H49" s="1"/>
  <c r="F48"/>
  <c r="H48" s="1"/>
  <c r="F47"/>
  <c r="H47" s="1"/>
  <c r="F46"/>
  <c r="H46" s="1"/>
  <c r="F45"/>
  <c r="H45" s="1"/>
  <c r="H42"/>
  <c r="I41"/>
  <c r="H40"/>
  <c r="I39"/>
  <c r="H38"/>
  <c r="H37"/>
  <c r="H35"/>
  <c r="H34"/>
  <c r="H33"/>
  <c r="F33"/>
  <c r="I33" s="1"/>
  <c r="I32"/>
  <c r="H32"/>
  <c r="F31"/>
  <c r="H31" s="1"/>
  <c r="F30"/>
  <c r="I30" s="1"/>
  <c r="F29"/>
  <c r="H29" s="1"/>
  <c r="H25"/>
  <c r="H24"/>
  <c r="H23"/>
  <c r="H22"/>
  <c r="I21"/>
  <c r="H20"/>
  <c r="H19"/>
  <c r="I17"/>
  <c r="H16"/>
  <c r="I70" i="17"/>
  <c r="I32"/>
  <c r="I83"/>
  <c r="H81"/>
  <c r="H79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I61"/>
  <c r="H60"/>
  <c r="H59"/>
  <c r="F57"/>
  <c r="H57" s="1"/>
  <c r="I54"/>
  <c r="F54"/>
  <c r="H54" s="1"/>
  <c r="H53"/>
  <c r="F52"/>
  <c r="H52" s="1"/>
  <c r="F51"/>
  <c r="H51" s="1"/>
  <c r="H50"/>
  <c r="F49"/>
  <c r="H49" s="1"/>
  <c r="F48"/>
  <c r="H48" s="1"/>
  <c r="F47"/>
  <c r="H47" s="1"/>
  <c r="F46"/>
  <c r="H46" s="1"/>
  <c r="F45"/>
  <c r="H45" s="1"/>
  <c r="H42"/>
  <c r="I40"/>
  <c r="H39"/>
  <c r="I38"/>
  <c r="H37"/>
  <c r="H35"/>
  <c r="H34"/>
  <c r="H26"/>
  <c r="H33"/>
  <c r="F33"/>
  <c r="I33" s="1"/>
  <c r="H32"/>
  <c r="F31"/>
  <c r="H31" s="1"/>
  <c r="F30"/>
  <c r="H30" s="1"/>
  <c r="F29"/>
  <c r="H29" s="1"/>
  <c r="F25"/>
  <c r="H25" s="1"/>
  <c r="F24"/>
  <c r="H24" s="1"/>
  <c r="F23"/>
  <c r="H23" s="1"/>
  <c r="F22"/>
  <c r="H22" s="1"/>
  <c r="F21"/>
  <c r="I21" s="1"/>
  <c r="I20"/>
  <c r="F19"/>
  <c r="H19" s="1"/>
  <c r="I18"/>
  <c r="I17"/>
  <c r="I16"/>
  <c r="H41" l="1"/>
  <c r="I41"/>
  <c r="I18" i="19"/>
  <c r="H89"/>
  <c r="I16"/>
  <c r="I20"/>
  <c r="I26"/>
  <c r="I31"/>
  <c r="I51" i="18"/>
  <c r="H70"/>
  <c r="I52"/>
  <c r="I18"/>
  <c r="H18"/>
  <c r="H85"/>
  <c r="H86" s="1"/>
  <c r="I85"/>
  <c r="I90" s="1"/>
  <c r="I16"/>
  <c r="H17"/>
  <c r="I20"/>
  <c r="H21"/>
  <c r="I29"/>
  <c r="H30"/>
  <c r="I31"/>
  <c r="I38"/>
  <c r="H39"/>
  <c r="I40"/>
  <c r="H41"/>
  <c r="H57"/>
  <c r="I62"/>
  <c r="H66"/>
  <c r="I67"/>
  <c r="H68"/>
  <c r="I69"/>
  <c r="I84"/>
  <c r="I68" i="17"/>
  <c r="I66"/>
  <c r="I65"/>
  <c r="I69"/>
  <c r="I67"/>
  <c r="I29"/>
  <c r="I31"/>
  <c r="I30"/>
  <c r="H83"/>
  <c r="H84"/>
  <c r="H85" s="1"/>
  <c r="H20"/>
  <c r="H16"/>
  <c r="H80"/>
  <c r="H17"/>
  <c r="H18"/>
  <c r="H21"/>
  <c r="I26"/>
  <c r="H38"/>
  <c r="I39"/>
  <c r="H40"/>
  <c r="I50"/>
  <c r="I84"/>
  <c r="I96" i="19" l="1"/>
  <c r="I90" i="17"/>
  <c r="H79" i="18"/>
</calcChain>
</file>

<file path=xl/sharedStrings.xml><?xml version="1.0" encoding="utf-8"?>
<sst xmlns="http://schemas.openxmlformats.org/spreadsheetml/2006/main" count="2802" uniqueCount="308">
  <si>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</si>
  <si>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</si>
  <si>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</si>
  <si>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</si>
  <si>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</si>
  <si>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</si>
  <si>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</si>
  <si>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</si>
  <si>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</si>
  <si>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</si>
  <si>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</si>
  <si>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</si>
  <si>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</si>
  <si>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</si>
  <si>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</si>
  <si>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</si>
  <si>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</si>
  <si>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</si>
  <si>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</si>
  <si>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</si>
  <si>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</si>
  <si>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</si>
  <si>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</si>
  <si>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</si>
  <si>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</si>
  <si>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</si>
  <si>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</si>
  <si>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</si>
  <si>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</si>
  <si>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</si>
  <si>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</si>
  <si>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</si>
  <si>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</si>
  <si>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</si>
  <si>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</si>
  <si>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</si>
  <si>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</si>
  <si>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</si>
  <si>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</si>
  <si>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</si>
  <si>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</si>
  <si>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</si>
  <si>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</si>
  <si>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</si>
  <si>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</si>
  <si>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</si>
  <si>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</si>
  <si>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</si>
  <si>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</si>
  <si>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</si>
  <si>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</si>
  <si>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</si>
  <si>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</si>
  <si>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</si>
  <si>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</si>
  <si>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</si>
  <si>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</si>
  <si>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</si>
  <si>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</si>
  <si>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</si>
  <si>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</si>
  <si>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</si>
  <si>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</si>
  <si>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</si>
  <si>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</si>
  <si>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</si>
  <si>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</si>
  <si>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</si>
  <si>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</si>
  <si>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</si>
  <si>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</si>
  <si>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</si>
  <si>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</si>
  <si>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</si>
  <si>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</si>
  <si>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</si>
  <si>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</si>
  <si>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</si>
  <si>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</si>
  <si>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</si>
  <si>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</si>
  <si>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</si>
  <si>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</si>
  <si>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</si>
  <si>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</si>
  <si>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</si>
  <si>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</si>
  <si>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</si>
  <si>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</si>
  <si>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</si>
  <si>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</si>
  <si>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</si>
  <si>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</si>
  <si>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</si>
  <si>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</si>
  <si>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</si>
  <si>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</si>
  <si>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</si>
  <si>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</si>
  <si>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</si>
  <si>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</si>
  <si>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</si>
  <si>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</si>
  <si>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</si>
  <si>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</si>
  <si>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</si>
  <si>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</si>
  <si>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</si>
  <si>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</si>
  <si>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</si>
  <si>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</si>
  <si>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</si>
  <si>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</si>
  <si>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</si>
  <si>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Влажное подметание лестничных клеток 2-5 этажа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</si>
  <si>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</si>
  <si>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</si>
  <si>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Прочистка каналов</t>
  </si>
  <si>
    <t>Очистка края кровли от слежавшегося снега со сбрасыванием сосулек (10% от S кровли и козырьки)</t>
  </si>
  <si>
    <t xml:space="preserve"> </t>
  </si>
  <si>
    <t>Очистка урн от мусора</t>
  </si>
  <si>
    <t>10 м2</t>
  </si>
  <si>
    <t xml:space="preserve">1 раз в год  </t>
  </si>
  <si>
    <t>Осмотр шиферной кровли</t>
  </si>
  <si>
    <t>Очистка подвала от чердака</t>
  </si>
  <si>
    <t>Очистка подвала от мусора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</si>
  <si>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ул.Строительная пгт.Ярега
</t>
  </si>
  <si>
    <t>1 шт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</si>
  <si>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</si>
  <si>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</si>
  <si>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</si>
  <si>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</si>
  <si>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</si>
  <si>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по мере необходимости</t>
  </si>
  <si>
    <t>5 раз в год</t>
  </si>
  <si>
    <t>АКТ №2</t>
  </si>
  <si>
    <t>АКТ №3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</si>
  <si>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д.11</t>
    </r>
  </si>
  <si>
    <t>Итого затраты за месяц</t>
  </si>
  <si>
    <t>Мытье лестничных площадок и маршей 1-5 этаж.</t>
  </si>
  <si>
    <t>Влажная протирка шкафов для щитов и слаботочн.ус.</t>
  </si>
  <si>
    <t>52 раза в сезон</t>
  </si>
  <si>
    <t>78 раз за сезон</t>
  </si>
  <si>
    <t>30 раз за сезон</t>
  </si>
  <si>
    <t>Вывоз снега с придомовой территории</t>
  </si>
  <si>
    <t>1м3</t>
  </si>
  <si>
    <t>35 раз за сезон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</si>
  <si>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</si>
  <si>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</si>
  <si>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</si>
  <si>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</si>
  <si>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от мусора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</si>
  <si>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</si>
  <si>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</si>
  <si>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</si>
  <si>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эл.энергии и хол.воды</t>
  </si>
  <si>
    <t>Водоснабжение, канализация</t>
  </si>
  <si>
    <t>ТО внутренних сетей водопровода и канализации</t>
  </si>
  <si>
    <t>руб/м2 в мес</t>
  </si>
  <si>
    <t>III. Содержание общего имущества МКД</t>
  </si>
  <si>
    <t>IV. Прочие услуги</t>
  </si>
  <si>
    <t>АКТ №4</t>
  </si>
  <si>
    <t>АКТ №5</t>
  </si>
  <si>
    <t>Ремонт групповых щитков на лестничной клетке без ремонта автоматов</t>
  </si>
  <si>
    <t>м</t>
  </si>
  <si>
    <t>АКТ №6</t>
  </si>
  <si>
    <t>ООО «Движение»</t>
  </si>
  <si>
    <t>АКТ №7</t>
  </si>
  <si>
    <r>
      <t xml:space="preserve">    Собственники помещений в многоквартирном доме, расположенном по адресу:  пгт.Ярега, ул.Строительная,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14.02.2018г.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</si>
  <si>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Подключение и отключение сварочного аппарата</t>
  </si>
  <si>
    <t>АКТ №8</t>
  </si>
  <si>
    <t>АКТ №9</t>
  </si>
  <si>
    <t>АКТ №10</t>
  </si>
  <si>
    <t>АКТ №11</t>
  </si>
  <si>
    <t>АКТ №12</t>
  </si>
  <si>
    <t>Осмотр электросетей, армазуры и электрооборудования на лестничных клетках</t>
  </si>
  <si>
    <t>52м3</t>
  </si>
  <si>
    <t>Осмотр кровель из штучных материалов</t>
  </si>
  <si>
    <t>Организация и содержание мест накопления ТКО</t>
  </si>
  <si>
    <t>13 раз</t>
  </si>
  <si>
    <t>8 раз</t>
  </si>
  <si>
    <t>2 раз</t>
  </si>
  <si>
    <t xml:space="preserve">1 раз </t>
  </si>
  <si>
    <t>5 раз</t>
  </si>
  <si>
    <t>6 раз</t>
  </si>
  <si>
    <t>7 раз</t>
  </si>
  <si>
    <t>1 раз</t>
  </si>
  <si>
    <t>21 раз</t>
  </si>
  <si>
    <t>25 раз</t>
  </si>
  <si>
    <t xml:space="preserve">2 раза </t>
  </si>
  <si>
    <t>3,5 маш-часа</t>
  </si>
  <si>
    <t>4 раза</t>
  </si>
  <si>
    <t>3 маш/час</t>
  </si>
  <si>
    <t>Ремонт отдельных мест покрытия из асбоцементных листов обыкновенного профиля</t>
  </si>
  <si>
    <t>Шифер</t>
  </si>
  <si>
    <t>Установка хомута диаметром до 50 мм</t>
  </si>
  <si>
    <t>10 маш/час</t>
  </si>
  <si>
    <t>Ремонт поверхности кирпичных стен при глубине заделки в 1 кирпич площадью в одном месте до 1 м2</t>
  </si>
  <si>
    <t>Смена арматуры - вентилей и клапанов обратных муфтовых диаметром до 20 мм</t>
  </si>
  <si>
    <t>4 маш/часа</t>
  </si>
  <si>
    <t>2 раза</t>
  </si>
  <si>
    <t>2 м/часа</t>
  </si>
  <si>
    <t>за период с 01.01.2020 г. по 31.01.2020 г.</t>
  </si>
  <si>
    <t>Регулировка время отключения уличного освещения</t>
  </si>
  <si>
    <t>2. Всего за период с 01.01.2020 по 31.01.2020 выполнено работ (оказано услуг) на общую сумму: 54215,00 руб.</t>
  </si>
  <si>
    <t>(пятьдесят четыре тысячи двести пятнадцать рублей 00 копеек)</t>
  </si>
  <si>
    <t>за период с 01.02.2020 г. по 28.02.2020 г.</t>
  </si>
  <si>
    <t>10,18,21 февраля</t>
  </si>
  <si>
    <t>2 м/час</t>
  </si>
  <si>
    <t>2. Всего за период с 01.02.2020 по 29.02.2020 выполнено работ (оказано услуг) на общую сумму: 58230,09  руб.</t>
  </si>
  <si>
    <t>( пятьдесят восемь тысяч двести тридцать рублей 09 копеек)</t>
  </si>
  <si>
    <t>за период с 01.03.2020 г. по 31.03.2020 г.</t>
  </si>
  <si>
    <t>3,13,19 марта</t>
  </si>
  <si>
    <t>25 марта</t>
  </si>
  <si>
    <t>кв.32 ГВС</t>
  </si>
  <si>
    <t>2. Всего за период с 01.03.2020 по 31.03.2020 выполнено работ (оказано услуг) на общую сумму: 52730,09 руб.</t>
  </si>
  <si>
    <t>(пятьдесят две тысячи семьсот тридцать рублей 09 копеек )</t>
  </si>
  <si>
    <t>за период с 01.04.2020 г. по 30.04.2020 г.</t>
  </si>
  <si>
    <t>Смена внутренних трубопроводов на полипропиленовыетрубы  PN 25 Dу 25</t>
  </si>
  <si>
    <t>Перекрыли вентиль</t>
  </si>
  <si>
    <t>Смена внутренних трубопроводов  диаметром до 32 мм *5.4</t>
  </si>
  <si>
    <t>1 м</t>
  </si>
  <si>
    <t>Смена арматуры - вентилей и клапанов обратных муфтовых диаметром до 32 мм</t>
  </si>
  <si>
    <t>подвал 1 шт.</t>
  </si>
  <si>
    <t>подвал 0,5 м</t>
  </si>
  <si>
    <t>кв.35 п/с</t>
  </si>
  <si>
    <t>Замена счетчика ХВС ВСКМ 90-32 № 139101238</t>
  </si>
  <si>
    <t>р/у</t>
  </si>
  <si>
    <t>за период с 01.05.2020 г. по 31.05.2020 г.</t>
  </si>
  <si>
    <t>1 час</t>
  </si>
  <si>
    <t>за период с 01.06.2020 г. по 30.06.2020 г.</t>
  </si>
  <si>
    <t xml:space="preserve">1 раз     </t>
  </si>
  <si>
    <t xml:space="preserve">1 раз      </t>
  </si>
  <si>
    <t xml:space="preserve">1 раз    </t>
  </si>
  <si>
    <t xml:space="preserve">1 раз  </t>
  </si>
  <si>
    <t>Ревизия сбросника</t>
  </si>
  <si>
    <t>10 м</t>
  </si>
  <si>
    <t>Демонтаж кирпичной кладки</t>
  </si>
  <si>
    <t>ГВС подвал-1 шт</t>
  </si>
  <si>
    <t>ГВС подвал-0,5 м</t>
  </si>
  <si>
    <t>ГВС кв.47</t>
  </si>
  <si>
    <t>ГВС подвал</t>
  </si>
  <si>
    <t>кв.24 0,5м с/о</t>
  </si>
  <si>
    <t>4,5 м2</t>
  </si>
  <si>
    <t>3 шт</t>
  </si>
  <si>
    <t>кв.47-0,5 м2; кв.51-0,5 м2</t>
  </si>
  <si>
    <t>за период с 01.07.2020 г. по 31.07.2020 г.</t>
  </si>
  <si>
    <t xml:space="preserve">Осмотр водопроводов, канализации, отопления </t>
  </si>
  <si>
    <t>Очиста каналицазионной сети внутренней</t>
  </si>
  <si>
    <t>Работа ротенбергера</t>
  </si>
  <si>
    <t>час</t>
  </si>
  <si>
    <t>2 шт подвал</t>
  </si>
  <si>
    <t>за период с 01.08.2020 г. по 31.08.2020 г.</t>
  </si>
  <si>
    <t>за период с 01.09.2020 г. по 30.09.2020 г.</t>
  </si>
  <si>
    <t>п/с кв.20 - 1 м</t>
  </si>
  <si>
    <t>2 шт п/с кв.20</t>
  </si>
  <si>
    <t>1 шт. п/с кв.20</t>
  </si>
  <si>
    <t>п/с кв.20-1 шт; п/с кв.47- 1 шт</t>
  </si>
  <si>
    <t>2. Всего за период с 01.09.2020 по 30.09.2020 выполнено работ (оказано услуг) на общую сумму: 77748,43 руб.</t>
  </si>
  <si>
    <t>(семьдесят семь тысяч семьсот сорок восемь рублей 43 копейки)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</si>
  <si>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</si>
  <si>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ул.Строительная,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14.02.2018г. стороны,  и ООО «Движение»,  именуемое в дальнейшем "Исполнитель",  в лице генерального директора Кочановой Ирины Леонидовна,  действующего на основании Устава,  с другой стороны, совместно именуемые "Стороны",  составили настоящий Акт о нижеследующем:</t>
    </r>
  </si>
  <si>
    <t>Устройство отливов на козырьках ( примыкание к сене)</t>
  </si>
  <si>
    <t>Ремонт кладки стен отдельными местами кирпичной</t>
  </si>
  <si>
    <t>1 мЗ</t>
  </si>
  <si>
    <t>Оштукатуривание наружной стены под отливы</t>
  </si>
  <si>
    <t>Регулировка освещения над подъездами</t>
  </si>
  <si>
    <t>кв.35, 0,5 м2</t>
  </si>
  <si>
    <t>под.№ 1, 2, 3, 4</t>
  </si>
  <si>
    <t>чердак 0,03 м3</t>
  </si>
  <si>
    <t>под.№1, 2, 3, 4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</si>
  <si>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</si>
  <si>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</si>
  <si>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 пгт.Ярега, ул.Строительная,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14.02.2018г.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совместно именуемые "Стороны",  составили настоящий Акт о нижеследующем:</t>
    </r>
  </si>
  <si>
    <t>Смена арматуры - вентилей и клапанов обратных муфтовых диаметром до 20 мм( без материалов)</t>
  </si>
  <si>
    <t>Замена тройника</t>
  </si>
  <si>
    <t>1 сгон</t>
  </si>
  <si>
    <t>Смена профнастила на козырьке под.№2</t>
  </si>
  <si>
    <t>руб</t>
  </si>
  <si>
    <t>кв.14 п/с 1 шт.</t>
  </si>
  <si>
    <t xml:space="preserve">ГВС подвал 1 шт. </t>
  </si>
  <si>
    <t>2. Всего за период с 01.11.2020 по 30.11.2020 выполнено работ (оказано услуг) на общую сумму: 70648,28 руб.</t>
  </si>
  <si>
    <t>(семьдесят тысяч шестьсот сорок восемь рублей 28 копеек)</t>
  </si>
  <si>
    <t>за период с 01.12.2020 г. по 31.12.2020 г.</t>
  </si>
  <si>
    <t>0,8 ч ( 18 и 21 дек)</t>
  </si>
  <si>
    <t>Смена внутренних трубопроводов на полипропиленовыетрубы  PN 25 Dу 20</t>
  </si>
  <si>
    <t>Ремонт штукатурки внутренних стен по камню и бетону цементно-известковым раствором площадью до 1 м2 толщиной слоя до 20 мм</t>
  </si>
  <si>
    <t>кв.4 -0,02 м3; под.1-0,01 м3</t>
  </si>
  <si>
    <t>кв.4 -0,25 м2; под.1-0,5 м2</t>
  </si>
  <si>
    <t>1 шт. кв.43-п/с;1 шт. ГВС подвал</t>
  </si>
  <si>
    <t>1 шт. ГВС подвал</t>
  </si>
  <si>
    <t>0,5 м ГВС кв.4</t>
  </si>
  <si>
    <t>2. Всего за период с 01.12.2020 по 31.12.2020 выполнено работ (оказано услуг) на общую сумму: 61564,91 руб.</t>
  </si>
  <si>
    <t>(шестьдесят одна тысяча пятьсот шестьдесят четыре рубля 91 копейка)</t>
  </si>
  <si>
    <t>2. Всего за период с 01.04.2020 по 30.04.2020 выполнено работ (оказано услуг) на общую сумму: 61157,58 руб.</t>
  </si>
  <si>
    <t>(шестьдесят одна тысяча сто пятьдесят семь рублей 58 копеек</t>
  </si>
  <si>
    <t>2. Всего за период с 01.05.2020 по 31.05.2020 выполнено работ (оказано услуг) на общую сумму: 66013,36 руб.</t>
  </si>
  <si>
    <t>(шестьдесят шесть тысяч тринадцать рублей 36 копеек)</t>
  </si>
  <si>
    <t>Ремонт разделки к оголовку</t>
  </si>
  <si>
    <t>2. Всего за период с 01.06.2020 по 30.06.2020 выполнено работ (оказано услуг) на общую сумму: 73730,12 руб.</t>
  </si>
  <si>
    <t>(емьдесят три тысячи семьсот тридцать рублей 12 копеек)</t>
  </si>
  <si>
    <t>12 м</t>
  </si>
  <si>
    <t>2. Всего за период с 01.07.2020 по 31.07.2020 выполнено работ (оказано услуг) на общую сумму: 158463,07 руб.</t>
  </si>
  <si>
    <t>(сто пятьдесят восемь тысяч четыреста шестьдесят три рубля 07 копеек)</t>
  </si>
  <si>
    <t>2. Всего за период с 01.08.2020 по 31.08.2020 выполнено работ (оказано услуг) на общую сумму: 47806,90 руб.</t>
  </si>
  <si>
    <t>(сорок семь тысяч восемьсот шесть рублей 90 копеек)</t>
  </si>
  <si>
    <t>2. Всего за период с 01.10.2020 по 31.10.2020 выполнено работ (оказано услуг) на общую сумму: 60804,37 руб.</t>
  </si>
  <si>
    <t>(шестьдесят тысяч восемьсот четыре рубля 37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</si>
</sst>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4" fontId="11" fillId="2" borderId="1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opLeftCell="A61" workbookViewId="0">
      <selection activeCell="B87" sqref="B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166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8" t="s">
        <v>132</v>
      </c>
      <c r="B3" s="218"/>
      <c r="C3" s="218"/>
      <c r="D3" s="218"/>
      <c r="E3" s="218"/>
      <c r="F3" s="218"/>
      <c r="G3" s="218"/>
      <c r="H3" s="218"/>
      <c r="I3" s="218"/>
      <c r="J3" s="3"/>
      <c r="K3" s="3"/>
      <c r="L3" s="3"/>
    </row>
    <row r="4" spans="1:13" ht="31.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13" ht="15.75">
      <c r="A5" s="218" t="s">
        <v>202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33">
        <v>43861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  <c r="J14" s="8"/>
      <c r="K14" s="8"/>
      <c r="L14" s="8"/>
      <c r="M14" s="8"/>
    </row>
    <row r="15" spans="1:13" ht="15.75" customHeight="1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  <c r="J15" s="8"/>
      <c r="K15" s="8"/>
      <c r="L15" s="8"/>
      <c r="M15" s="8"/>
    </row>
    <row r="16" spans="1:13" ht="15.7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70">
        <f t="shared" ref="H16:H25" si="0">SUM(F16*G16/1000)</f>
        <v>24.628031999999994</v>
      </c>
      <c r="I16" s="13">
        <f>F16/12*G16</f>
        <v>2052.3359999999998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70">
        <f t="shared" si="0"/>
        <v>65.674751999999998</v>
      </c>
      <c r="I17" s="13">
        <f>F17/12*G17</f>
        <v>5472.8959999999997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70">
        <f t="shared" si="0"/>
        <v>54.500688000000004</v>
      </c>
      <c r="I18" s="13">
        <f>F18/12*G18</f>
        <v>4541.7240000000002</v>
      </c>
      <c r="J18" s="25"/>
      <c r="K18" s="8"/>
      <c r="L18" s="8"/>
      <c r="M18" s="8"/>
    </row>
    <row r="19" spans="1:13" ht="15.75" hidden="1" customHeight="1">
      <c r="A19" s="32"/>
      <c r="B19" s="66" t="s">
        <v>91</v>
      </c>
      <c r="C19" s="67" t="s">
        <v>92</v>
      </c>
      <c r="D19" s="66" t="s">
        <v>93</v>
      </c>
      <c r="E19" s="68">
        <v>28.16</v>
      </c>
      <c r="F19" s="69">
        <f>SUM(E19/10)</f>
        <v>2.8159999999999998</v>
      </c>
      <c r="G19" s="69">
        <v>170.16</v>
      </c>
      <c r="H19" s="70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70">
        <f t="shared" si="0"/>
        <v>0.49927919999999998</v>
      </c>
      <c r="I20" s="13">
        <f>F20/12*G20</f>
        <v>41.606599999999993</v>
      </c>
      <c r="J20" s="25"/>
      <c r="K20" s="8"/>
      <c r="L20" s="8"/>
      <c r="M20" s="8"/>
    </row>
    <row r="21" spans="1:13" ht="15.75" hidden="1" customHeight="1">
      <c r="A21" s="32">
        <v>5</v>
      </c>
      <c r="B21" s="66" t="s">
        <v>95</v>
      </c>
      <c r="C21" s="67" t="s">
        <v>84</v>
      </c>
      <c r="D21" s="66" t="s">
        <v>30</v>
      </c>
      <c r="E21" s="68">
        <v>3.6</v>
      </c>
      <c r="F21" s="69">
        <f>SUM(E21*12/100)</f>
        <v>0.43200000000000005</v>
      </c>
      <c r="G21" s="69">
        <v>216.12</v>
      </c>
      <c r="H21" s="70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66" t="s">
        <v>96</v>
      </c>
      <c r="C22" s="67" t="s">
        <v>53</v>
      </c>
      <c r="D22" s="66" t="s">
        <v>93</v>
      </c>
      <c r="E22" s="68">
        <v>357</v>
      </c>
      <c r="F22" s="69">
        <f>SUM(E22/100)</f>
        <v>3.57</v>
      </c>
      <c r="G22" s="69">
        <v>269.26</v>
      </c>
      <c r="H22" s="70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66" t="s">
        <v>97</v>
      </c>
      <c r="C23" s="67" t="s">
        <v>53</v>
      </c>
      <c r="D23" s="66" t="s">
        <v>93</v>
      </c>
      <c r="E23" s="71">
        <v>48.3</v>
      </c>
      <c r="F23" s="69">
        <f>SUM(E23/100)</f>
        <v>0.48299999999999998</v>
      </c>
      <c r="G23" s="69">
        <v>44.29</v>
      </c>
      <c r="H23" s="70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66" t="s">
        <v>98</v>
      </c>
      <c r="C24" s="67" t="s">
        <v>53</v>
      </c>
      <c r="D24" s="66" t="s">
        <v>122</v>
      </c>
      <c r="E24" s="68">
        <v>20</v>
      </c>
      <c r="F24" s="69">
        <f>E24/100</f>
        <v>0.2</v>
      </c>
      <c r="G24" s="69">
        <v>389.72</v>
      </c>
      <c r="H24" s="70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66" t="s">
        <v>99</v>
      </c>
      <c r="C25" s="67" t="s">
        <v>53</v>
      </c>
      <c r="D25" s="66" t="s">
        <v>93</v>
      </c>
      <c r="E25" s="68">
        <v>8.5</v>
      </c>
      <c r="F25" s="69">
        <f>SUM(E25/100)</f>
        <v>8.5000000000000006E-2</v>
      </c>
      <c r="G25" s="69">
        <v>520.79999999999995</v>
      </c>
      <c r="H25" s="70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5</v>
      </c>
      <c r="B26" s="104" t="s">
        <v>178</v>
      </c>
      <c r="C26" s="105" t="s">
        <v>25</v>
      </c>
      <c r="D26" s="104" t="s">
        <v>187</v>
      </c>
      <c r="E26" s="115">
        <v>3.31</v>
      </c>
      <c r="F26" s="107">
        <f>E26*258</f>
        <v>853.98</v>
      </c>
      <c r="G26" s="107">
        <v>10.39</v>
      </c>
      <c r="H26" s="70">
        <f>SUM(F26*G26/1000)</f>
        <v>8.8728522000000005</v>
      </c>
      <c r="I26" s="13">
        <f>F26/12*G26</f>
        <v>739.40435000000014</v>
      </c>
      <c r="J26" s="26"/>
    </row>
    <row r="27" spans="1:13" ht="15.75" customHeight="1">
      <c r="A27" s="223" t="s">
        <v>82</v>
      </c>
      <c r="B27" s="223"/>
      <c r="C27" s="223"/>
      <c r="D27" s="223"/>
      <c r="E27" s="223"/>
      <c r="F27" s="223"/>
      <c r="G27" s="223"/>
      <c r="H27" s="223"/>
      <c r="I27" s="223"/>
      <c r="J27" s="25"/>
      <c r="K27" s="8"/>
      <c r="L27" s="8"/>
      <c r="M27" s="8"/>
    </row>
    <row r="28" spans="1:13" ht="15.75" hidden="1" customHeight="1">
      <c r="A28" s="32"/>
      <c r="B28" s="86" t="s">
        <v>28</v>
      </c>
      <c r="C28" s="67"/>
      <c r="D28" s="66"/>
      <c r="E28" s="68"/>
      <c r="F28" s="69"/>
      <c r="G28" s="69"/>
      <c r="H28" s="70"/>
      <c r="I28" s="13"/>
      <c r="J28" s="25"/>
      <c r="K28" s="8"/>
      <c r="L28" s="8"/>
      <c r="M28" s="8"/>
    </row>
    <row r="29" spans="1:13" ht="31.5" hidden="1" customHeight="1">
      <c r="A29" s="32">
        <v>8</v>
      </c>
      <c r="B29" s="66" t="s">
        <v>103</v>
      </c>
      <c r="C29" s="67" t="s">
        <v>86</v>
      </c>
      <c r="D29" s="66" t="s">
        <v>100</v>
      </c>
      <c r="E29" s="69">
        <v>667.1</v>
      </c>
      <c r="F29" s="69">
        <f>SUM(E29*52/1000)</f>
        <v>34.689200000000007</v>
      </c>
      <c r="G29" s="69">
        <v>155.88999999999999</v>
      </c>
      <c r="H29" s="70">
        <f t="shared" ref="H29:H35" si="1">SUM(F29*G29/1000)</f>
        <v>5.4076993880000011</v>
      </c>
      <c r="I29" s="13">
        <f t="shared" ref="I29:I33" si="2">F29/6*G29</f>
        <v>901.28323133333345</v>
      </c>
      <c r="J29" s="25"/>
      <c r="K29" s="8"/>
      <c r="L29" s="8"/>
      <c r="M29" s="8"/>
    </row>
    <row r="30" spans="1:13" ht="31.5" hidden="1" customHeight="1">
      <c r="A30" s="32">
        <v>9</v>
      </c>
      <c r="B30" s="66" t="s">
        <v>115</v>
      </c>
      <c r="C30" s="67" t="s">
        <v>86</v>
      </c>
      <c r="D30" s="66" t="s">
        <v>101</v>
      </c>
      <c r="E30" s="69">
        <v>457.48</v>
      </c>
      <c r="F30" s="69">
        <f>SUM(E30*78/1000)</f>
        <v>35.683440000000004</v>
      </c>
      <c r="G30" s="69">
        <v>258.63</v>
      </c>
      <c r="H30" s="70">
        <f t="shared" si="1"/>
        <v>9.2288080872000009</v>
      </c>
      <c r="I30" s="13">
        <f t="shared" si="2"/>
        <v>1538.1346812000002</v>
      </c>
      <c r="J30" s="25"/>
      <c r="K30" s="8"/>
      <c r="L30" s="8"/>
      <c r="M30" s="8"/>
    </row>
    <row r="31" spans="1:13" ht="15.75" hidden="1" customHeight="1">
      <c r="A31" s="32"/>
      <c r="B31" s="66" t="s">
        <v>27</v>
      </c>
      <c r="C31" s="67" t="s">
        <v>86</v>
      </c>
      <c r="D31" s="66" t="s">
        <v>54</v>
      </c>
      <c r="E31" s="69">
        <v>667.1</v>
      </c>
      <c r="F31" s="69">
        <f>SUM(E31/1000)</f>
        <v>0.66710000000000003</v>
      </c>
      <c r="G31" s="69">
        <v>3020.33</v>
      </c>
      <c r="H31" s="70">
        <f t="shared" si="1"/>
        <v>2.0148621430000002</v>
      </c>
      <c r="I31" s="13">
        <f>F31*G31</f>
        <v>2014.8621430000001</v>
      </c>
      <c r="J31" s="25"/>
      <c r="K31" s="8"/>
      <c r="L31" s="8"/>
      <c r="M31" s="8"/>
    </row>
    <row r="32" spans="1:13" ht="15.75" hidden="1" customHeight="1">
      <c r="A32" s="32">
        <v>10</v>
      </c>
      <c r="B32" s="66" t="s">
        <v>120</v>
      </c>
      <c r="C32" s="67" t="s">
        <v>41</v>
      </c>
      <c r="D32" s="66" t="s">
        <v>63</v>
      </c>
      <c r="E32" s="69">
        <v>1</v>
      </c>
      <c r="F32" s="69">
        <v>1.55</v>
      </c>
      <c r="G32" s="69">
        <v>1302.02</v>
      </c>
      <c r="H32" s="70">
        <f>G32*F32/1000</f>
        <v>2.0181309999999999</v>
      </c>
      <c r="I32" s="13">
        <f t="shared" si="2"/>
        <v>336.35516666666672</v>
      </c>
      <c r="J32" s="25"/>
      <c r="K32" s="8"/>
      <c r="L32" s="8"/>
      <c r="M32" s="8"/>
    </row>
    <row r="33" spans="1:14" ht="15.75" hidden="1" customHeight="1">
      <c r="A33" s="32">
        <v>11</v>
      </c>
      <c r="B33" s="66" t="s">
        <v>102</v>
      </c>
      <c r="C33" s="67" t="s">
        <v>31</v>
      </c>
      <c r="D33" s="66" t="s">
        <v>63</v>
      </c>
      <c r="E33" s="73">
        <v>0.33333333333333331</v>
      </c>
      <c r="F33" s="69">
        <f>155/3</f>
        <v>51.666666666666664</v>
      </c>
      <c r="G33" s="69">
        <v>56.69</v>
      </c>
      <c r="H33" s="70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66" t="s">
        <v>64</v>
      </c>
      <c r="C34" s="67" t="s">
        <v>33</v>
      </c>
      <c r="D34" s="66" t="s">
        <v>66</v>
      </c>
      <c r="E34" s="68"/>
      <c r="F34" s="69">
        <v>3</v>
      </c>
      <c r="G34" s="69">
        <v>191.32</v>
      </c>
      <c r="H34" s="70">
        <f t="shared" si="1"/>
        <v>0.57396000000000003</v>
      </c>
      <c r="I34" s="13">
        <v>0</v>
      </c>
      <c r="J34" s="26"/>
    </row>
    <row r="35" spans="1:14" ht="15.75" hidden="1" customHeight="1">
      <c r="A35" s="32"/>
      <c r="B35" s="66" t="s">
        <v>65</v>
      </c>
      <c r="C35" s="67" t="s">
        <v>32</v>
      </c>
      <c r="D35" s="66" t="s">
        <v>66</v>
      </c>
      <c r="E35" s="68"/>
      <c r="F35" s="69">
        <v>2</v>
      </c>
      <c r="G35" s="69">
        <v>1136.33</v>
      </c>
      <c r="H35" s="70">
        <f t="shared" si="1"/>
        <v>2.2726599999999997</v>
      </c>
      <c r="I35" s="13">
        <v>0</v>
      </c>
      <c r="J35" s="26"/>
    </row>
    <row r="36" spans="1:14" ht="15.75" customHeight="1">
      <c r="A36" s="32"/>
      <c r="B36" s="86" t="s">
        <v>5</v>
      </c>
      <c r="C36" s="67"/>
      <c r="D36" s="66"/>
      <c r="E36" s="68"/>
      <c r="F36" s="69"/>
      <c r="G36" s="69"/>
      <c r="H36" s="70" t="s">
        <v>119</v>
      </c>
      <c r="I36" s="13"/>
      <c r="J36" s="26"/>
    </row>
    <row r="37" spans="1:14" ht="15.75" customHeight="1">
      <c r="A37" s="32">
        <v>6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70">
        <f t="shared" ref="H37:H42" si="3">SUM(F37*G37/1000)</f>
        <v>10.414999999999999</v>
      </c>
      <c r="I37" s="13">
        <f>G37*0.4</f>
        <v>833.2</v>
      </c>
      <c r="J37" s="26"/>
    </row>
    <row r="38" spans="1:14" ht="15.75" customHeight="1">
      <c r="A38" s="32">
        <v>7</v>
      </c>
      <c r="B38" s="118" t="s">
        <v>104</v>
      </c>
      <c r="C38" s="119" t="s">
        <v>29</v>
      </c>
      <c r="D38" s="104" t="s">
        <v>183</v>
      </c>
      <c r="E38" s="106">
        <v>107.4</v>
      </c>
      <c r="F38" s="120">
        <f>E38*30/1000</f>
        <v>3.222</v>
      </c>
      <c r="G38" s="107">
        <v>2868.09</v>
      </c>
      <c r="H38" s="70">
        <f t="shared" si="3"/>
        <v>9.2409859800000014</v>
      </c>
      <c r="I38" s="13">
        <f t="shared" ref="I38:I40" si="4">F38/6*G38</f>
        <v>1540.1643300000001</v>
      </c>
      <c r="J38" s="26"/>
      <c r="L38" s="19"/>
      <c r="M38" s="20"/>
      <c r="N38" s="21"/>
    </row>
    <row r="39" spans="1:14" ht="15.75" customHeight="1">
      <c r="A39" s="32">
        <v>8</v>
      </c>
      <c r="B39" s="104" t="s">
        <v>67</v>
      </c>
      <c r="C39" s="105" t="s">
        <v>29</v>
      </c>
      <c r="D39" s="104" t="s">
        <v>188</v>
      </c>
      <c r="E39" s="107">
        <v>107.4</v>
      </c>
      <c r="F39" s="120">
        <f>SUM(E39*155/1000)</f>
        <v>16.646999999999998</v>
      </c>
      <c r="G39" s="107">
        <v>478.42</v>
      </c>
      <c r="H39" s="70">
        <f t="shared" si="3"/>
        <v>7.964257739999999</v>
      </c>
      <c r="I39" s="13">
        <f t="shared" si="4"/>
        <v>1327.3762899999999</v>
      </c>
      <c r="J39" s="26"/>
      <c r="L39" s="19"/>
      <c r="M39" s="20"/>
      <c r="N39" s="21"/>
    </row>
    <row r="40" spans="1:14" ht="48" customHeight="1">
      <c r="A40" s="32">
        <v>9</v>
      </c>
      <c r="B40" s="104" t="s">
        <v>80</v>
      </c>
      <c r="C40" s="105" t="s">
        <v>86</v>
      </c>
      <c r="D40" s="104" t="s">
        <v>184</v>
      </c>
      <c r="E40" s="107">
        <v>52.8</v>
      </c>
      <c r="F40" s="120">
        <f>SUM(E40*35/1000)</f>
        <v>1.8480000000000001</v>
      </c>
      <c r="G40" s="107">
        <v>7915.6</v>
      </c>
      <c r="H40" s="70">
        <f t="shared" si="3"/>
        <v>14.628028800000003</v>
      </c>
      <c r="I40" s="13">
        <f t="shared" si="4"/>
        <v>2438.0048000000002</v>
      </c>
      <c r="J40" s="26"/>
      <c r="L40" s="19"/>
      <c r="M40" s="20"/>
      <c r="N40" s="21"/>
    </row>
    <row r="41" spans="1:14" ht="15.75" hidden="1" customHeight="1">
      <c r="A41" s="32">
        <v>10</v>
      </c>
      <c r="B41" s="104" t="s">
        <v>87</v>
      </c>
      <c r="C41" s="105" t="s">
        <v>86</v>
      </c>
      <c r="D41" s="104" t="s">
        <v>185</v>
      </c>
      <c r="E41" s="107">
        <v>107.4</v>
      </c>
      <c r="F41" s="120">
        <f>SUM(E41*45/1000)</f>
        <v>4.8330000000000002</v>
      </c>
      <c r="G41" s="107">
        <v>584.74</v>
      </c>
      <c r="H41" s="70">
        <f t="shared" si="3"/>
        <v>2.8260484200000002</v>
      </c>
      <c r="I41" s="13">
        <f>F41/7.5*G41</f>
        <v>376.80645599999997</v>
      </c>
      <c r="J41" s="26"/>
      <c r="L41" s="19"/>
      <c r="M41" s="20"/>
      <c r="N41" s="21"/>
    </row>
    <row r="42" spans="1:14" ht="15.75" hidden="1" customHeight="1">
      <c r="A42" s="160">
        <v>11</v>
      </c>
      <c r="B42" s="118" t="s">
        <v>69</v>
      </c>
      <c r="C42" s="119" t="s">
        <v>33</v>
      </c>
      <c r="D42" s="118"/>
      <c r="E42" s="116"/>
      <c r="F42" s="120">
        <v>0.9</v>
      </c>
      <c r="G42" s="120">
        <v>800</v>
      </c>
      <c r="H42" s="78">
        <f t="shared" si="3"/>
        <v>0.72</v>
      </c>
      <c r="I42" s="85">
        <f>F42/7.5*G42</f>
        <v>96.000000000000014</v>
      </c>
      <c r="J42" s="26"/>
      <c r="L42" s="19"/>
      <c r="M42" s="20"/>
      <c r="N42" s="21"/>
    </row>
    <row r="43" spans="1:14" ht="31.5" customHeight="1">
      <c r="A43" s="32">
        <v>10</v>
      </c>
      <c r="B43" s="121" t="s">
        <v>147</v>
      </c>
      <c r="C43" s="122" t="s">
        <v>29</v>
      </c>
      <c r="D43" s="118" t="s">
        <v>181</v>
      </c>
      <c r="E43" s="116">
        <v>4.2</v>
      </c>
      <c r="F43" s="120">
        <f>SUM(E43*12/1000)</f>
        <v>5.0400000000000007E-2</v>
      </c>
      <c r="G43" s="12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.75" customHeight="1">
      <c r="A44" s="224" t="s">
        <v>128</v>
      </c>
      <c r="B44" s="225"/>
      <c r="C44" s="225"/>
      <c r="D44" s="225"/>
      <c r="E44" s="225"/>
      <c r="F44" s="225"/>
      <c r="G44" s="225"/>
      <c r="H44" s="225"/>
      <c r="I44" s="226"/>
      <c r="J44" s="26"/>
      <c r="L44" s="19"/>
      <c r="M44" s="20"/>
      <c r="N44" s="21"/>
    </row>
    <row r="45" spans="1:14" ht="15.75" hidden="1" customHeight="1">
      <c r="A45" s="32"/>
      <c r="B45" s="66" t="s">
        <v>123</v>
      </c>
      <c r="C45" s="67" t="s">
        <v>86</v>
      </c>
      <c r="D45" s="66" t="s">
        <v>43</v>
      </c>
      <c r="E45" s="68">
        <v>1197.75</v>
      </c>
      <c r="F45" s="69">
        <f>SUM(E45*2/1000)</f>
        <v>2.3955000000000002</v>
      </c>
      <c r="G45" s="13">
        <v>809.74</v>
      </c>
      <c r="H45" s="70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6" t="s">
        <v>36</v>
      </c>
      <c r="C46" s="67" t="s">
        <v>86</v>
      </c>
      <c r="D46" s="66" t="s">
        <v>43</v>
      </c>
      <c r="E46" s="68">
        <v>52</v>
      </c>
      <c r="F46" s="69">
        <f>E46*2/1000</f>
        <v>0.104</v>
      </c>
      <c r="G46" s="13">
        <v>457.4</v>
      </c>
      <c r="H46" s="70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6" t="s">
        <v>37</v>
      </c>
      <c r="C47" s="67" t="s">
        <v>86</v>
      </c>
      <c r="D47" s="66" t="s">
        <v>43</v>
      </c>
      <c r="E47" s="68">
        <v>1056.5999999999999</v>
      </c>
      <c r="F47" s="69">
        <f>SUM(E47*2/1000)</f>
        <v>2.1132</v>
      </c>
      <c r="G47" s="13">
        <v>579.48</v>
      </c>
      <c r="H47" s="70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6" t="s">
        <v>38</v>
      </c>
      <c r="C48" s="67" t="s">
        <v>86</v>
      </c>
      <c r="D48" s="66" t="s">
        <v>43</v>
      </c>
      <c r="E48" s="68">
        <v>2582</v>
      </c>
      <c r="F48" s="69">
        <f>SUM(E48*2/1000)</f>
        <v>5.1639999999999997</v>
      </c>
      <c r="G48" s="13">
        <v>606.77</v>
      </c>
      <c r="H48" s="70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6" t="s">
        <v>34</v>
      </c>
      <c r="C49" s="67" t="s">
        <v>35</v>
      </c>
      <c r="D49" s="66" t="s">
        <v>43</v>
      </c>
      <c r="E49" s="68">
        <v>1676.85</v>
      </c>
      <c r="F49" s="69">
        <f>SUM(E49*2/100)</f>
        <v>33.536999999999999</v>
      </c>
      <c r="G49" s="13">
        <v>72.81</v>
      </c>
      <c r="H49" s="70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11</v>
      </c>
      <c r="B50" s="104" t="s">
        <v>56</v>
      </c>
      <c r="C50" s="105" t="s">
        <v>86</v>
      </c>
      <c r="D50" s="104" t="s">
        <v>186</v>
      </c>
      <c r="E50" s="106">
        <v>1916.4</v>
      </c>
      <c r="F50" s="107">
        <f>SUM(E50*5/1000)</f>
        <v>9.5820000000000007</v>
      </c>
      <c r="G50" s="36">
        <v>1655.27</v>
      </c>
      <c r="H50" s="70">
        <f t="shared" si="5"/>
        <v>15.860797140000001</v>
      </c>
      <c r="I50" s="13">
        <f>F50/5*G50</f>
        <v>3172.1594279999999</v>
      </c>
      <c r="J50" s="26"/>
      <c r="L50" s="19"/>
      <c r="M50" s="20"/>
      <c r="N50" s="21"/>
    </row>
    <row r="51" spans="1:22" ht="31.5" hidden="1" customHeight="1">
      <c r="A51" s="32"/>
      <c r="B51" s="66" t="s">
        <v>88</v>
      </c>
      <c r="C51" s="67" t="s">
        <v>86</v>
      </c>
      <c r="D51" s="66" t="s">
        <v>43</v>
      </c>
      <c r="E51" s="68">
        <v>1916.4</v>
      </c>
      <c r="F51" s="69">
        <f>SUM(E51*2/1000)</f>
        <v>3.8328000000000002</v>
      </c>
      <c r="G51" s="13">
        <v>1213.55</v>
      </c>
      <c r="H51" s="70">
        <f t="shared" si="5"/>
        <v>4.65129444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66" t="s">
        <v>89</v>
      </c>
      <c r="C52" s="67" t="s">
        <v>39</v>
      </c>
      <c r="D52" s="66" t="s">
        <v>43</v>
      </c>
      <c r="E52" s="68">
        <v>20</v>
      </c>
      <c r="F52" s="69">
        <f>SUM(E52*2/100)</f>
        <v>0.4</v>
      </c>
      <c r="G52" s="13">
        <v>2730.49</v>
      </c>
      <c r="H52" s="70">
        <f t="shared" si="5"/>
        <v>1.0921959999999999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5652.13</v>
      </c>
      <c r="H53" s="70">
        <f t="shared" si="5"/>
        <v>0.11304260000000001</v>
      </c>
      <c r="I53" s="13">
        <v>0</v>
      </c>
      <c r="J53" s="26"/>
      <c r="L53" s="19"/>
      <c r="M53" s="20"/>
      <c r="N53" s="21"/>
    </row>
    <row r="54" spans="1:22" ht="15.75" hidden="1" customHeight="1">
      <c r="A54" s="32">
        <v>15</v>
      </c>
      <c r="B54" s="66" t="s">
        <v>42</v>
      </c>
      <c r="C54" s="67" t="s">
        <v>105</v>
      </c>
      <c r="D54" s="66" t="s">
        <v>70</v>
      </c>
      <c r="E54" s="68">
        <v>120</v>
      </c>
      <c r="F54" s="69">
        <f>SUM(E54)*3</f>
        <v>360</v>
      </c>
      <c r="G54" s="13">
        <v>65.67</v>
      </c>
      <c r="H54" s="70">
        <f t="shared" si="5"/>
        <v>23.641200000000001</v>
      </c>
      <c r="I54" s="13">
        <f>E54*G54</f>
        <v>7880.4000000000005</v>
      </c>
      <c r="J54" s="26"/>
      <c r="L54" s="19"/>
      <c r="M54" s="20"/>
      <c r="N54" s="21"/>
    </row>
    <row r="55" spans="1:22" ht="15.75" customHeight="1">
      <c r="A55" s="224" t="s">
        <v>129</v>
      </c>
      <c r="B55" s="225"/>
      <c r="C55" s="225"/>
      <c r="D55" s="225"/>
      <c r="E55" s="225"/>
      <c r="F55" s="225"/>
      <c r="G55" s="225"/>
      <c r="H55" s="225"/>
      <c r="I55" s="226"/>
      <c r="J55" s="26"/>
      <c r="L55" s="19"/>
      <c r="M55" s="20"/>
      <c r="N55" s="21"/>
    </row>
    <row r="56" spans="1:22" ht="15.75" hidden="1" customHeight="1">
      <c r="A56" s="32"/>
      <c r="B56" s="86" t="s">
        <v>44</v>
      </c>
      <c r="C56" s="67"/>
      <c r="D56" s="66"/>
      <c r="E56" s="68"/>
      <c r="F56" s="69"/>
      <c r="G56" s="69"/>
      <c r="H56" s="70"/>
      <c r="I56" s="13"/>
      <c r="J56" s="26"/>
      <c r="L56" s="19"/>
      <c r="M56" s="20"/>
      <c r="N56" s="21"/>
    </row>
    <row r="57" spans="1:22" ht="31.5" hidden="1" customHeight="1">
      <c r="A57" s="32">
        <v>15</v>
      </c>
      <c r="B57" s="66" t="s">
        <v>118</v>
      </c>
      <c r="C57" s="67" t="s">
        <v>84</v>
      </c>
      <c r="D57" s="173" t="s">
        <v>92</v>
      </c>
      <c r="E57" s="68">
        <v>131.77500000000001</v>
      </c>
      <c r="F57" s="69">
        <f>SUM(E57*6/100)</f>
        <v>7.9065000000000012</v>
      </c>
      <c r="G57" s="13">
        <v>1547.28</v>
      </c>
      <c r="H57" s="70">
        <f>SUM(F57*G57/1000)</f>
        <v>12.233569320000003</v>
      </c>
      <c r="I57" s="13">
        <f>G57*0.1</f>
        <v>154.72800000000001</v>
      </c>
      <c r="J57" s="26"/>
      <c r="L57" s="19"/>
      <c r="M57" s="20"/>
      <c r="N57" s="21"/>
    </row>
    <row r="58" spans="1:22" ht="15.75" customHeight="1">
      <c r="A58" s="32"/>
      <c r="B58" s="87" t="s">
        <v>45</v>
      </c>
      <c r="C58" s="74"/>
      <c r="D58" s="75"/>
      <c r="E58" s="76"/>
      <c r="F58" s="78"/>
      <c r="G58" s="13"/>
      <c r="H58" s="79"/>
      <c r="I58" s="13"/>
      <c r="J58" s="26"/>
      <c r="L58" s="19"/>
      <c r="M58" s="20"/>
      <c r="N58" s="21"/>
    </row>
    <row r="59" spans="1:22" ht="15.75" hidden="1" customHeight="1">
      <c r="A59" s="32"/>
      <c r="B59" s="75" t="s">
        <v>124</v>
      </c>
      <c r="C59" s="74" t="s">
        <v>53</v>
      </c>
      <c r="D59" s="75" t="s">
        <v>54</v>
      </c>
      <c r="E59" s="76">
        <v>890</v>
      </c>
      <c r="F59" s="78">
        <v>8.9</v>
      </c>
      <c r="G59" s="13">
        <v>793.61</v>
      </c>
      <c r="H59" s="79">
        <f>F59*G59/1000</f>
        <v>7.0631290000000009</v>
      </c>
      <c r="I59" s="13">
        <v>0</v>
      </c>
      <c r="J59" s="26"/>
      <c r="L59" s="19"/>
    </row>
    <row r="60" spans="1:22" ht="15.75" hidden="1" customHeight="1">
      <c r="A60" s="32"/>
      <c r="B60" s="75" t="s">
        <v>125</v>
      </c>
      <c r="C60" s="74" t="s">
        <v>53</v>
      </c>
      <c r="D60" s="75" t="s">
        <v>54</v>
      </c>
      <c r="E60" s="76">
        <v>890</v>
      </c>
      <c r="F60" s="78">
        <v>8.9</v>
      </c>
      <c r="G60" s="13">
        <v>793.61</v>
      </c>
      <c r="H60" s="79">
        <f>F60*G60/1000</f>
        <v>7.0631290000000009</v>
      </c>
      <c r="I60" s="13">
        <v>0</v>
      </c>
    </row>
    <row r="61" spans="1:22" ht="15.75" customHeight="1">
      <c r="A61" s="32">
        <v>12</v>
      </c>
      <c r="B61" s="52" t="s">
        <v>116</v>
      </c>
      <c r="C61" s="94" t="s">
        <v>25</v>
      </c>
      <c r="D61" s="52" t="s">
        <v>182</v>
      </c>
      <c r="E61" s="91">
        <v>160</v>
      </c>
      <c r="F61" s="92">
        <f>E61*12</f>
        <v>1920</v>
      </c>
      <c r="G61" s="95">
        <v>1.4</v>
      </c>
      <c r="H61" s="93">
        <f>F61*G61/1000</f>
        <v>2.6880000000000002</v>
      </c>
      <c r="I61" s="13">
        <f>F61/12*G61</f>
        <v>224</v>
      </c>
    </row>
    <row r="62" spans="1:22" ht="15.75" hidden="1" customHeight="1">
      <c r="A62" s="32"/>
      <c r="B62" s="87" t="s">
        <v>46</v>
      </c>
      <c r="C62" s="74"/>
      <c r="D62" s="75"/>
      <c r="E62" s="76"/>
      <c r="F62" s="77"/>
      <c r="G62" s="77"/>
      <c r="H62" s="78" t="s">
        <v>119</v>
      </c>
      <c r="I62" s="13"/>
    </row>
    <row r="63" spans="1:22" ht="15.75" hidden="1" customHeight="1">
      <c r="A63" s="32"/>
      <c r="B63" s="14" t="s">
        <v>47</v>
      </c>
      <c r="C63" s="16" t="s">
        <v>105</v>
      </c>
      <c r="D63" s="14" t="s">
        <v>133</v>
      </c>
      <c r="E63" s="18">
        <v>15</v>
      </c>
      <c r="F63" s="69">
        <v>15</v>
      </c>
      <c r="G63" s="13">
        <v>222.4</v>
      </c>
      <c r="H63" s="80">
        <f t="shared" ref="H63:H79" si="6">SUM(F63*G63/1000)</f>
        <v>3.3359999999999999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4" t="s">
        <v>48</v>
      </c>
      <c r="C64" s="16" t="s">
        <v>105</v>
      </c>
      <c r="D64" s="14" t="s">
        <v>133</v>
      </c>
      <c r="E64" s="18">
        <v>8</v>
      </c>
      <c r="F64" s="69">
        <v>8</v>
      </c>
      <c r="G64" s="13">
        <v>76.25</v>
      </c>
      <c r="H64" s="80">
        <f t="shared" si="6"/>
        <v>0.61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4" t="s">
        <v>49</v>
      </c>
      <c r="C65" s="16" t="s">
        <v>107</v>
      </c>
      <c r="D65" s="14" t="s">
        <v>54</v>
      </c>
      <c r="E65" s="68">
        <v>14220</v>
      </c>
      <c r="F65" s="13">
        <f>SUM(E65/100)</f>
        <v>142.19999999999999</v>
      </c>
      <c r="G65" s="13">
        <v>212.15</v>
      </c>
      <c r="H65" s="80">
        <f t="shared" si="6"/>
        <v>30.167729999999999</v>
      </c>
      <c r="I65" s="13">
        <f>F65*G65</f>
        <v>30167.73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" t="s">
        <v>50</v>
      </c>
      <c r="C66" s="16" t="s">
        <v>108</v>
      </c>
      <c r="D66" s="14"/>
      <c r="E66" s="68">
        <v>14220</v>
      </c>
      <c r="F66" s="13">
        <f>SUM(E66/1000)</f>
        <v>14.22</v>
      </c>
      <c r="G66" s="13">
        <v>165.21</v>
      </c>
      <c r="H66" s="80">
        <f t="shared" si="6"/>
        <v>2.3492861999999999</v>
      </c>
      <c r="I66" s="13">
        <f t="shared" ref="I66:I70" si="7">F66*G66</f>
        <v>2349.2862</v>
      </c>
      <c r="J66" s="5"/>
      <c r="K66" s="5"/>
      <c r="L66" s="5"/>
      <c r="M66" s="5"/>
      <c r="N66" s="5"/>
      <c r="O66" s="5"/>
      <c r="P66" s="5"/>
      <c r="Q66" s="5"/>
      <c r="R66" s="227"/>
      <c r="S66" s="227"/>
      <c r="T66" s="227"/>
      <c r="U66" s="227"/>
    </row>
    <row r="67" spans="1:21" ht="15.75" hidden="1" customHeight="1">
      <c r="A67" s="32"/>
      <c r="B67" s="14" t="s">
        <v>51</v>
      </c>
      <c r="C67" s="16" t="s">
        <v>76</v>
      </c>
      <c r="D67" s="14" t="s">
        <v>54</v>
      </c>
      <c r="E67" s="68">
        <v>2260</v>
      </c>
      <c r="F67" s="13">
        <f>SUM(E67/100)</f>
        <v>22.6</v>
      </c>
      <c r="G67" s="13">
        <v>2074.63</v>
      </c>
      <c r="H67" s="80">
        <f t="shared" si="6"/>
        <v>46.886638000000005</v>
      </c>
      <c r="I67" s="13">
        <f t="shared" si="7"/>
        <v>46886.638000000006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2"/>
      <c r="B68" s="81" t="s">
        <v>109</v>
      </c>
      <c r="C68" s="16" t="s">
        <v>33</v>
      </c>
      <c r="D68" s="14"/>
      <c r="E68" s="68">
        <v>11</v>
      </c>
      <c r="F68" s="13">
        <f>SUM(E68)</f>
        <v>11</v>
      </c>
      <c r="G68" s="13">
        <v>45.32</v>
      </c>
      <c r="H68" s="80">
        <f t="shared" si="6"/>
        <v>0.49851999999999996</v>
      </c>
      <c r="I68" s="13">
        <f t="shared" si="7"/>
        <v>498.52</v>
      </c>
    </row>
    <row r="69" spans="1:21" ht="15.75" hidden="1" customHeight="1">
      <c r="A69" s="32"/>
      <c r="B69" s="81" t="s">
        <v>110</v>
      </c>
      <c r="C69" s="16" t="s">
        <v>33</v>
      </c>
      <c r="D69" s="14"/>
      <c r="E69" s="68">
        <v>11</v>
      </c>
      <c r="F69" s="13">
        <f>SUM(E69)</f>
        <v>11</v>
      </c>
      <c r="G69" s="13">
        <v>42.28</v>
      </c>
      <c r="H69" s="80">
        <f t="shared" si="6"/>
        <v>0.46508000000000005</v>
      </c>
      <c r="I69" s="13">
        <f t="shared" si="7"/>
        <v>465.08000000000004</v>
      </c>
    </row>
    <row r="70" spans="1:21" ht="15.75" hidden="1" customHeight="1">
      <c r="A70" s="32"/>
      <c r="B70" s="14" t="s">
        <v>57</v>
      </c>
      <c r="C70" s="16" t="s">
        <v>58</v>
      </c>
      <c r="D70" s="14" t="s">
        <v>54</v>
      </c>
      <c r="E70" s="18">
        <v>8</v>
      </c>
      <c r="F70" s="69">
        <v>8</v>
      </c>
      <c r="G70" s="13">
        <v>49.88</v>
      </c>
      <c r="H70" s="80">
        <f t="shared" si="6"/>
        <v>0.39904000000000001</v>
      </c>
      <c r="I70" s="13">
        <f t="shared" si="7"/>
        <v>399.04</v>
      </c>
    </row>
    <row r="71" spans="1:21" ht="13.5" customHeight="1">
      <c r="A71" s="32"/>
      <c r="B71" s="199" t="s">
        <v>71</v>
      </c>
      <c r="C71" s="16"/>
      <c r="D71" s="14"/>
      <c r="E71" s="18"/>
      <c r="F71" s="13"/>
      <c r="G71" s="13"/>
      <c r="H71" s="80" t="s">
        <v>119</v>
      </c>
      <c r="I71" s="13"/>
    </row>
    <row r="72" spans="1:21" ht="22.5" hidden="1" customHeight="1">
      <c r="A72" s="32"/>
      <c r="B72" s="14" t="s">
        <v>72</v>
      </c>
      <c r="C72" s="16" t="s">
        <v>74</v>
      </c>
      <c r="D72" s="14"/>
      <c r="E72" s="18">
        <v>2</v>
      </c>
      <c r="F72" s="13">
        <v>0.2</v>
      </c>
      <c r="G72" s="13">
        <v>501.62</v>
      </c>
      <c r="H72" s="80">
        <f t="shared" si="6"/>
        <v>0.10032400000000001</v>
      </c>
      <c r="I72" s="13">
        <v>0</v>
      </c>
    </row>
    <row r="73" spans="1:21" ht="24.75" hidden="1" customHeight="1">
      <c r="A73" s="32"/>
      <c r="B73" s="14" t="s">
        <v>73</v>
      </c>
      <c r="C73" s="16" t="s">
        <v>31</v>
      </c>
      <c r="D73" s="14"/>
      <c r="E73" s="18">
        <v>1</v>
      </c>
      <c r="F73" s="60">
        <v>1</v>
      </c>
      <c r="G73" s="13">
        <v>852.99</v>
      </c>
      <c r="H73" s="80">
        <f>F73*G73/1000</f>
        <v>0.85299000000000003</v>
      </c>
      <c r="I73" s="13">
        <v>0</v>
      </c>
    </row>
    <row r="74" spans="1:21" ht="24" hidden="1" customHeight="1">
      <c r="A74" s="32"/>
      <c r="B74" s="14" t="s">
        <v>112</v>
      </c>
      <c r="C74" s="16" t="s">
        <v>31</v>
      </c>
      <c r="D74" s="14"/>
      <c r="E74" s="18">
        <v>1</v>
      </c>
      <c r="F74" s="13">
        <v>1</v>
      </c>
      <c r="G74" s="13">
        <v>358.51</v>
      </c>
      <c r="H74" s="80">
        <f>G74*F74/1000</f>
        <v>0.35851</v>
      </c>
      <c r="I74" s="13">
        <v>0</v>
      </c>
    </row>
    <row r="75" spans="1:21" ht="29.25" customHeight="1">
      <c r="A75" s="32">
        <v>13</v>
      </c>
      <c r="B75" s="121" t="s">
        <v>155</v>
      </c>
      <c r="C75" s="122" t="s">
        <v>105</v>
      </c>
      <c r="D75" s="38" t="s">
        <v>186</v>
      </c>
      <c r="E75" s="131">
        <v>2</v>
      </c>
      <c r="F75" s="92">
        <f>E75*12</f>
        <v>24</v>
      </c>
      <c r="G75" s="132">
        <v>55.55</v>
      </c>
      <c r="H75" s="80"/>
      <c r="I75" s="13">
        <f>G75*F75/12</f>
        <v>111.09999999999998</v>
      </c>
    </row>
    <row r="76" spans="1:21" ht="16.5" customHeight="1">
      <c r="A76" s="32"/>
      <c r="B76" s="200" t="s">
        <v>156</v>
      </c>
      <c r="C76" s="122"/>
      <c r="D76" s="38"/>
      <c r="E76" s="17"/>
      <c r="F76" s="36"/>
      <c r="G76" s="36"/>
      <c r="H76" s="80"/>
      <c r="I76" s="13"/>
    </row>
    <row r="77" spans="1:21" ht="16.5" customHeight="1">
      <c r="A77" s="32">
        <v>14</v>
      </c>
      <c r="B77" s="38" t="s">
        <v>157</v>
      </c>
      <c r="C77" s="133" t="s">
        <v>158</v>
      </c>
      <c r="D77" s="38"/>
      <c r="E77" s="17">
        <v>3382.7</v>
      </c>
      <c r="F77" s="36">
        <f>SUM(E77*12)</f>
        <v>40592.399999999994</v>
      </c>
      <c r="G77" s="36">
        <v>2.37</v>
      </c>
      <c r="H77" s="80"/>
      <c r="I77" s="13">
        <f>G77*F77/12</f>
        <v>8016.9989999999998</v>
      </c>
    </row>
    <row r="78" spans="1:21" ht="26.25" hidden="1" customHeight="1">
      <c r="A78" s="32"/>
      <c r="B78" s="83" t="s">
        <v>75</v>
      </c>
      <c r="C78" s="16"/>
      <c r="D78" s="14"/>
      <c r="E78" s="18"/>
      <c r="F78" s="13"/>
      <c r="G78" s="13" t="s">
        <v>119</v>
      </c>
      <c r="H78" s="80" t="s">
        <v>119</v>
      </c>
      <c r="I78" s="13"/>
    </row>
    <row r="79" spans="1:21" ht="21.75" hidden="1" customHeight="1">
      <c r="A79" s="32"/>
      <c r="B79" s="46" t="s">
        <v>117</v>
      </c>
      <c r="C79" s="16" t="s">
        <v>76</v>
      </c>
      <c r="D79" s="14"/>
      <c r="E79" s="18"/>
      <c r="F79" s="13">
        <v>0.1</v>
      </c>
      <c r="G79" s="13">
        <v>2759.44</v>
      </c>
      <c r="H79" s="80">
        <f t="shared" si="6"/>
        <v>0.27594400000000002</v>
      </c>
      <c r="I79" s="13">
        <v>0</v>
      </c>
    </row>
    <row r="80" spans="1:21" ht="16.5" hidden="1" customHeight="1">
      <c r="A80" s="32"/>
      <c r="B80" s="90" t="s">
        <v>90</v>
      </c>
      <c r="C80" s="90"/>
      <c r="D80" s="90"/>
      <c r="E80" s="90"/>
      <c r="F80" s="90"/>
      <c r="G80" s="72"/>
      <c r="H80" s="84">
        <f>SUM(H57:H79)</f>
        <v>115.34788952</v>
      </c>
      <c r="I80" s="72"/>
    </row>
    <row r="81" spans="1:9" ht="21" hidden="1" customHeight="1">
      <c r="A81" s="32"/>
      <c r="B81" s="88" t="s">
        <v>111</v>
      </c>
      <c r="C81" s="23"/>
      <c r="D81" s="22"/>
      <c r="E81" s="61"/>
      <c r="F81" s="89">
        <v>1</v>
      </c>
      <c r="G81" s="13">
        <v>10966.5</v>
      </c>
      <c r="H81" s="80">
        <f>G81*F81/1000</f>
        <v>10.9665</v>
      </c>
      <c r="I81" s="13">
        <v>0</v>
      </c>
    </row>
    <row r="82" spans="1:9" ht="15.75" customHeight="1">
      <c r="A82" s="228" t="s">
        <v>130</v>
      </c>
      <c r="B82" s="229"/>
      <c r="C82" s="229"/>
      <c r="D82" s="229"/>
      <c r="E82" s="229"/>
      <c r="F82" s="229"/>
      <c r="G82" s="229"/>
      <c r="H82" s="229"/>
      <c r="I82" s="230"/>
    </row>
    <row r="83" spans="1:9" ht="15.75" customHeight="1">
      <c r="A83" s="32">
        <v>15</v>
      </c>
      <c r="B83" s="104" t="s">
        <v>113</v>
      </c>
      <c r="C83" s="127" t="s">
        <v>55</v>
      </c>
      <c r="D83" s="147"/>
      <c r="E83" s="36">
        <v>3382.7</v>
      </c>
      <c r="F83" s="36">
        <f>SUM(E83*12)</f>
        <v>40592.399999999994</v>
      </c>
      <c r="G83" s="36">
        <v>3.22</v>
      </c>
      <c r="H83" s="80">
        <f>SUM(F83*G83/1000)</f>
        <v>130.707528</v>
      </c>
      <c r="I83" s="13">
        <f>F83/12*G83</f>
        <v>10892.293999999998</v>
      </c>
    </row>
    <row r="84" spans="1:9" ht="31.5" customHeight="1">
      <c r="A84" s="32">
        <v>16</v>
      </c>
      <c r="B84" s="38" t="s">
        <v>77</v>
      </c>
      <c r="C84" s="127"/>
      <c r="D84" s="146"/>
      <c r="E84" s="106">
        <f>E82</f>
        <v>0</v>
      </c>
      <c r="F84" s="36">
        <v>40592.400000000001</v>
      </c>
      <c r="G84" s="36">
        <v>3.64</v>
      </c>
      <c r="H84" s="80">
        <f>F84*G84/1000</f>
        <v>147.756336</v>
      </c>
      <c r="I84" s="13">
        <f>F84/12*G84</f>
        <v>12313.028000000002</v>
      </c>
    </row>
    <row r="85" spans="1:9" ht="15.75" customHeight="1">
      <c r="A85" s="32"/>
      <c r="B85" s="39" t="s">
        <v>79</v>
      </c>
      <c r="C85" s="83"/>
      <c r="D85" s="82"/>
      <c r="E85" s="72"/>
      <c r="F85" s="72"/>
      <c r="G85" s="72"/>
      <c r="H85" s="84">
        <f>H84</f>
        <v>147.756336</v>
      </c>
      <c r="I85" s="72">
        <f>I84+I83+I77+I75+I61+I50+I43+I40+I39+I38+I37+I26+I20+I18+I17+I16</f>
        <v>53718.565922000002</v>
      </c>
    </row>
    <row r="86" spans="1:9" ht="15.75" customHeight="1">
      <c r="A86" s="215" t="s">
        <v>60</v>
      </c>
      <c r="B86" s="216"/>
      <c r="C86" s="216"/>
      <c r="D86" s="216"/>
      <c r="E86" s="216"/>
      <c r="F86" s="216"/>
      <c r="G86" s="216"/>
      <c r="H86" s="216"/>
      <c r="I86" s="217"/>
    </row>
    <row r="87" spans="1:9" ht="17.25" customHeight="1">
      <c r="A87" s="32">
        <v>17</v>
      </c>
      <c r="B87" s="121" t="s">
        <v>203</v>
      </c>
      <c r="C87" s="122" t="s">
        <v>105</v>
      </c>
      <c r="D87" s="146"/>
      <c r="E87" s="36"/>
      <c r="F87" s="36">
        <v>1</v>
      </c>
      <c r="G87" s="36">
        <v>496.43</v>
      </c>
      <c r="H87" s="80">
        <f t="shared" ref="H87" si="8">G87*F87/1000</f>
        <v>0.49642999999999998</v>
      </c>
      <c r="I87" s="13">
        <f>G87*1</f>
        <v>496.43</v>
      </c>
    </row>
    <row r="88" spans="1:9" ht="15.75" customHeight="1">
      <c r="A88" s="32"/>
      <c r="B88" s="44" t="s">
        <v>52</v>
      </c>
      <c r="C88" s="40"/>
      <c r="D88" s="47"/>
      <c r="E88" s="40">
        <v>1</v>
      </c>
      <c r="F88" s="40"/>
      <c r="G88" s="40"/>
      <c r="H88" s="40"/>
      <c r="I88" s="34">
        <f>SUM(I87:I87)</f>
        <v>496.43</v>
      </c>
    </row>
    <row r="89" spans="1:9" ht="15.75" customHeight="1">
      <c r="A89" s="32"/>
      <c r="B89" s="46" t="s">
        <v>78</v>
      </c>
      <c r="C89" s="15"/>
      <c r="D89" s="15"/>
      <c r="E89" s="41"/>
      <c r="F89" s="41"/>
      <c r="G89" s="42"/>
      <c r="H89" s="42"/>
      <c r="I89" s="17">
        <v>0</v>
      </c>
    </row>
    <row r="90" spans="1:9" ht="15.75" customHeight="1">
      <c r="A90" s="48"/>
      <c r="B90" s="45" t="s">
        <v>138</v>
      </c>
      <c r="C90" s="35"/>
      <c r="D90" s="35"/>
      <c r="E90" s="35"/>
      <c r="F90" s="35"/>
      <c r="G90" s="35"/>
      <c r="H90" s="35"/>
      <c r="I90" s="43">
        <f>I85+I88</f>
        <v>54214.995922000002</v>
      </c>
    </row>
    <row r="91" spans="1:9" ht="15.75" customHeight="1">
      <c r="A91" s="231" t="s">
        <v>204</v>
      </c>
      <c r="B91" s="231"/>
      <c r="C91" s="231"/>
      <c r="D91" s="231"/>
      <c r="E91" s="231"/>
      <c r="F91" s="231"/>
      <c r="G91" s="231"/>
      <c r="H91" s="231"/>
      <c r="I91" s="231"/>
    </row>
    <row r="92" spans="1:9" ht="15.75" customHeight="1">
      <c r="A92" s="59"/>
      <c r="B92" s="232" t="s">
        <v>205</v>
      </c>
      <c r="C92" s="232"/>
      <c r="D92" s="232"/>
      <c r="E92" s="232"/>
      <c r="F92" s="232"/>
      <c r="G92" s="232"/>
      <c r="H92" s="64"/>
      <c r="I92" s="3"/>
    </row>
    <row r="93" spans="1:9">
      <c r="A93" s="49"/>
      <c r="B93" s="233" t="s">
        <v>6</v>
      </c>
      <c r="C93" s="233"/>
      <c r="D93" s="233"/>
      <c r="E93" s="233"/>
      <c r="F93" s="233"/>
      <c r="G93" s="233"/>
      <c r="H93" s="27"/>
      <c r="I93" s="50"/>
    </row>
    <row r="94" spans="1:9" ht="15.75" customHeight="1">
      <c r="A94" s="53"/>
      <c r="B94" s="53"/>
      <c r="C94" s="53"/>
      <c r="D94" s="53"/>
      <c r="E94" s="53"/>
      <c r="F94" s="53"/>
      <c r="G94" s="53"/>
      <c r="H94" s="53"/>
      <c r="I94" s="53"/>
    </row>
    <row r="95" spans="1:9" ht="15.75" customHeight="1">
      <c r="A95" s="234" t="s">
        <v>7</v>
      </c>
      <c r="B95" s="234"/>
      <c r="C95" s="234"/>
      <c r="D95" s="234"/>
      <c r="E95" s="234"/>
      <c r="F95" s="234"/>
      <c r="G95" s="234"/>
      <c r="H95" s="234"/>
      <c r="I95" s="234"/>
    </row>
    <row r="96" spans="1:9" ht="15.75" customHeight="1">
      <c r="A96" s="234" t="s">
        <v>8</v>
      </c>
      <c r="B96" s="234"/>
      <c r="C96" s="234"/>
      <c r="D96" s="234"/>
      <c r="E96" s="234"/>
      <c r="F96" s="234"/>
      <c r="G96" s="234"/>
      <c r="H96" s="234"/>
      <c r="I96" s="234"/>
    </row>
    <row r="97" spans="1:9" ht="15.75" customHeight="1">
      <c r="A97" s="235" t="s">
        <v>61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 customHeight="1">
      <c r="A98" s="11"/>
    </row>
    <row r="99" spans="1:9" ht="15.75" customHeight="1">
      <c r="A99" s="236" t="s">
        <v>9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 customHeight="1">
      <c r="A100" s="4"/>
    </row>
    <row r="101" spans="1:9" ht="15.75" customHeight="1">
      <c r="B101" s="57" t="s">
        <v>10</v>
      </c>
      <c r="C101" s="237" t="s">
        <v>131</v>
      </c>
      <c r="D101" s="237"/>
      <c r="E101" s="237"/>
      <c r="F101" s="62"/>
      <c r="I101" s="55"/>
    </row>
    <row r="102" spans="1:9" ht="15.75" customHeight="1">
      <c r="A102" s="56"/>
      <c r="C102" s="233" t="s">
        <v>11</v>
      </c>
      <c r="D102" s="233"/>
      <c r="E102" s="233"/>
      <c r="F102" s="27"/>
      <c r="I102" s="54" t="s">
        <v>12</v>
      </c>
    </row>
    <row r="103" spans="1:9" ht="15.75" customHeight="1">
      <c r="A103" s="28"/>
      <c r="C103" s="12"/>
      <c r="D103" s="12"/>
      <c r="G103" s="12"/>
      <c r="H103" s="12"/>
    </row>
    <row r="104" spans="1:9" ht="15.75">
      <c r="B104" s="57" t="s">
        <v>13</v>
      </c>
      <c r="C104" s="238"/>
      <c r="D104" s="238"/>
      <c r="E104" s="238"/>
      <c r="F104" s="63"/>
      <c r="I104" s="55"/>
    </row>
    <row r="105" spans="1:9">
      <c r="A105" s="56"/>
      <c r="C105" s="227" t="s">
        <v>11</v>
      </c>
      <c r="D105" s="227"/>
      <c r="E105" s="227"/>
      <c r="F105" s="56"/>
      <c r="I105" s="54" t="s">
        <v>12</v>
      </c>
    </row>
    <row r="106" spans="1:9" ht="15.75" customHeight="1">
      <c r="A106" s="4" t="s">
        <v>14</v>
      </c>
    </row>
    <row r="107" spans="1:9" ht="15.75" customHeight="1">
      <c r="A107" s="239" t="s">
        <v>15</v>
      </c>
      <c r="B107" s="239"/>
      <c r="C107" s="239"/>
      <c r="D107" s="239"/>
      <c r="E107" s="239"/>
      <c r="F107" s="239"/>
      <c r="G107" s="239"/>
      <c r="H107" s="239"/>
      <c r="I107" s="239"/>
    </row>
    <row r="108" spans="1:9" ht="45" customHeight="1">
      <c r="A108" s="240" t="s">
        <v>16</v>
      </c>
      <c r="B108" s="240"/>
      <c r="C108" s="240"/>
      <c r="D108" s="240"/>
      <c r="E108" s="240"/>
      <c r="F108" s="240"/>
      <c r="G108" s="240"/>
      <c r="H108" s="240"/>
      <c r="I108" s="240"/>
    </row>
    <row r="109" spans="1:9" ht="30" customHeight="1">
      <c r="A109" s="240" t="s">
        <v>17</v>
      </c>
      <c r="B109" s="240"/>
      <c r="C109" s="240"/>
      <c r="D109" s="240"/>
      <c r="E109" s="240"/>
      <c r="F109" s="240"/>
      <c r="G109" s="240"/>
      <c r="H109" s="240"/>
      <c r="I109" s="240"/>
    </row>
    <row r="110" spans="1:9" ht="30" customHeight="1">
      <c r="A110" s="240" t="s">
        <v>21</v>
      </c>
      <c r="B110" s="240"/>
      <c r="C110" s="240"/>
      <c r="D110" s="240"/>
      <c r="E110" s="240"/>
      <c r="F110" s="240"/>
      <c r="G110" s="240"/>
      <c r="H110" s="240"/>
      <c r="I110" s="240"/>
    </row>
    <row r="111" spans="1:9" ht="15" customHeight="1">
      <c r="A111" s="240" t="s">
        <v>20</v>
      </c>
      <c r="B111" s="240"/>
      <c r="C111" s="240"/>
      <c r="D111" s="240"/>
      <c r="E111" s="240"/>
      <c r="F111" s="240"/>
      <c r="G111" s="240"/>
      <c r="H111" s="240"/>
      <c r="I111" s="240"/>
    </row>
  </sheetData>
  <autoFilter ref="I12:I61"/>
  <mergeCells count="29">
    <mergeCell ref="A107:I107"/>
    <mergeCell ref="A108:I108"/>
    <mergeCell ref="A109:I109"/>
    <mergeCell ref="A110:I110"/>
    <mergeCell ref="A111:I111"/>
    <mergeCell ref="R66:U66"/>
    <mergeCell ref="C105:E105"/>
    <mergeCell ref="A82:I82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14:I14"/>
    <mergeCell ref="A86:I86"/>
    <mergeCell ref="A3:I3"/>
    <mergeCell ref="A4:I4"/>
    <mergeCell ref="A5:I5"/>
    <mergeCell ref="A8:I8"/>
    <mergeCell ref="A10:I10"/>
    <mergeCell ref="A15:I15"/>
    <mergeCell ref="A27:I27"/>
    <mergeCell ref="A44:I44"/>
    <mergeCell ref="A55:I55"/>
  </mergeCells>
  <pageMargins left="0.70866141732283472" right="0.70866141732283472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9"/>
  <sheetViews>
    <sheetView topLeftCell="A84" workbookViewId="0">
      <selection activeCell="M92" sqref="M92"/>
    </sheetView>
  </sheetViews>
  <sheetFormatPr defaultRowHeight="15"/>
  <cols>
    <col min="1" max="1" width="12" customWidth="1"/>
    <col min="2" max="2" width="50.28515625" customWidth="1"/>
    <col min="3" max="3" width="17.5703125" customWidth="1"/>
    <col min="4" max="4" width="19.28515625" customWidth="1"/>
    <col min="5" max="6" width="0" hidden="1" customWidth="1"/>
    <col min="7" max="7" width="19.28515625" customWidth="1"/>
    <col min="8" max="8" width="0" hidden="1" customWidth="1"/>
    <col min="9" max="9" width="19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172</v>
      </c>
      <c r="B3" s="218"/>
      <c r="C3" s="218"/>
      <c r="D3" s="218"/>
      <c r="E3" s="218"/>
      <c r="F3" s="218"/>
      <c r="G3" s="218"/>
      <c r="H3" s="218"/>
      <c r="I3" s="218"/>
    </row>
    <row r="4" spans="1:9" ht="33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260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81"/>
      <c r="C6" s="181"/>
      <c r="D6" s="181"/>
      <c r="E6" s="181"/>
      <c r="F6" s="181"/>
      <c r="G6" s="181"/>
      <c r="H6" s="181"/>
      <c r="I6" s="33">
        <v>44135</v>
      </c>
    </row>
    <row r="7" spans="1:9" ht="15.75">
      <c r="B7" s="184"/>
      <c r="C7" s="184"/>
      <c r="D7" s="184"/>
      <c r="E7" s="3"/>
      <c r="F7" s="3"/>
      <c r="G7" s="3"/>
      <c r="H7" s="3"/>
    </row>
    <row r="8" spans="1:9" ht="105.75" customHeight="1">
      <c r="A8" s="221" t="s">
        <v>261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90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6.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4.2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5.7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6.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t="18" hidden="1" customHeight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t="16.5" hidden="1" customHeight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t="18.75" hidden="1" customHeight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t="20.25" hidden="1" customHeight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t="18.75" hidden="1" customHeight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16.5" hidden="1" customHeight="1">
      <c r="A26" s="32">
        <v>11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7.25" customHeight="1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 ht="18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6.5" customHeight="1">
      <c r="A30" s="32">
        <v>6</v>
      </c>
      <c r="B30" s="104" t="s">
        <v>103</v>
      </c>
      <c r="C30" s="105" t="s">
        <v>86</v>
      </c>
      <c r="D30" s="104" t="s">
        <v>180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2" si="1">SUM(F30*G30/1000)</f>
        <v>7.3756177040000015</v>
      </c>
      <c r="I30" s="13">
        <f t="shared" ref="I30:I33" si="2">F30/6*G30</f>
        <v>1229.2696173333336</v>
      </c>
    </row>
    <row r="31" spans="1:9" ht="45" customHeight="1">
      <c r="A31" s="32">
        <v>7</v>
      </c>
      <c r="B31" s="104" t="s">
        <v>115</v>
      </c>
      <c r="C31" s="105" t="s">
        <v>86</v>
      </c>
      <c r="D31" s="104" t="s">
        <v>179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7.25" customHeight="1">
      <c r="A33" s="32">
        <v>8</v>
      </c>
      <c r="B33" s="104" t="s">
        <v>120</v>
      </c>
      <c r="C33" s="105" t="s">
        <v>41</v>
      </c>
      <c r="D33" s="104" t="s">
        <v>188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ref="H34:H35" si="3">SUM(F34*G34/1000)</f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4">SUM(F37*G37/1000)</f>
        <v>10.414999999999999</v>
      </c>
      <c r="I37" s="13">
        <f t="shared" ref="I37:I41" si="5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4"/>
        <v>9.2409859800000014</v>
      </c>
      <c r="I38" s="13">
        <f t="shared" si="5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4"/>
        <v>7.964257739999999</v>
      </c>
      <c r="I39" s="13">
        <f t="shared" si="5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4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4"/>
        <v>14.628028800000003</v>
      </c>
      <c r="I41" s="13">
        <f t="shared" si="5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4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4"/>
        <v>0.72</v>
      </c>
      <c r="I43" s="13">
        <f>(F43/7.5*1.5)*G43</f>
        <v>144.00000000000003</v>
      </c>
    </row>
    <row r="44" spans="1:9" ht="30" hidden="1">
      <c r="A44" s="32">
        <v>9</v>
      </c>
      <c r="B44" s="121" t="s">
        <v>147</v>
      </c>
      <c r="C44" s="122" t="s">
        <v>29</v>
      </c>
      <c r="D44" s="118" t="s">
        <v>186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4"/>
        <v>1.3638744000000003E-2</v>
      </c>
      <c r="I44" s="13">
        <f>F44/6*G44/2</f>
        <v>1.1365620000000003</v>
      </c>
    </row>
    <row r="45" spans="1:9" hidden="1">
      <c r="A45" s="224" t="s">
        <v>128</v>
      </c>
      <c r="B45" s="225"/>
      <c r="C45" s="225"/>
      <c r="D45" s="225"/>
      <c r="E45" s="225"/>
      <c r="F45" s="225"/>
      <c r="G45" s="225"/>
      <c r="H45" s="225"/>
      <c r="I45" s="226"/>
    </row>
    <row r="46" spans="1:9" hidden="1">
      <c r="A46" s="32">
        <v>12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6">SUM(F46*G46/1000)</f>
        <v>2.6457818400000002</v>
      </c>
      <c r="I46" s="13">
        <f>2.3955/2*G46</f>
        <v>1322.8909200000001</v>
      </c>
    </row>
    <row r="47" spans="1:9" hidden="1">
      <c r="A47" s="32">
        <v>13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6"/>
        <v>8.2199519999999998E-2</v>
      </c>
      <c r="I47" s="13">
        <f>0.104/2*G47</f>
        <v>41.099759999999996</v>
      </c>
    </row>
    <row r="48" spans="1:9" hidden="1">
      <c r="A48" s="32">
        <v>14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6"/>
        <v>1.670231016</v>
      </c>
      <c r="I48" s="13">
        <f>2.1132/2*G48</f>
        <v>835.11550799999998</v>
      </c>
    </row>
    <row r="49" spans="1:9" hidden="1">
      <c r="A49" s="32">
        <v>15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6"/>
        <v>4.2739845999999995</v>
      </c>
      <c r="I49" s="13">
        <f>5.164/2*G49</f>
        <v>2136.9922999999999</v>
      </c>
    </row>
    <row r="50" spans="1:9" hidden="1">
      <c r="A50" s="32">
        <v>16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6"/>
        <v>0.18461728999999999</v>
      </c>
      <c r="I50" s="13">
        <f>1.859/2*G50</f>
        <v>92.308644999999999</v>
      </c>
    </row>
    <row r="51" spans="1:9" hidden="1">
      <c r="A51" s="32">
        <v>17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6"/>
        <v>15.860797140000001</v>
      </c>
      <c r="I51" s="13">
        <f>9.582/5*G51</f>
        <v>3172.1594279999999</v>
      </c>
    </row>
    <row r="52" spans="1:9" ht="47.25" hidden="1" customHeight="1">
      <c r="A52" s="32">
        <v>11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6"/>
        <v>11.198563657999999</v>
      </c>
      <c r="I52" s="13">
        <f>6.7654/2*G52</f>
        <v>5599.2818289999996</v>
      </c>
    </row>
    <row r="53" spans="1:9" ht="34.5" hidden="1" customHeight="1">
      <c r="A53" s="32">
        <v>12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6"/>
        <v>1.4897480000000001</v>
      </c>
      <c r="I53" s="13">
        <f>0.4/2*G53</f>
        <v>744.87400000000002</v>
      </c>
    </row>
    <row r="54" spans="1:9" ht="16.5" hidden="1" customHeight="1">
      <c r="A54" s="32">
        <v>13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6"/>
        <v>0.15418879999999999</v>
      </c>
      <c r="I54" s="13">
        <f>G54*0.01</f>
        <v>77.094399999999993</v>
      </c>
    </row>
    <row r="55" spans="1:9" hidden="1">
      <c r="A55" s="32">
        <v>11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6"/>
        <v>31.714860000000002</v>
      </c>
      <c r="I55" s="13">
        <f>G55*118</f>
        <v>10571.62</v>
      </c>
    </row>
    <row r="56" spans="1:9">
      <c r="A56" s="224" t="s">
        <v>159</v>
      </c>
      <c r="B56" s="225"/>
      <c r="C56" s="225"/>
      <c r="D56" s="225"/>
      <c r="E56" s="225"/>
      <c r="F56" s="225"/>
      <c r="G56" s="225"/>
      <c r="H56" s="225"/>
      <c r="I56" s="226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30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7">F58/6*G58</f>
        <v>1553.3059199999996</v>
      </c>
    </row>
    <row r="59" spans="1:9" ht="19.5" hidden="1" customHeight="1">
      <c r="A59" s="32">
        <v>10</v>
      </c>
      <c r="B59" s="104" t="s">
        <v>149</v>
      </c>
      <c r="C59" s="105" t="s">
        <v>150</v>
      </c>
      <c r="D59" s="104" t="s">
        <v>199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G59*3</f>
        <v>4935</v>
      </c>
    </row>
    <row r="60" spans="1:9" ht="15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3.5" customHeight="1">
      <c r="A62" s="32">
        <v>9</v>
      </c>
      <c r="B62" s="52" t="s">
        <v>116</v>
      </c>
      <c r="C62" s="94" t="s">
        <v>25</v>
      </c>
      <c r="D62" s="52" t="s">
        <v>182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5.7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>
      <c r="A64" s="32">
        <v>10</v>
      </c>
      <c r="B64" s="126" t="s">
        <v>47</v>
      </c>
      <c r="C64" s="127" t="s">
        <v>105</v>
      </c>
      <c r="D64" s="38" t="s">
        <v>186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8">SUM(F64*G64/1000)</f>
        <v>3.6402000000000001</v>
      </c>
      <c r="I64" s="13">
        <f>G64*1</f>
        <v>303.35000000000002</v>
      </c>
    </row>
    <row r="65" spans="1:9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8"/>
        <v>0.62406000000000006</v>
      </c>
      <c r="I65" s="13">
        <v>0</v>
      </c>
    </row>
    <row r="66" spans="1:9" hidden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8"/>
        <v>41.148413999999995</v>
      </c>
      <c r="I66" s="13">
        <f>142.2*G66</f>
        <v>41148.413999999997</v>
      </c>
    </row>
    <row r="67" spans="1:9" hidden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8"/>
        <v>3.2044769999999998</v>
      </c>
      <c r="I67" s="13">
        <f>14.22*G67</f>
        <v>3204.4769999999999</v>
      </c>
    </row>
    <row r="68" spans="1:9" hidden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8"/>
        <v>63.953028000000003</v>
      </c>
      <c r="I68" s="13">
        <f>22.6*G68</f>
        <v>63953.028000000006</v>
      </c>
    </row>
    <row r="69" spans="1:9" hidden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8"/>
        <v>0.46968600000000005</v>
      </c>
      <c r="I69" s="13">
        <f>10.6*G69</f>
        <v>469.68600000000004</v>
      </c>
    </row>
    <row r="70" spans="1:9" hidden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8"/>
        <v>0.50657399999999997</v>
      </c>
      <c r="I70" s="13">
        <f>10.6*G70</f>
        <v>506.57399999999996</v>
      </c>
    </row>
    <row r="71" spans="1:9" hidden="1">
      <c r="A71" s="32">
        <v>20</v>
      </c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8"/>
        <v>0.20412</v>
      </c>
      <c r="I71" s="13">
        <f>G71*3</f>
        <v>204.12</v>
      </c>
    </row>
    <row r="72" spans="1:9" ht="18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9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9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9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2.25" customHeight="1">
      <c r="A77" s="32">
        <v>11</v>
      </c>
      <c r="B77" s="121" t="s">
        <v>155</v>
      </c>
      <c r="C77" s="122" t="s">
        <v>105</v>
      </c>
      <c r="D77" s="38" t="s">
        <v>182</v>
      </c>
      <c r="E77" s="131">
        <v>2</v>
      </c>
      <c r="F77" s="92">
        <f>E77*12</f>
        <v>24</v>
      </c>
      <c r="G77" s="132">
        <v>55.55</v>
      </c>
      <c r="H77" s="128">
        <f t="shared" ref="H77" si="10">SUM(F77*G77/1000)</f>
        <v>1.3331999999999997</v>
      </c>
      <c r="I77" s="13">
        <f>F77/12*G77</f>
        <v>111.1</v>
      </c>
    </row>
    <row r="78" spans="1:9" ht="18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21" customHeight="1">
      <c r="A79" s="32">
        <v>12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1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8"/>
        <v>0.41442800000000002</v>
      </c>
      <c r="I81" s="13">
        <f>G81</f>
        <v>4144.28</v>
      </c>
    </row>
    <row r="82" spans="1:9" ht="25.5" hidden="1" customHeight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8" t="s">
        <v>160</v>
      </c>
      <c r="B84" s="229"/>
      <c r="C84" s="229"/>
      <c r="D84" s="229"/>
      <c r="E84" s="229"/>
      <c r="F84" s="229"/>
      <c r="G84" s="229"/>
      <c r="H84" s="229"/>
      <c r="I84" s="230"/>
    </row>
    <row r="85" spans="1:9" ht="16.5" customHeight="1">
      <c r="A85" s="32">
        <v>13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6" customHeight="1">
      <c r="A86" s="32">
        <v>14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I86+I85+I79+I77+I64+I62+I33+I31+I30+I27+I20+I18+I17+I16</f>
        <v>47806.898541333321</v>
      </c>
    </row>
    <row r="88" spans="1:9">
      <c r="A88" s="215" t="s">
        <v>60</v>
      </c>
      <c r="B88" s="216"/>
      <c r="C88" s="216"/>
      <c r="D88" s="216"/>
      <c r="E88" s="216"/>
      <c r="F88" s="216"/>
      <c r="G88" s="216"/>
      <c r="H88" s="216"/>
      <c r="I88" s="217"/>
    </row>
    <row r="89" spans="1:9" ht="39.75" customHeight="1">
      <c r="A89" s="32">
        <v>15</v>
      </c>
      <c r="B89" s="121" t="s">
        <v>262</v>
      </c>
      <c r="C89" s="208" t="s">
        <v>236</v>
      </c>
      <c r="D89" s="146" t="s">
        <v>270</v>
      </c>
      <c r="E89" s="36"/>
      <c r="F89" s="36">
        <v>1</v>
      </c>
      <c r="G89" s="36">
        <v>6439.95</v>
      </c>
      <c r="H89" s="78">
        <f>SUM(F89*G89/1000)</f>
        <v>6.4399499999999996</v>
      </c>
      <c r="I89" s="85">
        <f>G89*1</f>
        <v>6439.95</v>
      </c>
    </row>
    <row r="90" spans="1:9" ht="18" customHeight="1">
      <c r="A90" s="32">
        <v>16</v>
      </c>
      <c r="B90" s="121" t="s">
        <v>263</v>
      </c>
      <c r="C90" s="122" t="s">
        <v>264</v>
      </c>
      <c r="D90" s="146" t="s">
        <v>269</v>
      </c>
      <c r="E90" s="36"/>
      <c r="F90" s="36">
        <v>0.03</v>
      </c>
      <c r="G90" s="36">
        <v>22883.32</v>
      </c>
      <c r="H90" s="60"/>
      <c r="I90" s="85">
        <f>G90*0.03</f>
        <v>686.49959999999999</v>
      </c>
    </row>
    <row r="91" spans="1:9" ht="20.25" customHeight="1">
      <c r="A91" s="32">
        <v>17</v>
      </c>
      <c r="B91" s="121" t="s">
        <v>265</v>
      </c>
      <c r="C91" s="122" t="s">
        <v>121</v>
      </c>
      <c r="D91" s="146" t="s">
        <v>268</v>
      </c>
      <c r="E91" s="36"/>
      <c r="F91" s="36">
        <v>0.3</v>
      </c>
      <c r="G91" s="36">
        <v>6578.06</v>
      </c>
      <c r="H91" s="60"/>
      <c r="I91" s="85">
        <f>G91*0.3</f>
        <v>1973.4180000000001</v>
      </c>
    </row>
    <row r="92" spans="1:9" ht="30.75" customHeight="1">
      <c r="A92" s="32">
        <v>18</v>
      </c>
      <c r="B92" s="174" t="s">
        <v>197</v>
      </c>
      <c r="C92" s="133" t="s">
        <v>92</v>
      </c>
      <c r="D92" s="146" t="s">
        <v>267</v>
      </c>
      <c r="E92" s="36"/>
      <c r="F92" s="36">
        <v>0.05</v>
      </c>
      <c r="G92" s="36">
        <v>46994.9</v>
      </c>
      <c r="H92" s="60"/>
      <c r="I92" s="85">
        <f>G92*0.05</f>
        <v>2349.7450000000003</v>
      </c>
    </row>
    <row r="93" spans="1:9" ht="20.25" customHeight="1">
      <c r="A93" s="32">
        <v>19</v>
      </c>
      <c r="B93" s="121" t="s">
        <v>266</v>
      </c>
      <c r="C93" s="122" t="s">
        <v>105</v>
      </c>
      <c r="D93" s="146"/>
      <c r="E93" s="36"/>
      <c r="F93" s="36">
        <v>1</v>
      </c>
      <c r="G93" s="36">
        <v>1332.01</v>
      </c>
      <c r="H93" s="60"/>
      <c r="I93" s="85">
        <f>G93*1</f>
        <v>1332.01</v>
      </c>
    </row>
    <row r="94" spans="1:9" ht="20.25" customHeight="1">
      <c r="A94" s="32">
        <v>20</v>
      </c>
      <c r="B94" s="121" t="s">
        <v>169</v>
      </c>
      <c r="C94" s="122" t="s">
        <v>105</v>
      </c>
      <c r="D94" s="146"/>
      <c r="E94" s="36"/>
      <c r="F94" s="36">
        <v>3</v>
      </c>
      <c r="G94" s="36">
        <v>215.85</v>
      </c>
      <c r="H94" s="60"/>
      <c r="I94" s="85">
        <f>G94*1</f>
        <v>215.85</v>
      </c>
    </row>
    <row r="95" spans="1:9" ht="30.75" customHeight="1">
      <c r="A95" s="32">
        <v>21</v>
      </c>
      <c r="B95" s="121" t="s">
        <v>175</v>
      </c>
      <c r="C95" s="122" t="s">
        <v>39</v>
      </c>
      <c r="D95" s="146" t="s">
        <v>191</v>
      </c>
      <c r="E95" s="36"/>
      <c r="F95" s="36">
        <v>0.09</v>
      </c>
      <c r="G95" s="36">
        <v>4070.89</v>
      </c>
      <c r="H95" s="60"/>
      <c r="I95" s="85">
        <v>0</v>
      </c>
    </row>
    <row r="96" spans="1:9" ht="17.25" customHeight="1">
      <c r="A96" s="32"/>
      <c r="B96" s="44" t="s">
        <v>52</v>
      </c>
      <c r="C96" s="40"/>
      <c r="D96" s="47"/>
      <c r="E96" s="40">
        <v>1</v>
      </c>
      <c r="F96" s="40"/>
      <c r="G96" s="40"/>
      <c r="H96" s="40"/>
      <c r="I96" s="34">
        <f>SUM(I89:I95)</f>
        <v>12997.472600000001</v>
      </c>
    </row>
    <row r="97" spans="1:9">
      <c r="A97" s="32"/>
      <c r="B97" s="46" t="s">
        <v>78</v>
      </c>
      <c r="C97" s="15"/>
      <c r="D97" s="15"/>
      <c r="E97" s="41"/>
      <c r="F97" s="41"/>
      <c r="G97" s="42"/>
      <c r="H97" s="42"/>
      <c r="I97" s="17">
        <v>0</v>
      </c>
    </row>
    <row r="98" spans="1:9">
      <c r="A98" s="48"/>
      <c r="B98" s="45" t="s">
        <v>138</v>
      </c>
      <c r="C98" s="35"/>
      <c r="D98" s="35"/>
      <c r="E98" s="35"/>
      <c r="F98" s="35"/>
      <c r="G98" s="35"/>
      <c r="H98" s="35"/>
      <c r="I98" s="43">
        <f>I87+I96</f>
        <v>60804.371141333322</v>
      </c>
    </row>
    <row r="99" spans="1:9" ht="15.75">
      <c r="A99" s="231" t="s">
        <v>306</v>
      </c>
      <c r="B99" s="231"/>
      <c r="C99" s="231"/>
      <c r="D99" s="231"/>
      <c r="E99" s="231"/>
      <c r="F99" s="231"/>
      <c r="G99" s="231"/>
      <c r="H99" s="231"/>
      <c r="I99" s="231"/>
    </row>
    <row r="100" spans="1:9" ht="15.75">
      <c r="A100" s="59"/>
      <c r="B100" s="232" t="s">
        <v>307</v>
      </c>
      <c r="C100" s="232"/>
      <c r="D100" s="232"/>
      <c r="E100" s="232"/>
      <c r="F100" s="232"/>
      <c r="G100" s="232"/>
      <c r="H100" s="64"/>
      <c r="I100" s="3"/>
    </row>
    <row r="101" spans="1:9">
      <c r="A101" s="186"/>
      <c r="B101" s="233" t="s">
        <v>6</v>
      </c>
      <c r="C101" s="233"/>
      <c r="D101" s="233"/>
      <c r="E101" s="233"/>
      <c r="F101" s="233"/>
      <c r="G101" s="233"/>
      <c r="H101" s="27"/>
      <c r="I101" s="50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 ht="15.75">
      <c r="A103" s="234" t="s">
        <v>7</v>
      </c>
      <c r="B103" s="234"/>
      <c r="C103" s="234"/>
      <c r="D103" s="234"/>
      <c r="E103" s="234"/>
      <c r="F103" s="234"/>
      <c r="G103" s="234"/>
      <c r="H103" s="234"/>
      <c r="I103" s="234"/>
    </row>
    <row r="104" spans="1:9" ht="15.75">
      <c r="A104" s="234" t="s">
        <v>8</v>
      </c>
      <c r="B104" s="234"/>
      <c r="C104" s="234"/>
      <c r="D104" s="234"/>
      <c r="E104" s="234"/>
      <c r="F104" s="234"/>
      <c r="G104" s="234"/>
      <c r="H104" s="234"/>
      <c r="I104" s="234"/>
    </row>
    <row r="105" spans="1:9" ht="15.75">
      <c r="A105" s="235" t="s">
        <v>61</v>
      </c>
      <c r="B105" s="235"/>
      <c r="C105" s="235"/>
      <c r="D105" s="235"/>
      <c r="E105" s="235"/>
      <c r="F105" s="235"/>
      <c r="G105" s="235"/>
      <c r="H105" s="235"/>
      <c r="I105" s="235"/>
    </row>
    <row r="106" spans="1:9" ht="15.75">
      <c r="A106" s="11"/>
    </row>
    <row r="107" spans="1:9" ht="15.75">
      <c r="A107" s="236" t="s">
        <v>9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>
      <c r="A108" s="4"/>
    </row>
    <row r="109" spans="1:9" ht="15.75">
      <c r="B109" s="184" t="s">
        <v>10</v>
      </c>
      <c r="C109" s="237" t="s">
        <v>271</v>
      </c>
      <c r="D109" s="237"/>
      <c r="E109" s="237"/>
      <c r="F109" s="62"/>
      <c r="I109" s="185"/>
    </row>
    <row r="110" spans="1:9">
      <c r="A110" s="182"/>
      <c r="C110" s="233" t="s">
        <v>11</v>
      </c>
      <c r="D110" s="233"/>
      <c r="E110" s="233"/>
      <c r="F110" s="27"/>
      <c r="I110" s="183" t="s">
        <v>12</v>
      </c>
    </row>
    <row r="111" spans="1:9" ht="15.75">
      <c r="A111" s="28"/>
      <c r="C111" s="12"/>
      <c r="D111" s="12"/>
      <c r="G111" s="12"/>
      <c r="H111" s="12"/>
    </row>
    <row r="112" spans="1:9" ht="15.75">
      <c r="B112" s="184" t="s">
        <v>13</v>
      </c>
      <c r="C112" s="238"/>
      <c r="D112" s="238"/>
      <c r="E112" s="238"/>
      <c r="F112" s="63"/>
      <c r="I112" s="185"/>
    </row>
    <row r="113" spans="1:9">
      <c r="A113" s="182"/>
      <c r="C113" s="227" t="s">
        <v>11</v>
      </c>
      <c r="D113" s="227"/>
      <c r="E113" s="227"/>
      <c r="F113" s="182"/>
      <c r="I113" s="183" t="s">
        <v>12</v>
      </c>
    </row>
    <row r="114" spans="1:9" ht="15.75">
      <c r="A114" s="4" t="s">
        <v>14</v>
      </c>
    </row>
    <row r="115" spans="1:9">
      <c r="A115" s="239" t="s">
        <v>15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41.25" customHeight="1">
      <c r="A116" s="240" t="s">
        <v>16</v>
      </c>
      <c r="B116" s="240"/>
      <c r="C116" s="240"/>
      <c r="D116" s="240"/>
      <c r="E116" s="240"/>
      <c r="F116" s="240"/>
      <c r="G116" s="240"/>
      <c r="H116" s="240"/>
      <c r="I116" s="240"/>
    </row>
    <row r="117" spans="1:9" ht="35.25" customHeight="1">
      <c r="A117" s="240" t="s">
        <v>17</v>
      </c>
      <c r="B117" s="240"/>
      <c r="C117" s="240"/>
      <c r="D117" s="240"/>
      <c r="E117" s="240"/>
      <c r="F117" s="240"/>
      <c r="G117" s="240"/>
      <c r="H117" s="240"/>
      <c r="I117" s="240"/>
    </row>
    <row r="118" spans="1:9" ht="35.25" customHeight="1">
      <c r="A118" s="240" t="s">
        <v>21</v>
      </c>
      <c r="B118" s="240"/>
      <c r="C118" s="240"/>
      <c r="D118" s="240"/>
      <c r="E118" s="240"/>
      <c r="F118" s="240"/>
      <c r="G118" s="240"/>
      <c r="H118" s="240"/>
      <c r="I118" s="240"/>
    </row>
    <row r="119" spans="1:9" ht="15.75">
      <c r="A119" s="240" t="s">
        <v>20</v>
      </c>
      <c r="B119" s="240"/>
      <c r="C119" s="240"/>
      <c r="D119" s="240"/>
      <c r="E119" s="240"/>
      <c r="F119" s="240"/>
      <c r="G119" s="240"/>
      <c r="H119" s="240"/>
      <c r="I119" s="240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  <mergeCell ref="C113:E113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115:I115"/>
    <mergeCell ref="A116:I116"/>
    <mergeCell ref="A117:I117"/>
    <mergeCell ref="A118:I118"/>
    <mergeCell ref="A119:I119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9"/>
  <sheetViews>
    <sheetView topLeftCell="A64" workbookViewId="0">
      <selection activeCell="D111" sqref="D111"/>
    </sheetView>
  </sheetViews>
  <sheetFormatPr defaultRowHeight="15"/>
  <cols>
    <col min="1" max="1" width="11.140625" customWidth="1"/>
    <col min="2" max="2" width="54.5703125" customWidth="1"/>
    <col min="3" max="3" width="17.28515625" customWidth="1"/>
    <col min="4" max="4" width="20.28515625" customWidth="1"/>
    <col min="5" max="6" width="0" hidden="1" customWidth="1"/>
    <col min="7" max="7" width="15.85546875" customWidth="1"/>
    <col min="8" max="8" width="0" hidden="1" customWidth="1"/>
    <col min="9" max="9" width="17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173</v>
      </c>
      <c r="B3" s="218"/>
      <c r="C3" s="218"/>
      <c r="D3" s="218"/>
      <c r="E3" s="218"/>
      <c r="F3" s="218"/>
      <c r="G3" s="218"/>
      <c r="H3" s="218"/>
      <c r="I3" s="218"/>
    </row>
    <row r="4" spans="1:9" ht="35.2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272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91"/>
      <c r="C6" s="191"/>
      <c r="D6" s="191"/>
      <c r="E6" s="191"/>
      <c r="F6" s="191"/>
      <c r="G6" s="191"/>
      <c r="H6" s="191"/>
      <c r="I6" s="33">
        <v>44165</v>
      </c>
    </row>
    <row r="7" spans="1:9" ht="15.75">
      <c r="B7" s="189"/>
      <c r="C7" s="189"/>
      <c r="D7" s="189"/>
      <c r="E7" s="3"/>
      <c r="F7" s="3"/>
      <c r="G7" s="3"/>
      <c r="H7" s="3"/>
    </row>
    <row r="8" spans="1:9" ht="84.75" customHeight="1">
      <c r="A8" s="221" t="s">
        <v>273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76.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88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5.7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6.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8.7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7.2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idden="1">
      <c r="A26" s="32">
        <v>11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8.75" customHeight="1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 hidden="1">
      <c r="A28" s="32">
        <v>6</v>
      </c>
      <c r="B28" s="117" t="s">
        <v>23</v>
      </c>
      <c r="C28" s="105" t="s">
        <v>24</v>
      </c>
      <c r="D28" s="117" t="s">
        <v>119</v>
      </c>
      <c r="E28" s="106">
        <v>3382.7</v>
      </c>
      <c r="F28" s="107">
        <f>SUM(E28*12)</f>
        <v>40592.399999999994</v>
      </c>
      <c r="G28" s="107">
        <v>4.5199999999999996</v>
      </c>
      <c r="H28" s="108">
        <f>SUM(F28*G28/1000)</f>
        <v>183.47764799999996</v>
      </c>
      <c r="I28" s="13">
        <f>F28/12*G28</f>
        <v>15289.803999999996</v>
      </c>
    </row>
    <row r="29" spans="1:9">
      <c r="A29" s="223" t="s">
        <v>82</v>
      </c>
      <c r="B29" s="223"/>
      <c r="C29" s="223"/>
      <c r="D29" s="223"/>
      <c r="E29" s="223"/>
      <c r="F29" s="223"/>
      <c r="G29" s="223"/>
      <c r="H29" s="223"/>
      <c r="I29" s="223"/>
    </row>
    <row r="30" spans="1:9" hidden="1">
      <c r="A30" s="32"/>
      <c r="B30" s="136" t="s">
        <v>28</v>
      </c>
      <c r="C30" s="105"/>
      <c r="D30" s="104"/>
      <c r="E30" s="106"/>
      <c r="F30" s="107"/>
      <c r="G30" s="107"/>
      <c r="H30" s="108"/>
      <c r="I30" s="13"/>
    </row>
    <row r="31" spans="1:9" hidden="1">
      <c r="A31" s="32">
        <v>7</v>
      </c>
      <c r="B31" s="104" t="s">
        <v>103</v>
      </c>
      <c r="C31" s="105" t="s">
        <v>86</v>
      </c>
      <c r="D31" s="104" t="s">
        <v>141</v>
      </c>
      <c r="E31" s="107">
        <v>667.1</v>
      </c>
      <c r="F31" s="107">
        <f>SUM(E31*52/1000)</f>
        <v>34.689200000000007</v>
      </c>
      <c r="G31" s="107">
        <v>212.62</v>
      </c>
      <c r="H31" s="108">
        <f t="shared" ref="H31:H37" si="1">SUM(F31*G31/1000)</f>
        <v>7.3756177040000015</v>
      </c>
      <c r="I31" s="13">
        <f t="shared" ref="I31:I35" si="2">F31/6*G31</f>
        <v>1229.2696173333336</v>
      </c>
    </row>
    <row r="32" spans="1:9" ht="30" hidden="1">
      <c r="A32" s="32">
        <v>8</v>
      </c>
      <c r="B32" s="104" t="s">
        <v>115</v>
      </c>
      <c r="C32" s="105" t="s">
        <v>86</v>
      </c>
      <c r="D32" s="104" t="s">
        <v>142</v>
      </c>
      <c r="E32" s="107">
        <v>107.4</v>
      </c>
      <c r="F32" s="107">
        <f>SUM(E32*78/1000)</f>
        <v>8.3772000000000002</v>
      </c>
      <c r="G32" s="107">
        <v>352.77</v>
      </c>
      <c r="H32" s="108">
        <f t="shared" si="1"/>
        <v>2.955224844</v>
      </c>
      <c r="I32" s="13">
        <f t="shared" si="2"/>
        <v>492.53747400000003</v>
      </c>
    </row>
    <row r="33" spans="1:9" hidden="1">
      <c r="A33" s="32">
        <v>16</v>
      </c>
      <c r="B33" s="104" t="s">
        <v>27</v>
      </c>
      <c r="C33" s="105" t="s">
        <v>86</v>
      </c>
      <c r="D33" s="104" t="s">
        <v>54</v>
      </c>
      <c r="E33" s="107">
        <v>667.1</v>
      </c>
      <c r="F33" s="107">
        <f>SUM(E33/1000)</f>
        <v>0.66710000000000003</v>
      </c>
      <c r="G33" s="107">
        <v>4119.68</v>
      </c>
      <c r="H33" s="108">
        <f t="shared" si="1"/>
        <v>2.7482385280000003</v>
      </c>
      <c r="I33" s="13">
        <f>F33*G33</f>
        <v>2748.2385280000003</v>
      </c>
    </row>
    <row r="34" spans="1:9" hidden="1">
      <c r="A34" s="32">
        <v>9</v>
      </c>
      <c r="B34" s="104" t="s">
        <v>120</v>
      </c>
      <c r="C34" s="105" t="s">
        <v>41</v>
      </c>
      <c r="D34" s="104" t="s">
        <v>63</v>
      </c>
      <c r="E34" s="107">
        <v>3</v>
      </c>
      <c r="F34" s="107">
        <f>SUM(E34*155/100)</f>
        <v>4.6500000000000004</v>
      </c>
      <c r="G34" s="107">
        <v>1775.94</v>
      </c>
      <c r="H34" s="108">
        <f>G34*F34/1000</f>
        <v>8.2581210000000009</v>
      </c>
      <c r="I34" s="13">
        <f t="shared" si="2"/>
        <v>1376.3535000000002</v>
      </c>
    </row>
    <row r="35" spans="1:9" hidden="1">
      <c r="A35" s="32">
        <v>10</v>
      </c>
      <c r="B35" s="104" t="s">
        <v>102</v>
      </c>
      <c r="C35" s="105" t="s">
        <v>31</v>
      </c>
      <c r="D35" s="104" t="s">
        <v>63</v>
      </c>
      <c r="E35" s="115">
        <v>0.33333333333333331</v>
      </c>
      <c r="F35" s="107">
        <f>155/3</f>
        <v>51.666666666666664</v>
      </c>
      <c r="G35" s="107">
        <v>77.33</v>
      </c>
      <c r="H35" s="108">
        <f>SUM(G35*155/3/1000)</f>
        <v>3.9953833333333333</v>
      </c>
      <c r="I35" s="13">
        <f t="shared" si="2"/>
        <v>665.89722222222213</v>
      </c>
    </row>
    <row r="36" spans="1:9" hidden="1">
      <c r="A36" s="32"/>
      <c r="B36" s="104" t="s">
        <v>64</v>
      </c>
      <c r="C36" s="105" t="s">
        <v>33</v>
      </c>
      <c r="D36" s="104" t="s">
        <v>66</v>
      </c>
      <c r="E36" s="106"/>
      <c r="F36" s="107">
        <v>1</v>
      </c>
      <c r="G36" s="107">
        <v>260.95</v>
      </c>
      <c r="H36" s="108">
        <f t="shared" si="1"/>
        <v>0.26095000000000002</v>
      </c>
      <c r="I36" s="13">
        <v>0</v>
      </c>
    </row>
    <row r="37" spans="1:9" hidden="1">
      <c r="A37" s="32"/>
      <c r="B37" s="104" t="s">
        <v>65</v>
      </c>
      <c r="C37" s="105" t="s">
        <v>32</v>
      </c>
      <c r="D37" s="104" t="s">
        <v>66</v>
      </c>
      <c r="E37" s="106"/>
      <c r="F37" s="107">
        <v>1</v>
      </c>
      <c r="G37" s="107">
        <v>1549.92</v>
      </c>
      <c r="H37" s="108">
        <f t="shared" si="1"/>
        <v>1.54992</v>
      </c>
      <c r="I37" s="13">
        <v>0</v>
      </c>
    </row>
    <row r="38" spans="1:9" ht="19.5" customHeight="1">
      <c r="A38" s="32"/>
      <c r="B38" s="136" t="s">
        <v>5</v>
      </c>
      <c r="C38" s="105"/>
      <c r="D38" s="104"/>
      <c r="E38" s="106"/>
      <c r="F38" s="107"/>
      <c r="G38" s="107"/>
      <c r="H38" s="108" t="s">
        <v>119</v>
      </c>
      <c r="I38" s="13"/>
    </row>
    <row r="39" spans="1:9" ht="18.75" hidden="1" customHeight="1">
      <c r="A39" s="32">
        <v>6</v>
      </c>
      <c r="B39" s="118" t="s">
        <v>26</v>
      </c>
      <c r="C39" s="105" t="s">
        <v>32</v>
      </c>
      <c r="D39" s="104"/>
      <c r="E39" s="106"/>
      <c r="F39" s="107">
        <v>5</v>
      </c>
      <c r="G39" s="107">
        <v>2083</v>
      </c>
      <c r="H39" s="108">
        <f t="shared" ref="H39:H46" si="3">SUM(F39*G39/1000)</f>
        <v>10.414999999999999</v>
      </c>
      <c r="I39" s="13">
        <f>G39*0.8</f>
        <v>1666.4</v>
      </c>
    </row>
    <row r="40" spans="1:9" ht="19.5" customHeight="1">
      <c r="A40" s="32">
        <v>6</v>
      </c>
      <c r="B40" s="118" t="s">
        <v>104</v>
      </c>
      <c r="C40" s="119" t="s">
        <v>29</v>
      </c>
      <c r="D40" s="104" t="s">
        <v>183</v>
      </c>
      <c r="E40" s="106">
        <v>107.4</v>
      </c>
      <c r="F40" s="120">
        <f>E40*30/1000</f>
        <v>3.222</v>
      </c>
      <c r="G40" s="107">
        <v>2868.09</v>
      </c>
      <c r="H40" s="108">
        <f t="shared" si="3"/>
        <v>9.2409859800000014</v>
      </c>
      <c r="I40" s="13">
        <f t="shared" ref="I40:I46" si="4">F40/6*G40</f>
        <v>1540.1643300000001</v>
      </c>
    </row>
    <row r="41" spans="1:9" ht="18" customHeight="1">
      <c r="A41" s="32">
        <v>7</v>
      </c>
      <c r="B41" s="104" t="s">
        <v>67</v>
      </c>
      <c r="C41" s="105" t="s">
        <v>29</v>
      </c>
      <c r="D41" s="104" t="s">
        <v>188</v>
      </c>
      <c r="E41" s="107">
        <v>107.4</v>
      </c>
      <c r="F41" s="120">
        <f>SUM(E41*155/1000)</f>
        <v>16.646999999999998</v>
      </c>
      <c r="G41" s="107">
        <v>478.42</v>
      </c>
      <c r="H41" s="108">
        <f t="shared" si="3"/>
        <v>7.964257739999999</v>
      </c>
      <c r="I41" s="13">
        <f t="shared" si="4"/>
        <v>1327.3762899999999</v>
      </c>
    </row>
    <row r="42" spans="1:9" hidden="1">
      <c r="A42" s="32"/>
      <c r="B42" s="104" t="s">
        <v>144</v>
      </c>
      <c r="C42" s="105" t="s">
        <v>145</v>
      </c>
      <c r="D42" s="104" t="s">
        <v>66</v>
      </c>
      <c r="E42" s="106"/>
      <c r="F42" s="120">
        <v>39</v>
      </c>
      <c r="G42" s="107">
        <v>314</v>
      </c>
      <c r="H42" s="108">
        <f t="shared" si="3"/>
        <v>12.246</v>
      </c>
      <c r="I42" s="13">
        <v>0</v>
      </c>
    </row>
    <row r="43" spans="1:9" ht="45" customHeight="1">
      <c r="A43" s="32">
        <v>8</v>
      </c>
      <c r="B43" s="104" t="s">
        <v>80</v>
      </c>
      <c r="C43" s="105" t="s">
        <v>86</v>
      </c>
      <c r="D43" s="104" t="s">
        <v>184</v>
      </c>
      <c r="E43" s="107">
        <v>52.8</v>
      </c>
      <c r="F43" s="120">
        <f>SUM(E43*35/1000)</f>
        <v>1.8480000000000001</v>
      </c>
      <c r="G43" s="107">
        <v>7915.6</v>
      </c>
      <c r="H43" s="108">
        <f t="shared" si="3"/>
        <v>14.628028800000003</v>
      </c>
      <c r="I43" s="13">
        <f t="shared" si="4"/>
        <v>2438.0048000000002</v>
      </c>
    </row>
    <row r="44" spans="1:9" ht="14.25" hidden="1" customHeight="1">
      <c r="A44" s="32">
        <v>10</v>
      </c>
      <c r="B44" s="104" t="s">
        <v>87</v>
      </c>
      <c r="C44" s="105" t="s">
        <v>86</v>
      </c>
      <c r="D44" s="104" t="s">
        <v>185</v>
      </c>
      <c r="E44" s="107">
        <v>107.4</v>
      </c>
      <c r="F44" s="120">
        <f>SUM(E44*45/1000)</f>
        <v>4.8330000000000002</v>
      </c>
      <c r="G44" s="107">
        <v>584.74</v>
      </c>
      <c r="H44" s="108">
        <f t="shared" si="3"/>
        <v>2.8260484200000002</v>
      </c>
      <c r="I44" s="13">
        <f>(F44/7.5)*G44</f>
        <v>376.80645599999997</v>
      </c>
    </row>
    <row r="45" spans="1:9" ht="16.5" hidden="1" customHeight="1">
      <c r="A45" s="32">
        <v>11</v>
      </c>
      <c r="B45" s="118" t="s">
        <v>69</v>
      </c>
      <c r="C45" s="119" t="s">
        <v>33</v>
      </c>
      <c r="D45" s="118"/>
      <c r="E45" s="116"/>
      <c r="F45" s="120">
        <v>0.9</v>
      </c>
      <c r="G45" s="120">
        <v>800</v>
      </c>
      <c r="H45" s="108">
        <f t="shared" si="3"/>
        <v>0.72</v>
      </c>
      <c r="I45" s="13">
        <f>(F45/7.5)*G45</f>
        <v>96.000000000000014</v>
      </c>
    </row>
    <row r="46" spans="1:9" ht="34.5" customHeight="1">
      <c r="A46" s="32">
        <v>9</v>
      </c>
      <c r="B46" s="121" t="s">
        <v>147</v>
      </c>
      <c r="C46" s="122" t="s">
        <v>29</v>
      </c>
      <c r="D46" s="118" t="s">
        <v>200</v>
      </c>
      <c r="E46" s="116">
        <v>4.2</v>
      </c>
      <c r="F46" s="120">
        <f>SUM(E46*12/1000)</f>
        <v>5.0400000000000007E-2</v>
      </c>
      <c r="G46" s="120">
        <v>270.61</v>
      </c>
      <c r="H46" s="108">
        <f t="shared" si="3"/>
        <v>1.3638744000000003E-2</v>
      </c>
      <c r="I46" s="13">
        <f t="shared" si="4"/>
        <v>2.2731240000000006</v>
      </c>
    </row>
    <row r="47" spans="1:9">
      <c r="A47" s="224" t="s">
        <v>128</v>
      </c>
      <c r="B47" s="225"/>
      <c r="C47" s="225"/>
      <c r="D47" s="225"/>
      <c r="E47" s="225"/>
      <c r="F47" s="225"/>
      <c r="G47" s="225"/>
      <c r="H47" s="225"/>
      <c r="I47" s="226"/>
    </row>
    <row r="48" spans="1:9" hidden="1">
      <c r="A48" s="32">
        <v>12</v>
      </c>
      <c r="B48" s="104" t="s">
        <v>123</v>
      </c>
      <c r="C48" s="105" t="s">
        <v>86</v>
      </c>
      <c r="D48" s="104" t="s">
        <v>43</v>
      </c>
      <c r="E48" s="106">
        <v>1197.75</v>
      </c>
      <c r="F48" s="107">
        <f>SUM(E48*2/1000)</f>
        <v>2.3955000000000002</v>
      </c>
      <c r="G48" s="36">
        <v>1104.48</v>
      </c>
      <c r="H48" s="108">
        <f t="shared" ref="H48:H57" si="5">SUM(F48*G48/1000)</f>
        <v>2.6457818400000002</v>
      </c>
      <c r="I48" s="13">
        <f>2.3955/2*G48</f>
        <v>1322.8909200000001</v>
      </c>
    </row>
    <row r="49" spans="1:9" hidden="1">
      <c r="A49" s="32">
        <v>13</v>
      </c>
      <c r="B49" s="104" t="s">
        <v>36</v>
      </c>
      <c r="C49" s="105" t="s">
        <v>86</v>
      </c>
      <c r="D49" s="104" t="s">
        <v>43</v>
      </c>
      <c r="E49" s="106">
        <v>52</v>
      </c>
      <c r="F49" s="107">
        <f>E49*2/1000</f>
        <v>0.104</v>
      </c>
      <c r="G49" s="36">
        <v>790.38</v>
      </c>
      <c r="H49" s="108">
        <f t="shared" si="5"/>
        <v>8.2199519999999998E-2</v>
      </c>
      <c r="I49" s="13">
        <f>0.104/2*G49</f>
        <v>41.099759999999996</v>
      </c>
    </row>
    <row r="50" spans="1:9" hidden="1">
      <c r="A50" s="32">
        <v>14</v>
      </c>
      <c r="B50" s="104" t="s">
        <v>37</v>
      </c>
      <c r="C50" s="105" t="s">
        <v>86</v>
      </c>
      <c r="D50" s="104" t="s">
        <v>43</v>
      </c>
      <c r="E50" s="106">
        <v>1056.5999999999999</v>
      </c>
      <c r="F50" s="107">
        <f>SUM(E50*2/1000)</f>
        <v>2.1132</v>
      </c>
      <c r="G50" s="36">
        <v>790.38</v>
      </c>
      <c r="H50" s="108">
        <f t="shared" si="5"/>
        <v>1.670231016</v>
      </c>
      <c r="I50" s="13">
        <f>2.1132/2*G50</f>
        <v>835.11550799999998</v>
      </c>
    </row>
    <row r="51" spans="1:9" hidden="1">
      <c r="A51" s="32">
        <v>15</v>
      </c>
      <c r="B51" s="104" t="s">
        <v>38</v>
      </c>
      <c r="C51" s="105" t="s">
        <v>86</v>
      </c>
      <c r="D51" s="104" t="s">
        <v>43</v>
      </c>
      <c r="E51" s="106">
        <v>2582</v>
      </c>
      <c r="F51" s="107">
        <f>SUM(E51*2/1000)</f>
        <v>5.1639999999999997</v>
      </c>
      <c r="G51" s="36">
        <v>827.65</v>
      </c>
      <c r="H51" s="108">
        <f t="shared" si="5"/>
        <v>4.2739845999999995</v>
      </c>
      <c r="I51" s="13">
        <f>5.164/2*G51</f>
        <v>2136.9922999999999</v>
      </c>
    </row>
    <row r="52" spans="1:9" hidden="1">
      <c r="A52" s="32">
        <v>16</v>
      </c>
      <c r="B52" s="104" t="s">
        <v>34</v>
      </c>
      <c r="C52" s="105" t="s">
        <v>35</v>
      </c>
      <c r="D52" s="104" t="s">
        <v>43</v>
      </c>
      <c r="E52" s="106">
        <v>92.95</v>
      </c>
      <c r="F52" s="107">
        <f>SUM(E52*2/100)</f>
        <v>1.859</v>
      </c>
      <c r="G52" s="36">
        <v>99.31</v>
      </c>
      <c r="H52" s="108">
        <f t="shared" si="5"/>
        <v>0.18461728999999999</v>
      </c>
      <c r="I52" s="13">
        <f>1.859/2*G52</f>
        <v>92.308644999999999</v>
      </c>
    </row>
    <row r="53" spans="1:9" hidden="1">
      <c r="A53" s="32">
        <v>17</v>
      </c>
      <c r="B53" s="104" t="s">
        <v>56</v>
      </c>
      <c r="C53" s="105" t="s">
        <v>86</v>
      </c>
      <c r="D53" s="104" t="s">
        <v>134</v>
      </c>
      <c r="E53" s="106">
        <v>1916.4</v>
      </c>
      <c r="F53" s="107">
        <f>SUM(E53*5/1000)</f>
        <v>9.5820000000000007</v>
      </c>
      <c r="G53" s="36">
        <v>1655.27</v>
      </c>
      <c r="H53" s="108">
        <f t="shared" si="5"/>
        <v>15.860797140000001</v>
      </c>
      <c r="I53" s="13">
        <f>9.582/5*G53</f>
        <v>3172.1594279999999</v>
      </c>
    </row>
    <row r="54" spans="1:9" ht="30" hidden="1">
      <c r="A54" s="32">
        <v>11</v>
      </c>
      <c r="B54" s="104" t="s">
        <v>88</v>
      </c>
      <c r="C54" s="105" t="s">
        <v>86</v>
      </c>
      <c r="D54" s="104" t="s">
        <v>43</v>
      </c>
      <c r="E54" s="106">
        <v>3382.7</v>
      </c>
      <c r="F54" s="107">
        <f>SUM(E54*2/1000)</f>
        <v>6.7653999999999996</v>
      </c>
      <c r="G54" s="36">
        <v>1655.27</v>
      </c>
      <c r="H54" s="108">
        <f t="shared" si="5"/>
        <v>11.198563657999999</v>
      </c>
      <c r="I54" s="13">
        <f>6.7654/2*G54</f>
        <v>5599.2818289999996</v>
      </c>
    </row>
    <row r="55" spans="1:9" ht="30" hidden="1">
      <c r="A55" s="32">
        <v>12</v>
      </c>
      <c r="B55" s="104" t="s">
        <v>89</v>
      </c>
      <c r="C55" s="105" t="s">
        <v>39</v>
      </c>
      <c r="D55" s="104" t="s">
        <v>43</v>
      </c>
      <c r="E55" s="106">
        <v>20</v>
      </c>
      <c r="F55" s="107">
        <f>SUM(E55*2/100)</f>
        <v>0.4</v>
      </c>
      <c r="G55" s="36">
        <v>3724.37</v>
      </c>
      <c r="H55" s="108">
        <f t="shared" si="5"/>
        <v>1.4897480000000001</v>
      </c>
      <c r="I55" s="13">
        <f>0.4/2*G55</f>
        <v>744.87400000000002</v>
      </c>
    </row>
    <row r="56" spans="1:9" hidden="1">
      <c r="A56" s="32">
        <v>13</v>
      </c>
      <c r="B56" s="104" t="s">
        <v>40</v>
      </c>
      <c r="C56" s="105" t="s">
        <v>41</v>
      </c>
      <c r="D56" s="104" t="s">
        <v>43</v>
      </c>
      <c r="E56" s="106">
        <v>1</v>
      </c>
      <c r="F56" s="107">
        <v>0.02</v>
      </c>
      <c r="G56" s="36">
        <v>7709.44</v>
      </c>
      <c r="H56" s="108">
        <f t="shared" si="5"/>
        <v>0.15418879999999999</v>
      </c>
      <c r="I56" s="13">
        <f>G56*0.01</f>
        <v>77.094399999999993</v>
      </c>
    </row>
    <row r="57" spans="1:9">
      <c r="A57" s="32">
        <v>10</v>
      </c>
      <c r="B57" s="104" t="s">
        <v>42</v>
      </c>
      <c r="C57" s="105" t="s">
        <v>105</v>
      </c>
      <c r="D57" s="207">
        <v>44162</v>
      </c>
      <c r="E57" s="106">
        <v>118</v>
      </c>
      <c r="F57" s="107">
        <f>SUM(E57)*3</f>
        <v>354</v>
      </c>
      <c r="G57" s="123">
        <v>89.59</v>
      </c>
      <c r="H57" s="108">
        <f t="shared" si="5"/>
        <v>31.714860000000002</v>
      </c>
      <c r="I57" s="13">
        <f>G57*118</f>
        <v>10571.62</v>
      </c>
    </row>
    <row r="58" spans="1:9">
      <c r="A58" s="224" t="s">
        <v>159</v>
      </c>
      <c r="B58" s="225"/>
      <c r="C58" s="225"/>
      <c r="D58" s="225"/>
      <c r="E58" s="225"/>
      <c r="F58" s="225"/>
      <c r="G58" s="225"/>
      <c r="H58" s="225"/>
      <c r="I58" s="226"/>
    </row>
    <row r="59" spans="1:9">
      <c r="A59" s="32"/>
      <c r="B59" s="136" t="s">
        <v>44</v>
      </c>
      <c r="C59" s="105"/>
      <c r="D59" s="104"/>
      <c r="E59" s="106"/>
      <c r="F59" s="107"/>
      <c r="G59" s="107"/>
      <c r="H59" s="108"/>
      <c r="I59" s="13"/>
    </row>
    <row r="60" spans="1:9" ht="30">
      <c r="A60" s="32">
        <v>11</v>
      </c>
      <c r="B60" s="104" t="s">
        <v>118</v>
      </c>
      <c r="C60" s="105" t="s">
        <v>84</v>
      </c>
      <c r="D60" s="104"/>
      <c r="E60" s="106">
        <v>73.599999999999994</v>
      </c>
      <c r="F60" s="107">
        <f>SUM(E60*6/100)</f>
        <v>4.4159999999999995</v>
      </c>
      <c r="G60" s="36">
        <v>2110.4699999999998</v>
      </c>
      <c r="H60" s="108">
        <f>SUM(F60*G60/1000)</f>
        <v>9.319835519999998</v>
      </c>
      <c r="I60" s="13">
        <f>G60*0.06</f>
        <v>126.62819999999998</v>
      </c>
    </row>
    <row r="61" spans="1:9" hidden="1">
      <c r="A61" s="32"/>
      <c r="B61" s="104" t="s">
        <v>149</v>
      </c>
      <c r="C61" s="105" t="s">
        <v>150</v>
      </c>
      <c r="D61" s="104" t="s">
        <v>66</v>
      </c>
      <c r="E61" s="106"/>
      <c r="F61" s="107">
        <v>4</v>
      </c>
      <c r="G61" s="36">
        <v>1645</v>
      </c>
      <c r="H61" s="108">
        <f>SUM(F61*G61/1000)</f>
        <v>6.58</v>
      </c>
      <c r="I61" s="13">
        <v>0</v>
      </c>
    </row>
    <row r="62" spans="1:9" ht="20.25" customHeight="1">
      <c r="A62" s="32"/>
      <c r="B62" s="137" t="s">
        <v>45</v>
      </c>
      <c r="C62" s="94"/>
      <c r="D62" s="52"/>
      <c r="E62" s="91"/>
      <c r="F62" s="107"/>
      <c r="G62" s="139"/>
      <c r="H62" s="125"/>
      <c r="I62" s="13"/>
    </row>
    <row r="63" spans="1:9" hidden="1">
      <c r="A63" s="32"/>
      <c r="B63" s="52" t="s">
        <v>151</v>
      </c>
      <c r="C63" s="94" t="s">
        <v>53</v>
      </c>
      <c r="D63" s="52" t="s">
        <v>54</v>
      </c>
      <c r="E63" s="91">
        <v>158.19999999999999</v>
      </c>
      <c r="F63" s="107">
        <f>SUM(E63/100)</f>
        <v>1.5819999999999999</v>
      </c>
      <c r="G63" s="107">
        <v>1082.47</v>
      </c>
      <c r="H63" s="125">
        <f>F63*G63/1000</f>
        <v>1.7124675399999998</v>
      </c>
      <c r="I63" s="13">
        <v>0</v>
      </c>
    </row>
    <row r="64" spans="1:9" ht="18" customHeight="1">
      <c r="A64" s="32">
        <v>12</v>
      </c>
      <c r="B64" s="52" t="s">
        <v>116</v>
      </c>
      <c r="C64" s="94" t="s">
        <v>25</v>
      </c>
      <c r="D64" s="52" t="s">
        <v>182</v>
      </c>
      <c r="E64" s="91">
        <v>160</v>
      </c>
      <c r="F64" s="92">
        <f>E64*12</f>
        <v>1920</v>
      </c>
      <c r="G64" s="107">
        <v>1.4</v>
      </c>
      <c r="H64" s="125">
        <f>F64*G64/1000</f>
        <v>2.6880000000000002</v>
      </c>
      <c r="I64" s="13">
        <f>F64/12*G64</f>
        <v>224</v>
      </c>
    </row>
    <row r="65" spans="1:9" hidden="1">
      <c r="A65" s="32"/>
      <c r="B65" s="138" t="s">
        <v>46</v>
      </c>
      <c r="C65" s="94"/>
      <c r="D65" s="52"/>
      <c r="E65" s="91"/>
      <c r="F65" s="92"/>
      <c r="G65" s="92"/>
      <c r="H65" s="93" t="s">
        <v>119</v>
      </c>
      <c r="I65" s="13"/>
    </row>
    <row r="66" spans="1:9" ht="18.75" hidden="1" customHeight="1">
      <c r="A66" s="32">
        <v>14</v>
      </c>
      <c r="B66" s="126" t="s">
        <v>47</v>
      </c>
      <c r="C66" s="127" t="s">
        <v>105</v>
      </c>
      <c r="D66" s="38" t="s">
        <v>200</v>
      </c>
      <c r="E66" s="17">
        <v>12</v>
      </c>
      <c r="F66" s="107">
        <f>SUM(E66)</f>
        <v>12</v>
      </c>
      <c r="G66" s="36">
        <v>303.35000000000002</v>
      </c>
      <c r="H66" s="128">
        <f t="shared" ref="H66:H83" si="6">SUM(F66*G66/1000)</f>
        <v>3.6402000000000001</v>
      </c>
      <c r="I66" s="13">
        <f>G66*2</f>
        <v>606.70000000000005</v>
      </c>
    </row>
    <row r="67" spans="1:9" hidden="1">
      <c r="A67" s="32"/>
      <c r="B67" s="126" t="s">
        <v>48</v>
      </c>
      <c r="C67" s="127" t="s">
        <v>105</v>
      </c>
      <c r="D67" s="38" t="s">
        <v>66</v>
      </c>
      <c r="E67" s="17">
        <v>6</v>
      </c>
      <c r="F67" s="107">
        <f>SUM(E67)</f>
        <v>6</v>
      </c>
      <c r="G67" s="36">
        <v>104.01</v>
      </c>
      <c r="H67" s="128">
        <f t="shared" si="6"/>
        <v>0.62406000000000006</v>
      </c>
      <c r="I67" s="13">
        <v>0</v>
      </c>
    </row>
    <row r="68" spans="1:9" hidden="1">
      <c r="A68" s="32">
        <v>29</v>
      </c>
      <c r="B68" s="126" t="s">
        <v>49</v>
      </c>
      <c r="C68" s="129" t="s">
        <v>107</v>
      </c>
      <c r="D68" s="38" t="s">
        <v>54</v>
      </c>
      <c r="E68" s="106">
        <v>14220</v>
      </c>
      <c r="F68" s="123">
        <f>SUM(E68/100)</f>
        <v>142.19999999999999</v>
      </c>
      <c r="G68" s="36">
        <v>289.37</v>
      </c>
      <c r="H68" s="128">
        <f t="shared" si="6"/>
        <v>41.148413999999995</v>
      </c>
      <c r="I68" s="13">
        <f>142.2*G68</f>
        <v>41148.413999999997</v>
      </c>
    </row>
    <row r="69" spans="1:9" hidden="1">
      <c r="A69" s="32">
        <v>30</v>
      </c>
      <c r="B69" s="126" t="s">
        <v>50</v>
      </c>
      <c r="C69" s="127" t="s">
        <v>108</v>
      </c>
      <c r="D69" s="38"/>
      <c r="E69" s="106">
        <v>14220</v>
      </c>
      <c r="F69" s="36">
        <f>SUM(E69/1000)</f>
        <v>14.22</v>
      </c>
      <c r="G69" s="36">
        <v>225.35</v>
      </c>
      <c r="H69" s="128">
        <f t="shared" si="6"/>
        <v>3.2044769999999998</v>
      </c>
      <c r="I69" s="13">
        <f>14.22*G69</f>
        <v>3204.4769999999999</v>
      </c>
    </row>
    <row r="70" spans="1:9" hidden="1">
      <c r="A70" s="32">
        <v>31</v>
      </c>
      <c r="B70" s="126" t="s">
        <v>51</v>
      </c>
      <c r="C70" s="127" t="s">
        <v>76</v>
      </c>
      <c r="D70" s="38" t="s">
        <v>54</v>
      </c>
      <c r="E70" s="106">
        <v>2260</v>
      </c>
      <c r="F70" s="36">
        <f>SUM(E70/100)</f>
        <v>22.6</v>
      </c>
      <c r="G70" s="36">
        <v>2829.78</v>
      </c>
      <c r="H70" s="128">
        <f t="shared" si="6"/>
        <v>63.953028000000003</v>
      </c>
      <c r="I70" s="13">
        <f>22.6*G70</f>
        <v>63953.028000000006</v>
      </c>
    </row>
    <row r="71" spans="1:9" hidden="1">
      <c r="A71" s="32">
        <v>32</v>
      </c>
      <c r="B71" s="130" t="s">
        <v>109</v>
      </c>
      <c r="C71" s="127" t="s">
        <v>33</v>
      </c>
      <c r="D71" s="38"/>
      <c r="E71" s="106">
        <v>10.6</v>
      </c>
      <c r="F71" s="36">
        <f>SUM(E71)</f>
        <v>10.6</v>
      </c>
      <c r="G71" s="36">
        <v>44.31</v>
      </c>
      <c r="H71" s="128">
        <f t="shared" si="6"/>
        <v>0.46968600000000005</v>
      </c>
      <c r="I71" s="13">
        <f>10.6*G71</f>
        <v>469.68600000000004</v>
      </c>
    </row>
    <row r="72" spans="1:9" hidden="1">
      <c r="A72" s="32">
        <v>33</v>
      </c>
      <c r="B72" s="130" t="s">
        <v>110</v>
      </c>
      <c r="C72" s="127" t="s">
        <v>33</v>
      </c>
      <c r="D72" s="38"/>
      <c r="E72" s="106">
        <v>10.6</v>
      </c>
      <c r="F72" s="36">
        <f>SUM(E72)</f>
        <v>10.6</v>
      </c>
      <c r="G72" s="36">
        <v>47.79</v>
      </c>
      <c r="H72" s="128">
        <f t="shared" si="6"/>
        <v>0.50657399999999997</v>
      </c>
      <c r="I72" s="13">
        <f>10.6*G72</f>
        <v>506.57399999999996</v>
      </c>
    </row>
    <row r="73" spans="1:9" hidden="1">
      <c r="A73" s="32">
        <v>20</v>
      </c>
      <c r="B73" s="38" t="s">
        <v>57</v>
      </c>
      <c r="C73" s="127" t="s">
        <v>58</v>
      </c>
      <c r="D73" s="38" t="s">
        <v>54</v>
      </c>
      <c r="E73" s="17">
        <v>3</v>
      </c>
      <c r="F73" s="36">
        <f>SUM(E73)</f>
        <v>3</v>
      </c>
      <c r="G73" s="36">
        <v>68.040000000000006</v>
      </c>
      <c r="H73" s="128">
        <f t="shared" si="6"/>
        <v>0.20412</v>
      </c>
      <c r="I73" s="13">
        <f>G73*3</f>
        <v>204.12</v>
      </c>
    </row>
    <row r="74" spans="1:9" ht="18.75" customHeight="1">
      <c r="A74" s="32"/>
      <c r="B74" s="140" t="s">
        <v>71</v>
      </c>
      <c r="C74" s="127"/>
      <c r="D74" s="38"/>
      <c r="E74" s="17"/>
      <c r="F74" s="36"/>
      <c r="G74" s="36"/>
      <c r="H74" s="128" t="s">
        <v>119</v>
      </c>
      <c r="I74" s="72"/>
    </row>
    <row r="75" spans="1:9" ht="31.5" hidden="1" customHeight="1">
      <c r="A75" s="32"/>
      <c r="B75" s="38" t="s">
        <v>152</v>
      </c>
      <c r="C75" s="127" t="s">
        <v>105</v>
      </c>
      <c r="D75" s="38" t="s">
        <v>133</v>
      </c>
      <c r="E75" s="17">
        <v>1</v>
      </c>
      <c r="F75" s="36">
        <v>1</v>
      </c>
      <c r="G75" s="36">
        <v>2112.2800000000002</v>
      </c>
      <c r="H75" s="128">
        <f t="shared" ref="H75:H77" si="7">SUM(F75*G75/1000)</f>
        <v>2.1122800000000002</v>
      </c>
      <c r="I75" s="72"/>
    </row>
    <row r="76" spans="1:9" ht="30" hidden="1">
      <c r="A76" s="32"/>
      <c r="B76" s="38" t="s">
        <v>72</v>
      </c>
      <c r="C76" s="127" t="s">
        <v>74</v>
      </c>
      <c r="D76" s="38" t="s">
        <v>133</v>
      </c>
      <c r="E76" s="17">
        <v>3</v>
      </c>
      <c r="F76" s="36">
        <f>E76/10</f>
        <v>0.3</v>
      </c>
      <c r="G76" s="36">
        <v>684.19</v>
      </c>
      <c r="H76" s="128">
        <f t="shared" si="7"/>
        <v>0.205257</v>
      </c>
      <c r="I76" s="72"/>
    </row>
    <row r="77" spans="1:9" ht="30" hidden="1">
      <c r="A77" s="32"/>
      <c r="B77" s="38" t="s">
        <v>153</v>
      </c>
      <c r="C77" s="127" t="s">
        <v>105</v>
      </c>
      <c r="D77" s="38" t="s">
        <v>133</v>
      </c>
      <c r="E77" s="17">
        <v>1</v>
      </c>
      <c r="F77" s="107">
        <f>SUM(E77)</f>
        <v>1</v>
      </c>
      <c r="G77" s="36">
        <v>1163.47</v>
      </c>
      <c r="H77" s="128">
        <f t="shared" si="7"/>
        <v>1.16347</v>
      </c>
      <c r="I77" s="72"/>
    </row>
    <row r="78" spans="1:9" ht="30" hidden="1">
      <c r="A78" s="32"/>
      <c r="B78" s="121" t="s">
        <v>154</v>
      </c>
      <c r="C78" s="122" t="s">
        <v>105</v>
      </c>
      <c r="D78" s="38" t="s">
        <v>133</v>
      </c>
      <c r="E78" s="17">
        <v>1</v>
      </c>
      <c r="F78" s="95">
        <v>1</v>
      </c>
      <c r="G78" s="36">
        <v>1670.07</v>
      </c>
      <c r="H78" s="128">
        <f>SUM(F78*G78/1000)</f>
        <v>1.6700699999999999</v>
      </c>
      <c r="I78" s="72"/>
    </row>
    <row r="79" spans="1:9" ht="33.75" customHeight="1">
      <c r="A79" s="32">
        <v>13</v>
      </c>
      <c r="B79" s="121" t="s">
        <v>155</v>
      </c>
      <c r="C79" s="122" t="s">
        <v>105</v>
      </c>
      <c r="D79" s="38" t="s">
        <v>182</v>
      </c>
      <c r="E79" s="131">
        <v>2</v>
      </c>
      <c r="F79" s="92">
        <f>E79*12</f>
        <v>24</v>
      </c>
      <c r="G79" s="132">
        <v>55.55</v>
      </c>
      <c r="H79" s="128">
        <f t="shared" ref="H79" si="8">SUM(F79*G79/1000)</f>
        <v>1.3331999999999997</v>
      </c>
      <c r="I79" s="13">
        <f>F79/12*G79</f>
        <v>111.1</v>
      </c>
    </row>
    <row r="80" spans="1:9" ht="16.5" customHeight="1">
      <c r="A80" s="32"/>
      <c r="B80" s="141" t="s">
        <v>156</v>
      </c>
      <c r="C80" s="122"/>
      <c r="D80" s="38"/>
      <c r="E80" s="17"/>
      <c r="F80" s="36"/>
      <c r="G80" s="36"/>
      <c r="H80" s="128"/>
      <c r="I80" s="72"/>
    </row>
    <row r="81" spans="1:9" ht="15" customHeight="1">
      <c r="A81" s="32">
        <v>14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28">
        <f t="shared" ref="H81" si="9">SUM(F81*G81/1000)</f>
        <v>96.203987999999995</v>
      </c>
      <c r="I81" s="13">
        <f>F81/12*G81</f>
        <v>8016.9989999999989</v>
      </c>
    </row>
    <row r="82" spans="1:9" hidden="1">
      <c r="A82" s="32"/>
      <c r="B82" s="142" t="s">
        <v>75</v>
      </c>
      <c r="C82" s="127"/>
      <c r="D82" s="38"/>
      <c r="E82" s="17"/>
      <c r="F82" s="36"/>
      <c r="G82" s="36" t="s">
        <v>119</v>
      </c>
      <c r="H82" s="128" t="s">
        <v>119</v>
      </c>
      <c r="I82" s="72"/>
    </row>
    <row r="83" spans="1:9" hidden="1">
      <c r="A83" s="32">
        <v>18</v>
      </c>
      <c r="B83" s="134" t="s">
        <v>117</v>
      </c>
      <c r="C83" s="129" t="s">
        <v>76</v>
      </c>
      <c r="D83" s="126"/>
      <c r="E83" s="135"/>
      <c r="F83" s="123">
        <v>0.1</v>
      </c>
      <c r="G83" s="123">
        <v>4144.28</v>
      </c>
      <c r="H83" s="128">
        <f t="shared" si="6"/>
        <v>0.41442800000000002</v>
      </c>
      <c r="I83" s="13">
        <f>G83</f>
        <v>4144.28</v>
      </c>
    </row>
    <row r="84" spans="1:9" ht="28.5" hidden="1">
      <c r="A84" s="32"/>
      <c r="B84" s="90" t="s">
        <v>90</v>
      </c>
      <c r="C84" s="129"/>
      <c r="D84" s="126"/>
      <c r="E84" s="135"/>
      <c r="F84" s="123"/>
      <c r="G84" s="123"/>
      <c r="H84" s="128"/>
      <c r="I84" s="13"/>
    </row>
    <row r="85" spans="1:9" hidden="1">
      <c r="A85" s="32"/>
      <c r="B85" s="104" t="s">
        <v>111</v>
      </c>
      <c r="C85" s="143"/>
      <c r="D85" s="144"/>
      <c r="E85" s="145"/>
      <c r="F85" s="37">
        <v>1</v>
      </c>
      <c r="G85" s="37">
        <v>12528</v>
      </c>
      <c r="H85" s="128">
        <f>G85*F85/1000</f>
        <v>12.528</v>
      </c>
      <c r="I85" s="13">
        <v>0</v>
      </c>
    </row>
    <row r="86" spans="1:9">
      <c r="A86" s="228" t="s">
        <v>160</v>
      </c>
      <c r="B86" s="229"/>
      <c r="C86" s="229"/>
      <c r="D86" s="229"/>
      <c r="E86" s="229"/>
      <c r="F86" s="229"/>
      <c r="G86" s="229"/>
      <c r="H86" s="229"/>
      <c r="I86" s="230"/>
    </row>
    <row r="87" spans="1:9" ht="16.5" customHeight="1">
      <c r="A87" s="32">
        <v>15</v>
      </c>
      <c r="B87" s="104" t="s">
        <v>113</v>
      </c>
      <c r="C87" s="127" t="s">
        <v>55</v>
      </c>
      <c r="D87" s="147"/>
      <c r="E87" s="36">
        <v>3382.7</v>
      </c>
      <c r="F87" s="36">
        <f>SUM(E87*12)</f>
        <v>40592.399999999994</v>
      </c>
      <c r="G87" s="36">
        <v>3.22</v>
      </c>
      <c r="H87" s="128">
        <f>SUM(F87*G87/1000)</f>
        <v>130.707528</v>
      </c>
      <c r="I87" s="13">
        <f>F87/12*G87</f>
        <v>10892.293999999998</v>
      </c>
    </row>
    <row r="88" spans="1:9" ht="33" customHeight="1">
      <c r="A88" s="32">
        <v>16</v>
      </c>
      <c r="B88" s="38" t="s">
        <v>77</v>
      </c>
      <c r="C88" s="127"/>
      <c r="D88" s="146"/>
      <c r="E88" s="106">
        <v>3382.7</v>
      </c>
      <c r="F88" s="36">
        <f>E88*12</f>
        <v>40592.399999999994</v>
      </c>
      <c r="G88" s="36">
        <v>3.64</v>
      </c>
      <c r="H88" s="128">
        <f>F88*G88/1000</f>
        <v>147.75633599999998</v>
      </c>
      <c r="I88" s="13">
        <f>F88/12*G88</f>
        <v>12313.027999999998</v>
      </c>
    </row>
    <row r="89" spans="1:9">
      <c r="A89" s="32"/>
      <c r="B89" s="39" t="s">
        <v>79</v>
      </c>
      <c r="C89" s="83"/>
      <c r="D89" s="82"/>
      <c r="E89" s="72"/>
      <c r="F89" s="72"/>
      <c r="G89" s="72"/>
      <c r="H89" s="84">
        <f>H88</f>
        <v>147.75633599999998</v>
      </c>
      <c r="I89" s="72">
        <f>I88+I87+I81+I79+I64+I60+I46+I43+I41+I40+I27+I20+I18+I17+I16+I57</f>
        <v>60411.454694</v>
      </c>
    </row>
    <row r="90" spans="1:9">
      <c r="A90" s="215" t="s">
        <v>60</v>
      </c>
      <c r="B90" s="216"/>
      <c r="C90" s="216"/>
      <c r="D90" s="216"/>
      <c r="E90" s="216"/>
      <c r="F90" s="216"/>
      <c r="G90" s="216"/>
      <c r="H90" s="216"/>
      <c r="I90" s="217"/>
    </row>
    <row r="91" spans="1:9">
      <c r="A91" s="210">
        <v>17</v>
      </c>
      <c r="B91" s="121" t="s">
        <v>195</v>
      </c>
      <c r="C91" s="122" t="s">
        <v>81</v>
      </c>
      <c r="D91" s="146" t="s">
        <v>280</v>
      </c>
      <c r="E91" s="36"/>
      <c r="F91" s="36">
        <v>5</v>
      </c>
      <c r="G91" s="36">
        <v>222.63</v>
      </c>
      <c r="H91" s="212"/>
      <c r="I91" s="209">
        <f>G91*1</f>
        <v>222.63</v>
      </c>
    </row>
    <row r="92" spans="1:9" ht="30">
      <c r="A92" s="210">
        <v>18</v>
      </c>
      <c r="B92" s="121" t="s">
        <v>274</v>
      </c>
      <c r="C92" s="122" t="s">
        <v>127</v>
      </c>
      <c r="D92" s="146" t="s">
        <v>279</v>
      </c>
      <c r="E92" s="36"/>
      <c r="F92" s="36">
        <v>1</v>
      </c>
      <c r="G92" s="36">
        <v>587.65</v>
      </c>
      <c r="H92" s="212"/>
      <c r="I92" s="209">
        <f>G92*1</f>
        <v>587.65</v>
      </c>
    </row>
    <row r="93" spans="1:9">
      <c r="A93" s="210">
        <v>19</v>
      </c>
      <c r="B93" s="121" t="s">
        <v>275</v>
      </c>
      <c r="C93" s="122" t="s">
        <v>276</v>
      </c>
      <c r="D93" s="146" t="s">
        <v>279</v>
      </c>
      <c r="E93" s="36"/>
      <c r="F93" s="36">
        <v>1</v>
      </c>
      <c r="G93" s="36">
        <v>234.78</v>
      </c>
      <c r="H93" s="212"/>
      <c r="I93" s="209">
        <f>G93*1</f>
        <v>234.78</v>
      </c>
    </row>
    <row r="94" spans="1:9">
      <c r="A94" s="210">
        <v>20</v>
      </c>
      <c r="B94" s="121" t="s">
        <v>277</v>
      </c>
      <c r="C94" s="122" t="s">
        <v>278</v>
      </c>
      <c r="D94" s="146"/>
      <c r="E94" s="36"/>
      <c r="F94" s="36">
        <v>1</v>
      </c>
      <c r="G94" s="36">
        <v>8975.92</v>
      </c>
      <c r="H94" s="212"/>
      <c r="I94" s="209">
        <f>G94*1</f>
        <v>8975.92</v>
      </c>
    </row>
    <row r="95" spans="1:9">
      <c r="A95" s="210">
        <v>21</v>
      </c>
      <c r="B95" s="121" t="s">
        <v>169</v>
      </c>
      <c r="C95" s="122" t="s">
        <v>105</v>
      </c>
      <c r="D95" s="146"/>
      <c r="E95" s="36"/>
      <c r="F95" s="36">
        <v>4</v>
      </c>
      <c r="G95" s="36">
        <v>215.85</v>
      </c>
      <c r="H95" s="212"/>
      <c r="I95" s="209">
        <f>G95*1</f>
        <v>215.85</v>
      </c>
    </row>
    <row r="96" spans="1:9" ht="15.75" customHeight="1">
      <c r="A96" s="32"/>
      <c r="B96" s="44" t="s">
        <v>52</v>
      </c>
      <c r="C96" s="40"/>
      <c r="D96" s="47"/>
      <c r="E96" s="40">
        <v>1</v>
      </c>
      <c r="F96" s="40"/>
      <c r="G96" s="40"/>
      <c r="H96" s="40"/>
      <c r="I96" s="34">
        <f>SUM(I91:I95)</f>
        <v>10236.83</v>
      </c>
    </row>
    <row r="97" spans="1:9">
      <c r="A97" s="32"/>
      <c r="B97" s="46" t="s">
        <v>78</v>
      </c>
      <c r="C97" s="15"/>
      <c r="D97" s="15"/>
      <c r="E97" s="41"/>
      <c r="F97" s="41"/>
      <c r="G97" s="42"/>
      <c r="H97" s="42"/>
      <c r="I97" s="17">
        <v>0</v>
      </c>
    </row>
    <row r="98" spans="1:9">
      <c r="A98" s="48"/>
      <c r="B98" s="45" t="s">
        <v>138</v>
      </c>
      <c r="C98" s="35"/>
      <c r="D98" s="35"/>
      <c r="E98" s="35"/>
      <c r="F98" s="35"/>
      <c r="G98" s="35"/>
      <c r="H98" s="35"/>
      <c r="I98" s="43">
        <f>I89+I96</f>
        <v>70648.284694000002</v>
      </c>
    </row>
    <row r="99" spans="1:9" ht="15.75">
      <c r="A99" s="231" t="s">
        <v>281</v>
      </c>
      <c r="B99" s="231"/>
      <c r="C99" s="231"/>
      <c r="D99" s="231"/>
      <c r="E99" s="231"/>
      <c r="F99" s="231"/>
      <c r="G99" s="231"/>
      <c r="H99" s="231"/>
      <c r="I99" s="231"/>
    </row>
    <row r="100" spans="1:9" ht="15.75">
      <c r="A100" s="59"/>
      <c r="B100" s="232" t="s">
        <v>282</v>
      </c>
      <c r="C100" s="232"/>
      <c r="D100" s="232"/>
      <c r="E100" s="232"/>
      <c r="F100" s="232"/>
      <c r="G100" s="232"/>
      <c r="H100" s="64"/>
      <c r="I100" s="3"/>
    </row>
    <row r="101" spans="1:9">
      <c r="A101" s="192"/>
      <c r="B101" s="233" t="s">
        <v>6</v>
      </c>
      <c r="C101" s="233"/>
      <c r="D101" s="233"/>
      <c r="E101" s="233"/>
      <c r="F101" s="233"/>
      <c r="G101" s="233"/>
      <c r="H101" s="27"/>
      <c r="I101" s="50"/>
    </row>
    <row r="102" spans="1:9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 ht="15.75">
      <c r="A103" s="234" t="s">
        <v>7</v>
      </c>
      <c r="B103" s="234"/>
      <c r="C103" s="234"/>
      <c r="D103" s="234"/>
      <c r="E103" s="234"/>
      <c r="F103" s="234"/>
      <c r="G103" s="234"/>
      <c r="H103" s="234"/>
      <c r="I103" s="234"/>
    </row>
    <row r="104" spans="1:9" ht="15.75">
      <c r="A104" s="234" t="s">
        <v>8</v>
      </c>
      <c r="B104" s="234"/>
      <c r="C104" s="234"/>
      <c r="D104" s="234"/>
      <c r="E104" s="234"/>
      <c r="F104" s="234"/>
      <c r="G104" s="234"/>
      <c r="H104" s="234"/>
      <c r="I104" s="234"/>
    </row>
    <row r="105" spans="1:9" ht="15.75">
      <c r="A105" s="235" t="s">
        <v>61</v>
      </c>
      <c r="B105" s="235"/>
      <c r="C105" s="235"/>
      <c r="D105" s="235"/>
      <c r="E105" s="235"/>
      <c r="F105" s="235"/>
      <c r="G105" s="235"/>
      <c r="H105" s="235"/>
      <c r="I105" s="235"/>
    </row>
    <row r="106" spans="1:9" ht="15.75">
      <c r="A106" s="11"/>
    </row>
    <row r="107" spans="1:9" ht="15.75">
      <c r="A107" s="236" t="s">
        <v>9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>
      <c r="A108" s="4"/>
    </row>
    <row r="109" spans="1:9" ht="15.75">
      <c r="B109" s="189" t="s">
        <v>10</v>
      </c>
      <c r="C109" s="237" t="s">
        <v>271</v>
      </c>
      <c r="D109" s="237"/>
      <c r="E109" s="237"/>
      <c r="F109" s="62"/>
      <c r="I109" s="190"/>
    </row>
    <row r="110" spans="1:9">
      <c r="A110" s="187"/>
      <c r="C110" s="233" t="s">
        <v>11</v>
      </c>
      <c r="D110" s="233"/>
      <c r="E110" s="233"/>
      <c r="F110" s="27"/>
      <c r="I110" s="188" t="s">
        <v>12</v>
      </c>
    </row>
    <row r="111" spans="1:9" ht="15.75">
      <c r="A111" s="28"/>
      <c r="C111" s="12"/>
      <c r="D111" s="12"/>
      <c r="G111" s="12"/>
      <c r="H111" s="12"/>
    </row>
    <row r="112" spans="1:9" ht="15.75">
      <c r="B112" s="189" t="s">
        <v>13</v>
      </c>
      <c r="C112" s="238"/>
      <c r="D112" s="238"/>
      <c r="E112" s="238"/>
      <c r="F112" s="63"/>
      <c r="I112" s="190"/>
    </row>
    <row r="113" spans="1:9">
      <c r="A113" s="187"/>
      <c r="C113" s="227" t="s">
        <v>11</v>
      </c>
      <c r="D113" s="227"/>
      <c r="E113" s="227"/>
      <c r="F113" s="187"/>
      <c r="I113" s="188" t="s">
        <v>12</v>
      </c>
    </row>
    <row r="114" spans="1:9" ht="15.75">
      <c r="A114" s="4" t="s">
        <v>14</v>
      </c>
    </row>
    <row r="115" spans="1:9">
      <c r="A115" s="239" t="s">
        <v>15</v>
      </c>
      <c r="B115" s="239"/>
      <c r="C115" s="239"/>
      <c r="D115" s="239"/>
      <c r="E115" s="239"/>
      <c r="F115" s="239"/>
      <c r="G115" s="239"/>
      <c r="H115" s="239"/>
      <c r="I115" s="239"/>
    </row>
    <row r="116" spans="1:9" ht="42" customHeight="1">
      <c r="A116" s="240" t="s">
        <v>16</v>
      </c>
      <c r="B116" s="240"/>
      <c r="C116" s="240"/>
      <c r="D116" s="240"/>
      <c r="E116" s="240"/>
      <c r="F116" s="240"/>
      <c r="G116" s="240"/>
      <c r="H116" s="240"/>
      <c r="I116" s="240"/>
    </row>
    <row r="117" spans="1:9" ht="37.5" customHeight="1">
      <c r="A117" s="240" t="s">
        <v>17</v>
      </c>
      <c r="B117" s="240"/>
      <c r="C117" s="240"/>
      <c r="D117" s="240"/>
      <c r="E117" s="240"/>
      <c r="F117" s="240"/>
      <c r="G117" s="240"/>
      <c r="H117" s="240"/>
      <c r="I117" s="240"/>
    </row>
    <row r="118" spans="1:9" ht="33" customHeight="1">
      <c r="A118" s="240" t="s">
        <v>21</v>
      </c>
      <c r="B118" s="240"/>
      <c r="C118" s="240"/>
      <c r="D118" s="240"/>
      <c r="E118" s="240"/>
      <c r="F118" s="240"/>
      <c r="G118" s="240"/>
      <c r="H118" s="240"/>
      <c r="I118" s="240"/>
    </row>
    <row r="119" spans="1:9" ht="15.75">
      <c r="A119" s="240" t="s">
        <v>20</v>
      </c>
      <c r="B119" s="240"/>
      <c r="C119" s="240"/>
      <c r="D119" s="240"/>
      <c r="E119" s="240"/>
      <c r="F119" s="240"/>
      <c r="G119" s="240"/>
      <c r="H119" s="240"/>
      <c r="I119" s="240"/>
    </row>
  </sheetData>
  <mergeCells count="28">
    <mergeCell ref="A115:I115"/>
    <mergeCell ref="A116:I116"/>
    <mergeCell ref="A117:I117"/>
    <mergeCell ref="A118:I118"/>
    <mergeCell ref="A119:I119"/>
    <mergeCell ref="C113:E113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90:I90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  <mergeCell ref="A86:I8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2"/>
  <sheetViews>
    <sheetView tabSelected="1" topLeftCell="A89" workbookViewId="0">
      <selection activeCell="A110" sqref="A110:I110"/>
    </sheetView>
  </sheetViews>
  <sheetFormatPr defaultRowHeight="15"/>
  <cols>
    <col min="1" max="1" width="12.85546875" customWidth="1"/>
    <col min="2" max="2" width="50.5703125" customWidth="1"/>
    <col min="3" max="3" width="15.7109375" customWidth="1"/>
    <col min="4" max="4" width="19.85546875" customWidth="1"/>
    <col min="5" max="5" width="0" hidden="1" customWidth="1"/>
    <col min="6" max="6" width="13.28515625" hidden="1" customWidth="1"/>
    <col min="7" max="7" width="15.140625" customWidth="1"/>
    <col min="8" max="8" width="0" hidden="1" customWidth="1"/>
    <col min="9" max="9" width="17.28515625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174</v>
      </c>
      <c r="B3" s="218"/>
      <c r="C3" s="218"/>
      <c r="D3" s="218"/>
      <c r="E3" s="218"/>
      <c r="F3" s="218"/>
      <c r="G3" s="218"/>
      <c r="H3" s="218"/>
      <c r="I3" s="218"/>
    </row>
    <row r="4" spans="1:9" ht="34.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283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93"/>
      <c r="C6" s="193"/>
      <c r="D6" s="193"/>
      <c r="E6" s="193"/>
      <c r="F6" s="193"/>
      <c r="G6" s="193"/>
      <c r="H6" s="193"/>
      <c r="I6" s="33">
        <v>44196</v>
      </c>
    </row>
    <row r="7" spans="1:9" ht="15.75">
      <c r="B7" s="196"/>
      <c r="C7" s="196"/>
      <c r="D7" s="196"/>
      <c r="E7" s="3"/>
      <c r="F7" s="3"/>
      <c r="G7" s="3"/>
      <c r="H7" s="3"/>
    </row>
    <row r="8" spans="1:9" ht="102.75" customHeight="1">
      <c r="A8" s="221" t="s">
        <v>273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70.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84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7.2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4.2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6.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8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t="19.5" hidden="1" customHeight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t="18" hidden="1" customHeight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t="18.75" hidden="1" customHeight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t="18.75" hidden="1" customHeight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t="19.5" hidden="1" customHeight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24" hidden="1" customHeight="1">
      <c r="A26" s="32">
        <v>11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8.75" customHeight="1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 hidden="1">
      <c r="A28" s="32">
        <v>6</v>
      </c>
      <c r="B28" s="117" t="s">
        <v>23</v>
      </c>
      <c r="C28" s="105" t="s">
        <v>24</v>
      </c>
      <c r="D28" s="117" t="s">
        <v>119</v>
      </c>
      <c r="E28" s="106">
        <v>3382.7</v>
      </c>
      <c r="F28" s="107">
        <f>SUM(E28*12)</f>
        <v>40592.399999999994</v>
      </c>
      <c r="G28" s="107">
        <v>4.5199999999999996</v>
      </c>
      <c r="H28" s="108">
        <f>SUM(F28*G28/1000)</f>
        <v>183.47764799999996</v>
      </c>
      <c r="I28" s="13">
        <f>F28/12*G28</f>
        <v>15289.803999999996</v>
      </c>
    </row>
    <row r="29" spans="1:9">
      <c r="A29" s="223" t="s">
        <v>82</v>
      </c>
      <c r="B29" s="223"/>
      <c r="C29" s="223"/>
      <c r="D29" s="223"/>
      <c r="E29" s="223"/>
      <c r="F29" s="223"/>
      <c r="G29" s="223"/>
      <c r="H29" s="223"/>
      <c r="I29" s="223"/>
    </row>
    <row r="30" spans="1:9" hidden="1">
      <c r="A30" s="32"/>
      <c r="B30" s="136" t="s">
        <v>28</v>
      </c>
      <c r="C30" s="105"/>
      <c r="D30" s="104"/>
      <c r="E30" s="106"/>
      <c r="F30" s="107"/>
      <c r="G30" s="107"/>
      <c r="H30" s="108"/>
      <c r="I30" s="13"/>
    </row>
    <row r="31" spans="1:9" hidden="1">
      <c r="A31" s="32">
        <v>7</v>
      </c>
      <c r="B31" s="104" t="s">
        <v>103</v>
      </c>
      <c r="C31" s="105" t="s">
        <v>86</v>
      </c>
      <c r="D31" s="104" t="s">
        <v>141</v>
      </c>
      <c r="E31" s="107">
        <v>667.1</v>
      </c>
      <c r="F31" s="107">
        <f>SUM(E31*52/1000)</f>
        <v>34.689200000000007</v>
      </c>
      <c r="G31" s="107">
        <v>212.62</v>
      </c>
      <c r="H31" s="108">
        <f t="shared" ref="H31:H37" si="1">SUM(F31*G31/1000)</f>
        <v>7.3756177040000015</v>
      </c>
      <c r="I31" s="13">
        <f t="shared" ref="I31:I35" si="2">F31/6*G31</f>
        <v>1229.2696173333336</v>
      </c>
    </row>
    <row r="32" spans="1:9" ht="45" hidden="1">
      <c r="A32" s="32">
        <v>8</v>
      </c>
      <c r="B32" s="104" t="s">
        <v>115</v>
      </c>
      <c r="C32" s="105" t="s">
        <v>86</v>
      </c>
      <c r="D32" s="104" t="s">
        <v>142</v>
      </c>
      <c r="E32" s="107">
        <v>107.4</v>
      </c>
      <c r="F32" s="107">
        <f>SUM(E32*78/1000)</f>
        <v>8.3772000000000002</v>
      </c>
      <c r="G32" s="107">
        <v>352.77</v>
      </c>
      <c r="H32" s="108">
        <f t="shared" si="1"/>
        <v>2.955224844</v>
      </c>
      <c r="I32" s="13">
        <f t="shared" si="2"/>
        <v>492.53747400000003</v>
      </c>
    </row>
    <row r="33" spans="1:9" hidden="1">
      <c r="A33" s="32">
        <v>16</v>
      </c>
      <c r="B33" s="104" t="s">
        <v>27</v>
      </c>
      <c r="C33" s="105" t="s">
        <v>86</v>
      </c>
      <c r="D33" s="104" t="s">
        <v>54</v>
      </c>
      <c r="E33" s="107">
        <v>667.1</v>
      </c>
      <c r="F33" s="107">
        <f>SUM(E33/1000)</f>
        <v>0.66710000000000003</v>
      </c>
      <c r="G33" s="107">
        <v>4119.68</v>
      </c>
      <c r="H33" s="108">
        <f t="shared" si="1"/>
        <v>2.7482385280000003</v>
      </c>
      <c r="I33" s="13">
        <f>F33*G33</f>
        <v>2748.2385280000003</v>
      </c>
    </row>
    <row r="34" spans="1:9" hidden="1">
      <c r="A34" s="32">
        <v>9</v>
      </c>
      <c r="B34" s="104" t="s">
        <v>120</v>
      </c>
      <c r="C34" s="105" t="s">
        <v>41</v>
      </c>
      <c r="D34" s="104" t="s">
        <v>63</v>
      </c>
      <c r="E34" s="107">
        <v>3</v>
      </c>
      <c r="F34" s="107">
        <f>SUM(E34*155/100)</f>
        <v>4.6500000000000004</v>
      </c>
      <c r="G34" s="107">
        <v>1775.94</v>
      </c>
      <c r="H34" s="108">
        <f>G34*F34/1000</f>
        <v>8.2581210000000009</v>
      </c>
      <c r="I34" s="13">
        <f t="shared" si="2"/>
        <v>1376.3535000000002</v>
      </c>
    </row>
    <row r="35" spans="1:9" hidden="1">
      <c r="A35" s="32">
        <v>10</v>
      </c>
      <c r="B35" s="104" t="s">
        <v>102</v>
      </c>
      <c r="C35" s="105" t="s">
        <v>31</v>
      </c>
      <c r="D35" s="104" t="s">
        <v>63</v>
      </c>
      <c r="E35" s="115">
        <v>0.33333333333333331</v>
      </c>
      <c r="F35" s="107">
        <f>155/3</f>
        <v>51.666666666666664</v>
      </c>
      <c r="G35" s="107">
        <v>77.33</v>
      </c>
      <c r="H35" s="108">
        <f>SUM(G35*155/3/1000)</f>
        <v>3.9953833333333333</v>
      </c>
      <c r="I35" s="13">
        <f t="shared" si="2"/>
        <v>665.89722222222213</v>
      </c>
    </row>
    <row r="36" spans="1:9" hidden="1">
      <c r="A36" s="32"/>
      <c r="B36" s="104" t="s">
        <v>64</v>
      </c>
      <c r="C36" s="105" t="s">
        <v>33</v>
      </c>
      <c r="D36" s="104" t="s">
        <v>66</v>
      </c>
      <c r="E36" s="106"/>
      <c r="F36" s="107">
        <v>1</v>
      </c>
      <c r="G36" s="107">
        <v>260.95</v>
      </c>
      <c r="H36" s="108">
        <f t="shared" si="1"/>
        <v>0.26095000000000002</v>
      </c>
      <c r="I36" s="13">
        <v>0</v>
      </c>
    </row>
    <row r="37" spans="1:9" hidden="1">
      <c r="A37" s="32"/>
      <c r="B37" s="104" t="s">
        <v>65</v>
      </c>
      <c r="C37" s="105" t="s">
        <v>32</v>
      </c>
      <c r="D37" s="104" t="s">
        <v>66</v>
      </c>
      <c r="E37" s="106"/>
      <c r="F37" s="107">
        <v>1</v>
      </c>
      <c r="G37" s="107">
        <v>1549.92</v>
      </c>
      <c r="H37" s="108">
        <f t="shared" si="1"/>
        <v>1.54992</v>
      </c>
      <c r="I37" s="13">
        <v>0</v>
      </c>
    </row>
    <row r="38" spans="1:9" ht="18" customHeight="1">
      <c r="A38" s="32"/>
      <c r="B38" s="136" t="s">
        <v>5</v>
      </c>
      <c r="C38" s="105"/>
      <c r="D38" s="104"/>
      <c r="E38" s="106"/>
      <c r="F38" s="107"/>
      <c r="G38" s="107"/>
      <c r="H38" s="108" t="s">
        <v>119</v>
      </c>
      <c r="I38" s="13"/>
    </row>
    <row r="39" spans="1:9" ht="37.5" customHeight="1">
      <c r="A39" s="32">
        <v>6</v>
      </c>
      <c r="B39" s="118" t="s">
        <v>26</v>
      </c>
      <c r="C39" s="105" t="s">
        <v>32</v>
      </c>
      <c r="D39" s="104" t="s">
        <v>284</v>
      </c>
      <c r="E39" s="106"/>
      <c r="F39" s="107">
        <v>5</v>
      </c>
      <c r="G39" s="107">
        <v>2083</v>
      </c>
      <c r="H39" s="108">
        <f t="shared" ref="H39:H46" si="3">SUM(F39*G39/1000)</f>
        <v>10.414999999999999</v>
      </c>
      <c r="I39" s="13">
        <f>G39*0.8</f>
        <v>1666.4</v>
      </c>
    </row>
    <row r="40" spans="1:9" ht="18" customHeight="1">
      <c r="A40" s="32">
        <v>7</v>
      </c>
      <c r="B40" s="118" t="s">
        <v>104</v>
      </c>
      <c r="C40" s="119" t="s">
        <v>29</v>
      </c>
      <c r="D40" s="104" t="s">
        <v>183</v>
      </c>
      <c r="E40" s="106">
        <v>107.4</v>
      </c>
      <c r="F40" s="120">
        <f>E40*30/1000</f>
        <v>3.222</v>
      </c>
      <c r="G40" s="107">
        <v>2868.09</v>
      </c>
      <c r="H40" s="108">
        <f t="shared" si="3"/>
        <v>9.2409859800000014</v>
      </c>
      <c r="I40" s="13">
        <f t="shared" ref="I40:I46" si="4">F40/6*G40</f>
        <v>1540.1643300000001</v>
      </c>
    </row>
    <row r="41" spans="1:9" ht="19.5" customHeight="1">
      <c r="A41" s="32">
        <v>8</v>
      </c>
      <c r="B41" s="104" t="s">
        <v>67</v>
      </c>
      <c r="C41" s="105" t="s">
        <v>29</v>
      </c>
      <c r="D41" s="104" t="s">
        <v>188</v>
      </c>
      <c r="E41" s="107">
        <v>107.4</v>
      </c>
      <c r="F41" s="120">
        <f>SUM(E41*155/1000)</f>
        <v>16.646999999999998</v>
      </c>
      <c r="G41" s="107">
        <v>478.42</v>
      </c>
      <c r="H41" s="108">
        <f t="shared" si="3"/>
        <v>7.964257739999999</v>
      </c>
      <c r="I41" s="13">
        <f t="shared" si="4"/>
        <v>1327.3762899999999</v>
      </c>
    </row>
    <row r="42" spans="1:9" hidden="1">
      <c r="A42" s="32"/>
      <c r="B42" s="104" t="s">
        <v>144</v>
      </c>
      <c r="C42" s="105" t="s">
        <v>145</v>
      </c>
      <c r="D42" s="104" t="s">
        <v>66</v>
      </c>
      <c r="E42" s="106"/>
      <c r="F42" s="120">
        <v>39</v>
      </c>
      <c r="G42" s="107">
        <v>314</v>
      </c>
      <c r="H42" s="108">
        <f t="shared" si="3"/>
        <v>12.246</v>
      </c>
      <c r="I42" s="13">
        <v>0</v>
      </c>
    </row>
    <row r="43" spans="1:9" ht="49.5" customHeight="1">
      <c r="A43" s="32">
        <v>9</v>
      </c>
      <c r="B43" s="104" t="s">
        <v>80</v>
      </c>
      <c r="C43" s="105" t="s">
        <v>86</v>
      </c>
      <c r="D43" s="104" t="s">
        <v>184</v>
      </c>
      <c r="E43" s="107">
        <v>52.8</v>
      </c>
      <c r="F43" s="120">
        <f>SUM(E43*35/1000)</f>
        <v>1.8480000000000001</v>
      </c>
      <c r="G43" s="107">
        <v>7915.6</v>
      </c>
      <c r="H43" s="108">
        <f t="shared" si="3"/>
        <v>14.628028800000003</v>
      </c>
      <c r="I43" s="13">
        <f t="shared" si="4"/>
        <v>2438.0048000000002</v>
      </c>
    </row>
    <row r="44" spans="1:9" ht="16.5" customHeight="1">
      <c r="A44" s="32">
        <v>10</v>
      </c>
      <c r="B44" s="104" t="s">
        <v>87</v>
      </c>
      <c r="C44" s="105" t="s">
        <v>86</v>
      </c>
      <c r="D44" s="104" t="s">
        <v>186</v>
      </c>
      <c r="E44" s="107">
        <v>107.4</v>
      </c>
      <c r="F44" s="120">
        <f>SUM(E44*45/1000)</f>
        <v>4.8330000000000002</v>
      </c>
      <c r="G44" s="107">
        <v>584.74</v>
      </c>
      <c r="H44" s="108">
        <f t="shared" si="3"/>
        <v>2.8260484200000002</v>
      </c>
      <c r="I44" s="13">
        <f>G44*F44/45*1</f>
        <v>62.801076000000002</v>
      </c>
    </row>
    <row r="45" spans="1:9" ht="14.25" customHeight="1">
      <c r="A45" s="32">
        <v>11</v>
      </c>
      <c r="B45" s="118" t="s">
        <v>69</v>
      </c>
      <c r="C45" s="119" t="s">
        <v>33</v>
      </c>
      <c r="D45" s="118"/>
      <c r="E45" s="116"/>
      <c r="F45" s="120">
        <v>0.9</v>
      </c>
      <c r="G45" s="120">
        <v>800</v>
      </c>
      <c r="H45" s="108">
        <f t="shared" si="3"/>
        <v>0.72</v>
      </c>
      <c r="I45" s="13">
        <f>G45*F45/45*1</f>
        <v>16</v>
      </c>
    </row>
    <row r="46" spans="1:9" ht="30.75" customHeight="1">
      <c r="A46" s="32">
        <v>12</v>
      </c>
      <c r="B46" s="121" t="s">
        <v>147</v>
      </c>
      <c r="C46" s="122" t="s">
        <v>29</v>
      </c>
      <c r="D46" s="118" t="s">
        <v>200</v>
      </c>
      <c r="E46" s="116">
        <v>4.2</v>
      </c>
      <c r="F46" s="120">
        <f>SUM(E46*12/1000)</f>
        <v>5.0400000000000007E-2</v>
      </c>
      <c r="G46" s="120">
        <v>270.61</v>
      </c>
      <c r="H46" s="108">
        <f t="shared" si="3"/>
        <v>1.3638744000000003E-2</v>
      </c>
      <c r="I46" s="13">
        <f t="shared" si="4"/>
        <v>2.2731240000000006</v>
      </c>
    </row>
    <row r="47" spans="1:9">
      <c r="A47" s="224" t="s">
        <v>128</v>
      </c>
      <c r="B47" s="225"/>
      <c r="C47" s="225"/>
      <c r="D47" s="225"/>
      <c r="E47" s="225"/>
      <c r="F47" s="225"/>
      <c r="G47" s="225"/>
      <c r="H47" s="225"/>
      <c r="I47" s="226"/>
    </row>
    <row r="48" spans="1:9" hidden="1">
      <c r="A48" s="32">
        <v>12</v>
      </c>
      <c r="B48" s="104" t="s">
        <v>123</v>
      </c>
      <c r="C48" s="105" t="s">
        <v>86</v>
      </c>
      <c r="D48" s="104" t="s">
        <v>43</v>
      </c>
      <c r="E48" s="106">
        <v>1197.75</v>
      </c>
      <c r="F48" s="107">
        <f>SUM(E48*2/1000)</f>
        <v>2.3955000000000002</v>
      </c>
      <c r="G48" s="36">
        <v>1104.48</v>
      </c>
      <c r="H48" s="108">
        <f t="shared" ref="H48:H57" si="5">SUM(F48*G48/1000)</f>
        <v>2.6457818400000002</v>
      </c>
      <c r="I48" s="13">
        <f>2.3955/2*G48</f>
        <v>1322.8909200000001</v>
      </c>
    </row>
    <row r="49" spans="1:9" hidden="1">
      <c r="A49" s="32">
        <v>13</v>
      </c>
      <c r="B49" s="104" t="s">
        <v>36</v>
      </c>
      <c r="C49" s="105" t="s">
        <v>86</v>
      </c>
      <c r="D49" s="104" t="s">
        <v>43</v>
      </c>
      <c r="E49" s="106">
        <v>52</v>
      </c>
      <c r="F49" s="107">
        <f>E49*2/1000</f>
        <v>0.104</v>
      </c>
      <c r="G49" s="36">
        <v>790.38</v>
      </c>
      <c r="H49" s="108">
        <f t="shared" si="5"/>
        <v>8.2199519999999998E-2</v>
      </c>
      <c r="I49" s="13">
        <f>0.104/2*G49</f>
        <v>41.099759999999996</v>
      </c>
    </row>
    <row r="50" spans="1:9" hidden="1">
      <c r="A50" s="32">
        <v>14</v>
      </c>
      <c r="B50" s="104" t="s">
        <v>37</v>
      </c>
      <c r="C50" s="105" t="s">
        <v>86</v>
      </c>
      <c r="D50" s="104" t="s">
        <v>43</v>
      </c>
      <c r="E50" s="106">
        <v>1056.5999999999999</v>
      </c>
      <c r="F50" s="107">
        <f>SUM(E50*2/1000)</f>
        <v>2.1132</v>
      </c>
      <c r="G50" s="36">
        <v>790.38</v>
      </c>
      <c r="H50" s="108">
        <f t="shared" si="5"/>
        <v>1.670231016</v>
      </c>
      <c r="I50" s="13">
        <f>2.1132/2*G50</f>
        <v>835.11550799999998</v>
      </c>
    </row>
    <row r="51" spans="1:9" hidden="1">
      <c r="A51" s="32">
        <v>15</v>
      </c>
      <c r="B51" s="104" t="s">
        <v>38</v>
      </c>
      <c r="C51" s="105" t="s">
        <v>86</v>
      </c>
      <c r="D51" s="104" t="s">
        <v>43</v>
      </c>
      <c r="E51" s="106">
        <v>2582</v>
      </c>
      <c r="F51" s="107">
        <f>SUM(E51*2/1000)</f>
        <v>5.1639999999999997</v>
      </c>
      <c r="G51" s="36">
        <v>827.65</v>
      </c>
      <c r="H51" s="108">
        <f t="shared" si="5"/>
        <v>4.2739845999999995</v>
      </c>
      <c r="I51" s="13">
        <f>5.164/2*G51</f>
        <v>2136.9922999999999</v>
      </c>
    </row>
    <row r="52" spans="1:9" hidden="1">
      <c r="A52" s="32">
        <v>16</v>
      </c>
      <c r="B52" s="104" t="s">
        <v>34</v>
      </c>
      <c r="C52" s="105" t="s">
        <v>35</v>
      </c>
      <c r="D52" s="104" t="s">
        <v>43</v>
      </c>
      <c r="E52" s="106">
        <v>92.95</v>
      </c>
      <c r="F52" s="107">
        <f>SUM(E52*2/100)</f>
        <v>1.859</v>
      </c>
      <c r="G52" s="36">
        <v>99.31</v>
      </c>
      <c r="H52" s="108">
        <f t="shared" si="5"/>
        <v>0.18461728999999999</v>
      </c>
      <c r="I52" s="13">
        <f>1.859/2*G52</f>
        <v>92.308644999999999</v>
      </c>
    </row>
    <row r="53" spans="1:9">
      <c r="A53" s="32">
        <v>13</v>
      </c>
      <c r="B53" s="104" t="s">
        <v>56</v>
      </c>
      <c r="C53" s="105" t="s">
        <v>86</v>
      </c>
      <c r="D53" s="104" t="s">
        <v>186</v>
      </c>
      <c r="E53" s="106">
        <v>1916.4</v>
      </c>
      <c r="F53" s="107">
        <f>SUM(E53*5/1000)</f>
        <v>9.5820000000000007</v>
      </c>
      <c r="G53" s="36">
        <v>1655.27</v>
      </c>
      <c r="H53" s="108">
        <f t="shared" si="5"/>
        <v>15.860797140000001</v>
      </c>
      <c r="I53" s="13">
        <f>9.582/5*G53</f>
        <v>3172.1594279999999</v>
      </c>
    </row>
    <row r="54" spans="1:9" ht="45" hidden="1">
      <c r="A54" s="32">
        <v>11</v>
      </c>
      <c r="B54" s="104" t="s">
        <v>88</v>
      </c>
      <c r="C54" s="105" t="s">
        <v>86</v>
      </c>
      <c r="D54" s="104" t="s">
        <v>43</v>
      </c>
      <c r="E54" s="106">
        <v>3382.7</v>
      </c>
      <c r="F54" s="107">
        <f>SUM(E54*2/1000)</f>
        <v>6.7653999999999996</v>
      </c>
      <c r="G54" s="36">
        <v>1655.27</v>
      </c>
      <c r="H54" s="108">
        <f t="shared" si="5"/>
        <v>11.198563657999999</v>
      </c>
      <c r="I54" s="13">
        <f>6.7654/2*G54</f>
        <v>5599.2818289999996</v>
      </c>
    </row>
    <row r="55" spans="1:9" ht="30" hidden="1">
      <c r="A55" s="32">
        <v>12</v>
      </c>
      <c r="B55" s="104" t="s">
        <v>89</v>
      </c>
      <c r="C55" s="105" t="s">
        <v>39</v>
      </c>
      <c r="D55" s="104" t="s">
        <v>43</v>
      </c>
      <c r="E55" s="106">
        <v>20</v>
      </c>
      <c r="F55" s="107">
        <f>SUM(E55*2/100)</f>
        <v>0.4</v>
      </c>
      <c r="G55" s="36">
        <v>3724.37</v>
      </c>
      <c r="H55" s="108">
        <f t="shared" si="5"/>
        <v>1.4897480000000001</v>
      </c>
      <c r="I55" s="13">
        <f>0.4/2*G55</f>
        <v>744.87400000000002</v>
      </c>
    </row>
    <row r="56" spans="1:9" hidden="1">
      <c r="A56" s="32">
        <v>13</v>
      </c>
      <c r="B56" s="104" t="s">
        <v>40</v>
      </c>
      <c r="C56" s="105" t="s">
        <v>41</v>
      </c>
      <c r="D56" s="104" t="s">
        <v>43</v>
      </c>
      <c r="E56" s="106">
        <v>1</v>
      </c>
      <c r="F56" s="107">
        <v>0.02</v>
      </c>
      <c r="G56" s="36">
        <v>7709.44</v>
      </c>
      <c r="H56" s="108">
        <f t="shared" si="5"/>
        <v>0.15418879999999999</v>
      </c>
      <c r="I56" s="13">
        <f>G56*0.01</f>
        <v>77.094399999999993</v>
      </c>
    </row>
    <row r="57" spans="1:9" ht="16.5" hidden="1" customHeight="1">
      <c r="A57" s="32">
        <v>14</v>
      </c>
      <c r="B57" s="104" t="s">
        <v>42</v>
      </c>
      <c r="C57" s="105" t="s">
        <v>105</v>
      </c>
      <c r="D57" s="104" t="s">
        <v>70</v>
      </c>
      <c r="E57" s="106">
        <v>118</v>
      </c>
      <c r="F57" s="107">
        <f>SUM(E57)*3</f>
        <v>354</v>
      </c>
      <c r="G57" s="123">
        <v>89.59</v>
      </c>
      <c r="H57" s="108">
        <f t="shared" si="5"/>
        <v>31.714860000000002</v>
      </c>
      <c r="I57" s="13">
        <f>G57*118</f>
        <v>10571.62</v>
      </c>
    </row>
    <row r="58" spans="1:9">
      <c r="A58" s="224" t="s">
        <v>129</v>
      </c>
      <c r="B58" s="225"/>
      <c r="C58" s="225"/>
      <c r="D58" s="225"/>
      <c r="E58" s="225"/>
      <c r="F58" s="225"/>
      <c r="G58" s="225"/>
      <c r="H58" s="225"/>
      <c r="I58" s="226"/>
    </row>
    <row r="59" spans="1:9" hidden="1">
      <c r="A59" s="32"/>
      <c r="B59" s="136" t="s">
        <v>44</v>
      </c>
      <c r="C59" s="105"/>
      <c r="D59" s="104"/>
      <c r="E59" s="106"/>
      <c r="F59" s="107"/>
      <c r="G59" s="107"/>
      <c r="H59" s="108"/>
      <c r="I59" s="13"/>
    </row>
    <row r="60" spans="1:9" ht="30" hidden="1">
      <c r="A60" s="32">
        <v>14</v>
      </c>
      <c r="B60" s="104" t="s">
        <v>118</v>
      </c>
      <c r="C60" s="105" t="s">
        <v>84</v>
      </c>
      <c r="D60" s="104"/>
      <c r="E60" s="106">
        <v>73.599999999999994</v>
      </c>
      <c r="F60" s="107">
        <f>SUM(E60*6/100)</f>
        <v>4.4159999999999995</v>
      </c>
      <c r="G60" s="36">
        <v>2110.4699999999998</v>
      </c>
      <c r="H60" s="108">
        <f>SUM(F60*G60/1000)</f>
        <v>9.319835519999998</v>
      </c>
      <c r="I60" s="13">
        <f>G60*0.3747</f>
        <v>790.79310899999984</v>
      </c>
    </row>
    <row r="61" spans="1:9" ht="18" hidden="1" customHeight="1">
      <c r="A61" s="32">
        <v>15</v>
      </c>
      <c r="B61" s="104" t="s">
        <v>149</v>
      </c>
      <c r="C61" s="105" t="s">
        <v>150</v>
      </c>
      <c r="D61" s="104" t="s">
        <v>201</v>
      </c>
      <c r="E61" s="106"/>
      <c r="F61" s="107">
        <v>4</v>
      </c>
      <c r="G61" s="36">
        <v>1645</v>
      </c>
      <c r="H61" s="108">
        <f>SUM(F61*G61/1000)</f>
        <v>6.58</v>
      </c>
      <c r="I61" s="13">
        <f>G61*2</f>
        <v>3290</v>
      </c>
    </row>
    <row r="62" spans="1:9" ht="18" customHeight="1">
      <c r="A62" s="32"/>
      <c r="B62" s="137" t="s">
        <v>45</v>
      </c>
      <c r="C62" s="94"/>
      <c r="D62" s="52"/>
      <c r="E62" s="91"/>
      <c r="F62" s="107"/>
      <c r="G62" s="139"/>
      <c r="H62" s="125"/>
      <c r="I62" s="13"/>
    </row>
    <row r="63" spans="1:9" hidden="1">
      <c r="A63" s="32"/>
      <c r="B63" s="52" t="s">
        <v>151</v>
      </c>
      <c r="C63" s="94" t="s">
        <v>53</v>
      </c>
      <c r="D63" s="52" t="s">
        <v>54</v>
      </c>
      <c r="E63" s="91">
        <v>158.19999999999999</v>
      </c>
      <c r="F63" s="107">
        <f>SUM(E63/100)</f>
        <v>1.5819999999999999</v>
      </c>
      <c r="G63" s="107">
        <v>1082.47</v>
      </c>
      <c r="H63" s="125">
        <f>F63*G63/1000</f>
        <v>1.7124675399999998</v>
      </c>
      <c r="I63" s="13">
        <v>0</v>
      </c>
    </row>
    <row r="64" spans="1:9" ht="15.75" customHeight="1">
      <c r="A64" s="32">
        <v>14</v>
      </c>
      <c r="B64" s="52" t="s">
        <v>116</v>
      </c>
      <c r="C64" s="94" t="s">
        <v>25</v>
      </c>
      <c r="D64" s="52" t="s">
        <v>186</v>
      </c>
      <c r="E64" s="91">
        <v>160</v>
      </c>
      <c r="F64" s="92">
        <f>E64*12</f>
        <v>1920</v>
      </c>
      <c r="G64" s="107">
        <v>1.4</v>
      </c>
      <c r="H64" s="125">
        <f>F64*G64/1000</f>
        <v>2.6880000000000002</v>
      </c>
      <c r="I64" s="13">
        <f>F64/12*G64</f>
        <v>224</v>
      </c>
    </row>
    <row r="65" spans="1:9">
      <c r="A65" s="32"/>
      <c r="B65" s="138" t="s">
        <v>46</v>
      </c>
      <c r="C65" s="94"/>
      <c r="D65" s="52"/>
      <c r="E65" s="91"/>
      <c r="F65" s="92"/>
      <c r="G65" s="92"/>
      <c r="H65" s="93" t="s">
        <v>119</v>
      </c>
      <c r="I65" s="13"/>
    </row>
    <row r="66" spans="1:9">
      <c r="A66" s="32">
        <v>15</v>
      </c>
      <c r="B66" s="126" t="s">
        <v>47</v>
      </c>
      <c r="C66" s="127" t="s">
        <v>105</v>
      </c>
      <c r="D66" s="38" t="s">
        <v>200</v>
      </c>
      <c r="E66" s="17">
        <v>12</v>
      </c>
      <c r="F66" s="107">
        <f>SUM(E66)</f>
        <v>12</v>
      </c>
      <c r="G66" s="36">
        <v>303.35000000000002</v>
      </c>
      <c r="H66" s="128">
        <f t="shared" ref="H66:H83" si="6">SUM(F66*G66/1000)</f>
        <v>3.6402000000000001</v>
      </c>
      <c r="I66" s="13">
        <f>G66*2</f>
        <v>606.70000000000005</v>
      </c>
    </row>
    <row r="67" spans="1:9" hidden="1">
      <c r="A67" s="32"/>
      <c r="B67" s="126" t="s">
        <v>48</v>
      </c>
      <c r="C67" s="127" t="s">
        <v>105</v>
      </c>
      <c r="D67" s="38" t="s">
        <v>66</v>
      </c>
      <c r="E67" s="17">
        <v>6</v>
      </c>
      <c r="F67" s="107">
        <f>SUM(E67)</f>
        <v>6</v>
      </c>
      <c r="G67" s="36">
        <v>104.01</v>
      </c>
      <c r="H67" s="128">
        <f t="shared" si="6"/>
        <v>0.62406000000000006</v>
      </c>
      <c r="I67" s="13">
        <v>0</v>
      </c>
    </row>
    <row r="68" spans="1:9" hidden="1">
      <c r="A68" s="32">
        <v>29</v>
      </c>
      <c r="B68" s="126" t="s">
        <v>49</v>
      </c>
      <c r="C68" s="129" t="s">
        <v>107</v>
      </c>
      <c r="D68" s="38" t="s">
        <v>54</v>
      </c>
      <c r="E68" s="106">
        <v>14220</v>
      </c>
      <c r="F68" s="123">
        <f>SUM(E68/100)</f>
        <v>142.19999999999999</v>
      </c>
      <c r="G68" s="36">
        <v>289.37</v>
      </c>
      <c r="H68" s="128">
        <f t="shared" si="6"/>
        <v>41.148413999999995</v>
      </c>
      <c r="I68" s="13">
        <f>142.2*G68</f>
        <v>41148.413999999997</v>
      </c>
    </row>
    <row r="69" spans="1:9" hidden="1">
      <c r="A69" s="32">
        <v>30</v>
      </c>
      <c r="B69" s="126" t="s">
        <v>50</v>
      </c>
      <c r="C69" s="127" t="s">
        <v>108</v>
      </c>
      <c r="D69" s="38"/>
      <c r="E69" s="106">
        <v>14220</v>
      </c>
      <c r="F69" s="36">
        <f>SUM(E69/1000)</f>
        <v>14.22</v>
      </c>
      <c r="G69" s="36">
        <v>225.35</v>
      </c>
      <c r="H69" s="128">
        <f t="shared" si="6"/>
        <v>3.2044769999999998</v>
      </c>
      <c r="I69" s="13">
        <f>14.22*G69</f>
        <v>3204.4769999999999</v>
      </c>
    </row>
    <row r="70" spans="1:9" hidden="1">
      <c r="A70" s="32">
        <v>31</v>
      </c>
      <c r="B70" s="126" t="s">
        <v>51</v>
      </c>
      <c r="C70" s="127" t="s">
        <v>76</v>
      </c>
      <c r="D70" s="38" t="s">
        <v>54</v>
      </c>
      <c r="E70" s="106">
        <v>2260</v>
      </c>
      <c r="F70" s="36">
        <f>SUM(E70/100)</f>
        <v>22.6</v>
      </c>
      <c r="G70" s="36">
        <v>2829.78</v>
      </c>
      <c r="H70" s="128">
        <f t="shared" si="6"/>
        <v>63.953028000000003</v>
      </c>
      <c r="I70" s="13">
        <f>22.6*G70</f>
        <v>63953.028000000006</v>
      </c>
    </row>
    <row r="71" spans="1:9" hidden="1">
      <c r="A71" s="32">
        <v>32</v>
      </c>
      <c r="B71" s="130" t="s">
        <v>109</v>
      </c>
      <c r="C71" s="127" t="s">
        <v>33</v>
      </c>
      <c r="D71" s="38"/>
      <c r="E71" s="106">
        <v>10.6</v>
      </c>
      <c r="F71" s="36">
        <f>SUM(E71)</f>
        <v>10.6</v>
      </c>
      <c r="G71" s="36">
        <v>44.31</v>
      </c>
      <c r="H71" s="128">
        <f t="shared" si="6"/>
        <v>0.46968600000000005</v>
      </c>
      <c r="I71" s="13">
        <f>10.6*G71</f>
        <v>469.68600000000004</v>
      </c>
    </row>
    <row r="72" spans="1:9" hidden="1">
      <c r="A72" s="32">
        <v>33</v>
      </c>
      <c r="B72" s="130" t="s">
        <v>110</v>
      </c>
      <c r="C72" s="127" t="s">
        <v>33</v>
      </c>
      <c r="D72" s="38"/>
      <c r="E72" s="106">
        <v>10.6</v>
      </c>
      <c r="F72" s="36">
        <f>SUM(E72)</f>
        <v>10.6</v>
      </c>
      <c r="G72" s="36">
        <v>47.79</v>
      </c>
      <c r="H72" s="128">
        <f t="shared" si="6"/>
        <v>0.50657399999999997</v>
      </c>
      <c r="I72" s="13">
        <f>10.6*G72</f>
        <v>506.57399999999996</v>
      </c>
    </row>
    <row r="73" spans="1:9" hidden="1">
      <c r="A73" s="32">
        <v>20</v>
      </c>
      <c r="B73" s="38" t="s">
        <v>57</v>
      </c>
      <c r="C73" s="127" t="s">
        <v>58</v>
      </c>
      <c r="D73" s="38" t="s">
        <v>54</v>
      </c>
      <c r="E73" s="17">
        <v>3</v>
      </c>
      <c r="F73" s="36">
        <f>SUM(E73)</f>
        <v>3</v>
      </c>
      <c r="G73" s="36">
        <v>68.040000000000006</v>
      </c>
      <c r="H73" s="128">
        <f t="shared" si="6"/>
        <v>0.20412</v>
      </c>
      <c r="I73" s="13">
        <f>G73*3</f>
        <v>204.12</v>
      </c>
    </row>
    <row r="74" spans="1:9" ht="15.75" customHeight="1">
      <c r="A74" s="32"/>
      <c r="B74" s="140" t="s">
        <v>71</v>
      </c>
      <c r="C74" s="127"/>
      <c r="D74" s="38"/>
      <c r="E74" s="17"/>
      <c r="F74" s="36"/>
      <c r="G74" s="36"/>
      <c r="H74" s="128" t="s">
        <v>119</v>
      </c>
      <c r="I74" s="72"/>
    </row>
    <row r="75" spans="1:9" ht="30" hidden="1">
      <c r="A75" s="32"/>
      <c r="B75" s="38" t="s">
        <v>152</v>
      </c>
      <c r="C75" s="127" t="s">
        <v>105</v>
      </c>
      <c r="D75" s="38" t="s">
        <v>133</v>
      </c>
      <c r="E75" s="17">
        <v>1</v>
      </c>
      <c r="F75" s="36">
        <v>1</v>
      </c>
      <c r="G75" s="36">
        <v>2112.2800000000002</v>
      </c>
      <c r="H75" s="128">
        <f t="shared" ref="H75:H77" si="7">SUM(F75*G75/1000)</f>
        <v>2.1122800000000002</v>
      </c>
      <c r="I75" s="72"/>
    </row>
    <row r="76" spans="1:9" ht="30" hidden="1">
      <c r="A76" s="32"/>
      <c r="B76" s="38" t="s">
        <v>72</v>
      </c>
      <c r="C76" s="127" t="s">
        <v>74</v>
      </c>
      <c r="D76" s="38" t="s">
        <v>133</v>
      </c>
      <c r="E76" s="17">
        <v>3</v>
      </c>
      <c r="F76" s="36">
        <f>E76/10</f>
        <v>0.3</v>
      </c>
      <c r="G76" s="36">
        <v>684.19</v>
      </c>
      <c r="H76" s="128">
        <f t="shared" si="7"/>
        <v>0.205257</v>
      </c>
      <c r="I76" s="72"/>
    </row>
    <row r="77" spans="1:9" ht="30" hidden="1">
      <c r="A77" s="32"/>
      <c r="B77" s="38" t="s">
        <v>153</v>
      </c>
      <c r="C77" s="127" t="s">
        <v>105</v>
      </c>
      <c r="D77" s="38" t="s">
        <v>133</v>
      </c>
      <c r="E77" s="17">
        <v>1</v>
      </c>
      <c r="F77" s="107">
        <f>SUM(E77)</f>
        <v>1</v>
      </c>
      <c r="G77" s="36">
        <v>1163.47</v>
      </c>
      <c r="H77" s="128">
        <f t="shared" si="7"/>
        <v>1.16347</v>
      </c>
      <c r="I77" s="72"/>
    </row>
    <row r="78" spans="1:9" ht="30" hidden="1">
      <c r="A78" s="32"/>
      <c r="B78" s="121" t="s">
        <v>154</v>
      </c>
      <c r="C78" s="122" t="s">
        <v>105</v>
      </c>
      <c r="D78" s="38" t="s">
        <v>133</v>
      </c>
      <c r="E78" s="17">
        <v>1</v>
      </c>
      <c r="F78" s="95">
        <v>1</v>
      </c>
      <c r="G78" s="36">
        <v>1670.07</v>
      </c>
      <c r="H78" s="128">
        <f>SUM(F78*G78/1000)</f>
        <v>1.6700699999999999</v>
      </c>
      <c r="I78" s="72"/>
    </row>
    <row r="79" spans="1:9" ht="36" customHeight="1">
      <c r="A79" s="32">
        <v>16</v>
      </c>
      <c r="B79" s="121" t="s">
        <v>155</v>
      </c>
      <c r="C79" s="122" t="s">
        <v>105</v>
      </c>
      <c r="D79" s="38" t="s">
        <v>182</v>
      </c>
      <c r="E79" s="131">
        <v>2</v>
      </c>
      <c r="F79" s="92">
        <f>E79*12</f>
        <v>24</v>
      </c>
      <c r="G79" s="132">
        <v>55.55</v>
      </c>
      <c r="H79" s="128">
        <f t="shared" ref="H79" si="8">SUM(F79*G79/1000)</f>
        <v>1.3331999999999997</v>
      </c>
      <c r="I79" s="13">
        <f>F79/12*G79</f>
        <v>111.1</v>
      </c>
    </row>
    <row r="80" spans="1:9" ht="17.25" customHeight="1">
      <c r="A80" s="32"/>
      <c r="B80" s="141" t="s">
        <v>156</v>
      </c>
      <c r="C80" s="122"/>
      <c r="D80" s="38"/>
      <c r="E80" s="17"/>
      <c r="F80" s="36"/>
      <c r="G80" s="36"/>
      <c r="H80" s="128"/>
      <c r="I80" s="72"/>
    </row>
    <row r="81" spans="1:9" ht="14.25" customHeight="1">
      <c r="A81" s="32">
        <v>17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28">
        <f t="shared" ref="H81" si="9">SUM(F81*G81/1000)</f>
        <v>96.203987999999995</v>
      </c>
      <c r="I81" s="13">
        <f>F81/12*G81</f>
        <v>8016.9989999999989</v>
      </c>
    </row>
    <row r="82" spans="1:9" hidden="1">
      <c r="A82" s="32"/>
      <c r="B82" s="142" t="s">
        <v>75</v>
      </c>
      <c r="C82" s="127"/>
      <c r="D82" s="38"/>
      <c r="E82" s="17"/>
      <c r="F82" s="36"/>
      <c r="G82" s="36" t="s">
        <v>119</v>
      </c>
      <c r="H82" s="128" t="s">
        <v>119</v>
      </c>
      <c r="I82" s="72"/>
    </row>
    <row r="83" spans="1:9" hidden="1">
      <c r="A83" s="32">
        <v>18</v>
      </c>
      <c r="B83" s="134" t="s">
        <v>117</v>
      </c>
      <c r="C83" s="129" t="s">
        <v>76</v>
      </c>
      <c r="D83" s="126"/>
      <c r="E83" s="135"/>
      <c r="F83" s="123">
        <v>0.1</v>
      </c>
      <c r="G83" s="123">
        <v>4144.28</v>
      </c>
      <c r="H83" s="128">
        <f t="shared" si="6"/>
        <v>0.41442800000000002</v>
      </c>
      <c r="I83" s="13">
        <f>G83</f>
        <v>4144.28</v>
      </c>
    </row>
    <row r="84" spans="1:9" ht="29.25" hidden="1" customHeight="1">
      <c r="A84" s="32"/>
      <c r="B84" s="90" t="s">
        <v>90</v>
      </c>
      <c r="C84" s="129"/>
      <c r="D84" s="126"/>
      <c r="E84" s="135"/>
      <c r="F84" s="123"/>
      <c r="G84" s="123"/>
      <c r="H84" s="128"/>
      <c r="I84" s="13"/>
    </row>
    <row r="85" spans="1:9" ht="13.5" hidden="1" customHeight="1">
      <c r="A85" s="32">
        <v>18</v>
      </c>
      <c r="B85" s="104" t="s">
        <v>111</v>
      </c>
      <c r="C85" s="143"/>
      <c r="D85" s="144"/>
      <c r="E85" s="145"/>
      <c r="F85" s="37">
        <v>1</v>
      </c>
      <c r="G85" s="37">
        <v>2476</v>
      </c>
      <c r="H85" s="128">
        <f>G85*F85/1000</f>
        <v>2.476</v>
      </c>
      <c r="I85" s="13">
        <f>G85*1</f>
        <v>2476</v>
      </c>
    </row>
    <row r="86" spans="1:9">
      <c r="A86" s="228" t="s">
        <v>130</v>
      </c>
      <c r="B86" s="229"/>
      <c r="C86" s="229"/>
      <c r="D86" s="229"/>
      <c r="E86" s="229"/>
      <c r="F86" s="229"/>
      <c r="G86" s="229"/>
      <c r="H86" s="229"/>
      <c r="I86" s="230"/>
    </row>
    <row r="87" spans="1:9" ht="18" customHeight="1">
      <c r="A87" s="32">
        <v>18</v>
      </c>
      <c r="B87" s="104" t="s">
        <v>113</v>
      </c>
      <c r="C87" s="127" t="s">
        <v>55</v>
      </c>
      <c r="D87" s="147"/>
      <c r="E87" s="36">
        <v>3382.7</v>
      </c>
      <c r="F87" s="36">
        <f>SUM(E87*12)</f>
        <v>40592.399999999994</v>
      </c>
      <c r="G87" s="36">
        <v>3.22</v>
      </c>
      <c r="H87" s="128">
        <f>SUM(F87*G87/1000)</f>
        <v>130.707528</v>
      </c>
      <c r="I87" s="13">
        <f>F87/12*G87</f>
        <v>10892.293999999998</v>
      </c>
    </row>
    <row r="88" spans="1:9" ht="39" customHeight="1">
      <c r="A88" s="32">
        <v>19</v>
      </c>
      <c r="B88" s="38" t="s">
        <v>77</v>
      </c>
      <c r="C88" s="127"/>
      <c r="D88" s="146"/>
      <c r="E88" s="106">
        <v>3382.7</v>
      </c>
      <c r="F88" s="36">
        <f>E88*12</f>
        <v>40592.399999999994</v>
      </c>
      <c r="G88" s="36">
        <v>3.64</v>
      </c>
      <c r="H88" s="128">
        <f>F88*G88/1000</f>
        <v>147.75633599999998</v>
      </c>
      <c r="I88" s="13">
        <f>F88/12*G88</f>
        <v>12313.027999999998</v>
      </c>
    </row>
    <row r="89" spans="1:9">
      <c r="A89" s="32"/>
      <c r="B89" s="39" t="s">
        <v>79</v>
      </c>
      <c r="C89" s="83"/>
      <c r="D89" s="82"/>
      <c r="E89" s="72"/>
      <c r="F89" s="72"/>
      <c r="G89" s="72"/>
      <c r="H89" s="84">
        <f>H88</f>
        <v>147.75633599999998</v>
      </c>
      <c r="I89" s="72">
        <f>I88+I87+I81+I79+I66+I64+I53+I46+I45+I44+I43+I41+I40+I39+I27+I20+I18+I17+I16</f>
        <v>55237.266998000006</v>
      </c>
    </row>
    <row r="90" spans="1:9">
      <c r="A90" s="215" t="s">
        <v>60</v>
      </c>
      <c r="B90" s="216"/>
      <c r="C90" s="216"/>
      <c r="D90" s="216"/>
      <c r="E90" s="216"/>
      <c r="F90" s="216"/>
      <c r="G90" s="216"/>
      <c r="H90" s="216"/>
      <c r="I90" s="217"/>
    </row>
    <row r="91" spans="1:9" ht="30">
      <c r="A91" s="32">
        <v>20</v>
      </c>
      <c r="B91" s="121" t="s">
        <v>218</v>
      </c>
      <c r="C91" s="122" t="s">
        <v>164</v>
      </c>
      <c r="D91" s="146" t="s">
        <v>291</v>
      </c>
      <c r="E91" s="36"/>
      <c r="F91" s="36">
        <v>3</v>
      </c>
      <c r="G91" s="36">
        <v>1523.6</v>
      </c>
      <c r="H91" s="60"/>
      <c r="I91" s="85">
        <f>G91*0.5</f>
        <v>761.8</v>
      </c>
    </row>
    <row r="92" spans="1:9" ht="30">
      <c r="A92" s="32">
        <v>21</v>
      </c>
      <c r="B92" s="121" t="s">
        <v>285</v>
      </c>
      <c r="C92" s="122" t="s">
        <v>164</v>
      </c>
      <c r="D92" s="146" t="s">
        <v>291</v>
      </c>
      <c r="E92" s="36"/>
      <c r="F92" s="36">
        <v>0.5</v>
      </c>
      <c r="G92" s="36">
        <v>1421.68</v>
      </c>
      <c r="H92" s="60"/>
      <c r="I92" s="85">
        <f>G92*0.5</f>
        <v>710.84</v>
      </c>
    </row>
    <row r="93" spans="1:9" ht="30">
      <c r="A93" s="32">
        <v>22</v>
      </c>
      <c r="B93" s="121" t="s">
        <v>198</v>
      </c>
      <c r="C93" s="122" t="s">
        <v>127</v>
      </c>
      <c r="D93" s="38" t="s">
        <v>289</v>
      </c>
      <c r="E93" s="36"/>
      <c r="F93" s="36">
        <v>6</v>
      </c>
      <c r="G93" s="36">
        <v>670.51</v>
      </c>
      <c r="H93" s="60"/>
      <c r="I93" s="85">
        <f>G93*2</f>
        <v>1341.02</v>
      </c>
    </row>
    <row r="94" spans="1:9" ht="30">
      <c r="A94" s="32">
        <v>23</v>
      </c>
      <c r="B94" s="121" t="s">
        <v>222</v>
      </c>
      <c r="C94" s="122" t="s">
        <v>127</v>
      </c>
      <c r="D94" s="38" t="s">
        <v>290</v>
      </c>
      <c r="E94" s="36"/>
      <c r="F94" s="36">
        <v>4</v>
      </c>
      <c r="G94" s="36">
        <v>913.43</v>
      </c>
      <c r="H94" s="60"/>
      <c r="I94" s="85">
        <f>G94*1</f>
        <v>913.43</v>
      </c>
    </row>
    <row r="95" spans="1:9">
      <c r="A95" s="32">
        <v>24</v>
      </c>
      <c r="B95" s="121" t="s">
        <v>237</v>
      </c>
      <c r="C95" s="122" t="s">
        <v>53</v>
      </c>
      <c r="D95" s="146"/>
      <c r="E95" s="36"/>
      <c r="F95" s="36">
        <v>0.02</v>
      </c>
      <c r="G95" s="36">
        <v>82201.5</v>
      </c>
      <c r="H95" s="60"/>
      <c r="I95" s="85">
        <f>G95*0.01</f>
        <v>822.01499999999999</v>
      </c>
    </row>
    <row r="96" spans="1:9" ht="35.25" customHeight="1">
      <c r="A96" s="32">
        <v>25</v>
      </c>
      <c r="B96" s="121" t="s">
        <v>263</v>
      </c>
      <c r="C96" s="122" t="s">
        <v>264</v>
      </c>
      <c r="D96" s="38" t="s">
        <v>287</v>
      </c>
      <c r="E96" s="36"/>
      <c r="F96" s="36">
        <v>0.06</v>
      </c>
      <c r="G96" s="36">
        <v>22883.32</v>
      </c>
      <c r="H96" s="60"/>
      <c r="I96" s="85">
        <f>G96*0.03</f>
        <v>686.49959999999999</v>
      </c>
    </row>
    <row r="97" spans="1:9" ht="43.5" customHeight="1">
      <c r="A97" s="32">
        <v>26</v>
      </c>
      <c r="B97" s="121" t="s">
        <v>286</v>
      </c>
      <c r="C97" s="122" t="s">
        <v>121</v>
      </c>
      <c r="D97" s="38" t="s">
        <v>288</v>
      </c>
      <c r="E97" s="36"/>
      <c r="F97" s="36">
        <v>7.4999999999999997E-2</v>
      </c>
      <c r="G97" s="36">
        <v>11682.48</v>
      </c>
      <c r="H97" s="60"/>
      <c r="I97" s="85">
        <f>G97*0.075</f>
        <v>876.18599999999992</v>
      </c>
    </row>
    <row r="98" spans="1:9">
      <c r="A98" s="32">
        <v>27</v>
      </c>
      <c r="B98" s="121" t="s">
        <v>169</v>
      </c>
      <c r="C98" s="122" t="s">
        <v>105</v>
      </c>
      <c r="D98" s="146"/>
      <c r="E98" s="36"/>
      <c r="F98" s="36">
        <v>5</v>
      </c>
      <c r="G98" s="36">
        <v>215.85</v>
      </c>
      <c r="H98" s="60"/>
      <c r="I98" s="85">
        <f>G98*1</f>
        <v>215.85</v>
      </c>
    </row>
    <row r="99" spans="1:9" ht="17.25" customHeight="1">
      <c r="A99" s="32"/>
      <c r="B99" s="44" t="s">
        <v>52</v>
      </c>
      <c r="C99" s="40"/>
      <c r="D99" s="47"/>
      <c r="E99" s="213">
        <v>1</v>
      </c>
      <c r="F99" s="40"/>
      <c r="G99" s="40"/>
      <c r="H99" s="40"/>
      <c r="I99" s="34">
        <f>SUM(I91:I98)</f>
        <v>6327.6405999999997</v>
      </c>
    </row>
    <row r="100" spans="1:9">
      <c r="A100" s="32"/>
      <c r="B100" s="46" t="s">
        <v>78</v>
      </c>
      <c r="C100" s="15"/>
      <c r="D100" s="15"/>
      <c r="E100" s="41"/>
      <c r="F100" s="41"/>
      <c r="G100" s="42"/>
      <c r="H100" s="42"/>
      <c r="I100" s="17">
        <v>0</v>
      </c>
    </row>
    <row r="101" spans="1:9">
      <c r="A101" s="48"/>
      <c r="B101" s="45" t="s">
        <v>138</v>
      </c>
      <c r="C101" s="35"/>
      <c r="D101" s="35"/>
      <c r="E101" s="35"/>
      <c r="F101" s="35"/>
      <c r="G101" s="35"/>
      <c r="H101" s="35"/>
      <c r="I101" s="43">
        <f>I99+I89</f>
        <v>61564.907598000005</v>
      </c>
    </row>
    <row r="102" spans="1:9" ht="15.75">
      <c r="A102" s="231" t="s">
        <v>292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59"/>
      <c r="B103" s="232" t="s">
        <v>293</v>
      </c>
      <c r="C103" s="232"/>
      <c r="D103" s="232"/>
      <c r="E103" s="232"/>
      <c r="F103" s="232"/>
      <c r="G103" s="232"/>
      <c r="H103" s="64"/>
      <c r="I103" s="3"/>
    </row>
    <row r="104" spans="1:9">
      <c r="A104" s="198"/>
      <c r="B104" s="233" t="s">
        <v>6</v>
      </c>
      <c r="C104" s="233"/>
      <c r="D104" s="233"/>
      <c r="E104" s="233"/>
      <c r="F104" s="233"/>
      <c r="G104" s="233"/>
      <c r="H104" s="27"/>
      <c r="I104" s="50"/>
    </row>
    <row r="105" spans="1:9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 ht="15.75">
      <c r="A106" s="234" t="s">
        <v>7</v>
      </c>
      <c r="B106" s="234"/>
      <c r="C106" s="234"/>
      <c r="D106" s="234"/>
      <c r="E106" s="234"/>
      <c r="F106" s="234"/>
      <c r="G106" s="234"/>
      <c r="H106" s="234"/>
      <c r="I106" s="234"/>
    </row>
    <row r="107" spans="1:9" ht="15.75">
      <c r="A107" s="234" t="s">
        <v>8</v>
      </c>
      <c r="B107" s="234"/>
      <c r="C107" s="234"/>
      <c r="D107" s="234"/>
      <c r="E107" s="234"/>
      <c r="F107" s="234"/>
      <c r="G107" s="234"/>
      <c r="H107" s="234"/>
      <c r="I107" s="234"/>
    </row>
    <row r="108" spans="1:9" ht="15.75">
      <c r="A108" s="235" t="s">
        <v>61</v>
      </c>
      <c r="B108" s="235"/>
      <c r="C108" s="235"/>
      <c r="D108" s="235"/>
      <c r="E108" s="235"/>
      <c r="F108" s="235"/>
      <c r="G108" s="235"/>
      <c r="H108" s="235"/>
      <c r="I108" s="235"/>
    </row>
    <row r="109" spans="1:9" ht="15.75">
      <c r="A109" s="11"/>
    </row>
    <row r="110" spans="1:9" ht="15.75">
      <c r="A110" s="236" t="s">
        <v>9</v>
      </c>
      <c r="B110" s="236"/>
      <c r="C110" s="236"/>
      <c r="D110" s="236"/>
      <c r="E110" s="236"/>
      <c r="F110" s="236"/>
      <c r="G110" s="236"/>
      <c r="H110" s="236"/>
      <c r="I110" s="236"/>
    </row>
    <row r="111" spans="1:9" ht="15.75">
      <c r="A111" s="4"/>
    </row>
    <row r="112" spans="1:9" ht="15.75">
      <c r="B112" s="196" t="s">
        <v>10</v>
      </c>
      <c r="C112" s="237" t="s">
        <v>271</v>
      </c>
      <c r="D112" s="237"/>
      <c r="E112" s="237"/>
      <c r="F112" s="62"/>
      <c r="I112" s="197"/>
    </row>
    <row r="113" spans="1:9">
      <c r="A113" s="194"/>
      <c r="C113" s="233" t="s">
        <v>11</v>
      </c>
      <c r="D113" s="233"/>
      <c r="E113" s="233"/>
      <c r="F113" s="27"/>
      <c r="I113" s="195" t="s">
        <v>12</v>
      </c>
    </row>
    <row r="114" spans="1:9" ht="15.75">
      <c r="A114" s="28"/>
      <c r="C114" s="12"/>
      <c r="D114" s="12"/>
      <c r="G114" s="12"/>
      <c r="H114" s="12"/>
    </row>
    <row r="115" spans="1:9" ht="15.75">
      <c r="B115" s="196" t="s">
        <v>13</v>
      </c>
      <c r="C115" s="238"/>
      <c r="D115" s="238"/>
      <c r="E115" s="238"/>
      <c r="F115" s="63"/>
      <c r="I115" s="197"/>
    </row>
    <row r="116" spans="1:9">
      <c r="A116" s="194"/>
      <c r="C116" s="227" t="s">
        <v>11</v>
      </c>
      <c r="D116" s="227"/>
      <c r="E116" s="227"/>
      <c r="F116" s="194"/>
      <c r="I116" s="195" t="s">
        <v>12</v>
      </c>
    </row>
    <row r="117" spans="1:9" ht="15.75">
      <c r="A117" s="4" t="s">
        <v>14</v>
      </c>
    </row>
    <row r="118" spans="1:9">
      <c r="A118" s="239" t="s">
        <v>15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45.75" customHeight="1">
      <c r="A119" s="240" t="s">
        <v>16</v>
      </c>
      <c r="B119" s="240"/>
      <c r="C119" s="240"/>
      <c r="D119" s="240"/>
      <c r="E119" s="240"/>
      <c r="F119" s="240"/>
      <c r="G119" s="240"/>
      <c r="H119" s="240"/>
      <c r="I119" s="240"/>
    </row>
    <row r="120" spans="1:9" ht="36" customHeight="1">
      <c r="A120" s="240" t="s">
        <v>17</v>
      </c>
      <c r="B120" s="240"/>
      <c r="C120" s="240"/>
      <c r="D120" s="240"/>
      <c r="E120" s="240"/>
      <c r="F120" s="240"/>
      <c r="G120" s="240"/>
      <c r="H120" s="240"/>
      <c r="I120" s="240"/>
    </row>
    <row r="121" spans="1:9" ht="35.25" customHeight="1">
      <c r="A121" s="240" t="s">
        <v>21</v>
      </c>
      <c r="B121" s="240"/>
      <c r="C121" s="240"/>
      <c r="D121" s="240"/>
      <c r="E121" s="240"/>
      <c r="F121" s="240"/>
      <c r="G121" s="240"/>
      <c r="H121" s="240"/>
      <c r="I121" s="240"/>
    </row>
    <row r="122" spans="1:9" ht="32.25" customHeight="1">
      <c r="A122" s="240" t="s">
        <v>20</v>
      </c>
      <c r="B122" s="240"/>
      <c r="C122" s="240"/>
      <c r="D122" s="240"/>
      <c r="E122" s="240"/>
      <c r="F122" s="240"/>
      <c r="G122" s="240"/>
      <c r="H122" s="240"/>
      <c r="I122" s="240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9:I29"/>
    <mergeCell ref="A47:I47"/>
    <mergeCell ref="A58:I58"/>
    <mergeCell ref="A86:I86"/>
    <mergeCell ref="A90:I90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  <rowBreaks count="1" manualBreakCount="1"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topLeftCell="A76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166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8" t="s">
        <v>135</v>
      </c>
      <c r="B3" s="218"/>
      <c r="C3" s="218"/>
      <c r="D3" s="218"/>
      <c r="E3" s="218"/>
      <c r="F3" s="218"/>
      <c r="G3" s="218"/>
      <c r="H3" s="218"/>
      <c r="I3" s="218"/>
      <c r="J3" s="3"/>
      <c r="K3" s="3"/>
      <c r="L3" s="3"/>
    </row>
    <row r="4" spans="1:13" ht="31.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13" ht="15.75">
      <c r="A5" s="218" t="s">
        <v>206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33">
        <v>43890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  <c r="J14" s="8"/>
      <c r="K14" s="8"/>
      <c r="L14" s="8"/>
      <c r="M14" s="8"/>
    </row>
    <row r="15" spans="1:13" ht="15.75" customHeight="1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  <c r="J15" s="8"/>
      <c r="K15" s="8"/>
      <c r="L15" s="8"/>
      <c r="M15" s="8"/>
    </row>
    <row r="16" spans="1:13" ht="15.7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70">
        <f t="shared" ref="H16:H25" si="0">SUM(F16*G16/1000)</f>
        <v>24.628031999999994</v>
      </c>
      <c r="I16" s="13">
        <f>F16/12*G16</f>
        <v>2052.3359999999998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70">
        <f t="shared" si="0"/>
        <v>65.674751999999998</v>
      </c>
      <c r="I17" s="13">
        <f>F17/12*G17</f>
        <v>5472.8959999999997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70">
        <f t="shared" si="0"/>
        <v>54.500688000000004</v>
      </c>
      <c r="I18" s="13">
        <f>F18/12*G18</f>
        <v>4541.7240000000002</v>
      </c>
      <c r="J18" s="25"/>
      <c r="K18" s="8"/>
      <c r="L18" s="8"/>
      <c r="M18" s="8"/>
    </row>
    <row r="19" spans="1:13" ht="15.75" hidden="1" customHeight="1">
      <c r="A19" s="32"/>
      <c r="B19" s="66" t="s">
        <v>91</v>
      </c>
      <c r="C19" s="67" t="s">
        <v>92</v>
      </c>
      <c r="D19" s="66" t="s">
        <v>93</v>
      </c>
      <c r="E19" s="68">
        <v>28.16</v>
      </c>
      <c r="F19" s="69">
        <f>SUM(E19/10)</f>
        <v>2.8159999999999998</v>
      </c>
      <c r="G19" s="69">
        <v>170.16</v>
      </c>
      <c r="H19" s="70">
        <f t="shared" si="0"/>
        <v>0.47917055999999997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70">
        <f t="shared" si="0"/>
        <v>0.49927919999999998</v>
      </c>
      <c r="I20" s="13">
        <f>F20/12*G20</f>
        <v>41.606599999999993</v>
      </c>
      <c r="J20" s="25"/>
      <c r="K20" s="8"/>
      <c r="L20" s="8"/>
      <c r="M20" s="8"/>
    </row>
    <row r="21" spans="1:13" ht="15.75" hidden="1" customHeight="1">
      <c r="A21" s="32">
        <v>5</v>
      </c>
      <c r="B21" s="66" t="s">
        <v>95</v>
      </c>
      <c r="C21" s="67" t="s">
        <v>84</v>
      </c>
      <c r="D21" s="66" t="s">
        <v>30</v>
      </c>
      <c r="E21" s="68">
        <v>3.6</v>
      </c>
      <c r="F21" s="69">
        <f>SUM(E21*12/100)</f>
        <v>0.43200000000000005</v>
      </c>
      <c r="G21" s="69">
        <v>216.12</v>
      </c>
      <c r="H21" s="70">
        <f t="shared" si="0"/>
        <v>9.3363840000000003E-2</v>
      </c>
      <c r="I21" s="13">
        <f>F21/12*G21</f>
        <v>7.7803200000000015</v>
      </c>
      <c r="J21" s="25"/>
      <c r="K21" s="8"/>
      <c r="L21" s="8"/>
      <c r="M21" s="8"/>
    </row>
    <row r="22" spans="1:13" ht="15.75" hidden="1" customHeight="1">
      <c r="A22" s="32"/>
      <c r="B22" s="66" t="s">
        <v>96</v>
      </c>
      <c r="C22" s="67" t="s">
        <v>53</v>
      </c>
      <c r="D22" s="66" t="s">
        <v>93</v>
      </c>
      <c r="E22" s="68">
        <v>357</v>
      </c>
      <c r="F22" s="69">
        <f>SUM(E22/100)</f>
        <v>3.57</v>
      </c>
      <c r="G22" s="69">
        <v>269.26</v>
      </c>
      <c r="H22" s="70">
        <f t="shared" si="0"/>
        <v>0.96125819999999984</v>
      </c>
      <c r="I22" s="13">
        <v>0</v>
      </c>
      <c r="J22" s="25"/>
      <c r="K22" s="8"/>
      <c r="L22" s="8"/>
      <c r="M22" s="8"/>
    </row>
    <row r="23" spans="1:13" ht="15.75" hidden="1" customHeight="1">
      <c r="A23" s="32"/>
      <c r="B23" s="66" t="s">
        <v>97</v>
      </c>
      <c r="C23" s="67" t="s">
        <v>53</v>
      </c>
      <c r="D23" s="66" t="s">
        <v>93</v>
      </c>
      <c r="E23" s="71">
        <v>48.3</v>
      </c>
      <c r="F23" s="69">
        <f>SUM(E23/100)</f>
        <v>0.48299999999999998</v>
      </c>
      <c r="G23" s="69">
        <v>44.29</v>
      </c>
      <c r="H23" s="70">
        <f t="shared" si="0"/>
        <v>2.1392069999999999E-2</v>
      </c>
      <c r="I23" s="13">
        <v>0</v>
      </c>
      <c r="J23" s="25"/>
      <c r="K23" s="8"/>
      <c r="L23" s="8"/>
      <c r="M23" s="8"/>
    </row>
    <row r="24" spans="1:13" ht="15.75" hidden="1" customHeight="1">
      <c r="A24" s="32"/>
      <c r="B24" s="66" t="s">
        <v>98</v>
      </c>
      <c r="C24" s="67" t="s">
        <v>53</v>
      </c>
      <c r="D24" s="66" t="s">
        <v>122</v>
      </c>
      <c r="E24" s="68">
        <v>20</v>
      </c>
      <c r="F24" s="69">
        <f>E24/100</f>
        <v>0.2</v>
      </c>
      <c r="G24" s="69">
        <v>389.72</v>
      </c>
      <c r="H24" s="70">
        <f t="shared" si="0"/>
        <v>7.7944000000000013E-2</v>
      </c>
      <c r="I24" s="13">
        <v>0</v>
      </c>
      <c r="J24" s="25"/>
      <c r="K24" s="8"/>
      <c r="L24" s="8"/>
      <c r="M24" s="8"/>
    </row>
    <row r="25" spans="1:13" ht="15.75" hidden="1" customHeight="1">
      <c r="A25" s="32"/>
      <c r="B25" s="66" t="s">
        <v>99</v>
      </c>
      <c r="C25" s="67" t="s">
        <v>53</v>
      </c>
      <c r="D25" s="66" t="s">
        <v>93</v>
      </c>
      <c r="E25" s="68">
        <v>8.5</v>
      </c>
      <c r="F25" s="69">
        <f>SUM(E25/100)</f>
        <v>8.5000000000000006E-2</v>
      </c>
      <c r="G25" s="69">
        <v>520.79999999999995</v>
      </c>
      <c r="H25" s="70">
        <f t="shared" si="0"/>
        <v>4.4268000000000002E-2</v>
      </c>
      <c r="I25" s="13">
        <v>0</v>
      </c>
      <c r="J25" s="25"/>
      <c r="K25" s="8"/>
      <c r="L25" s="8"/>
      <c r="M25" s="8"/>
    </row>
    <row r="26" spans="1:13" ht="15.75" customHeight="1">
      <c r="A26" s="32">
        <v>5</v>
      </c>
      <c r="B26" s="104" t="s">
        <v>178</v>
      </c>
      <c r="C26" s="105" t="s">
        <v>25</v>
      </c>
      <c r="D26" s="104" t="s">
        <v>187</v>
      </c>
      <c r="E26" s="115">
        <v>3.31</v>
      </c>
      <c r="F26" s="107">
        <f>E26*258</f>
        <v>853.98</v>
      </c>
      <c r="G26" s="107">
        <v>10.39</v>
      </c>
      <c r="H26" s="70">
        <f>SUM(F26*G26/1000)</f>
        <v>8.8728522000000005</v>
      </c>
      <c r="I26" s="13">
        <f>F26/12*G26</f>
        <v>739.40435000000014</v>
      </c>
      <c r="J26" s="26"/>
    </row>
    <row r="27" spans="1:13" ht="15.75" customHeight="1">
      <c r="A27" s="223" t="s">
        <v>82</v>
      </c>
      <c r="B27" s="223"/>
      <c r="C27" s="223"/>
      <c r="D27" s="223"/>
      <c r="E27" s="223"/>
      <c r="F27" s="223"/>
      <c r="G27" s="223"/>
      <c r="H27" s="223"/>
      <c r="I27" s="223"/>
      <c r="J27" s="25"/>
      <c r="K27" s="8"/>
      <c r="L27" s="8"/>
      <c r="M27" s="8"/>
    </row>
    <row r="28" spans="1:13" ht="15.75" hidden="1" customHeight="1">
      <c r="A28" s="32"/>
      <c r="B28" s="86" t="s">
        <v>28</v>
      </c>
      <c r="C28" s="67"/>
      <c r="D28" s="66"/>
      <c r="E28" s="68"/>
      <c r="F28" s="69"/>
      <c r="G28" s="69"/>
      <c r="H28" s="70"/>
      <c r="I28" s="13"/>
      <c r="J28" s="25"/>
      <c r="K28" s="8"/>
      <c r="L28" s="8"/>
      <c r="M28" s="8"/>
    </row>
    <row r="29" spans="1:13" ht="31.5" hidden="1" customHeight="1">
      <c r="A29" s="32">
        <v>8</v>
      </c>
      <c r="B29" s="66" t="s">
        <v>103</v>
      </c>
      <c r="C29" s="67" t="s">
        <v>86</v>
      </c>
      <c r="D29" s="66" t="s">
        <v>100</v>
      </c>
      <c r="E29" s="69">
        <v>667.1</v>
      </c>
      <c r="F29" s="69">
        <f>SUM(E29*52/1000)</f>
        <v>34.689200000000007</v>
      </c>
      <c r="G29" s="69">
        <v>155.88999999999999</v>
      </c>
      <c r="H29" s="70">
        <f t="shared" ref="H29:H35" si="1">SUM(F29*G29/1000)</f>
        <v>5.4076993880000011</v>
      </c>
      <c r="I29" s="13">
        <f t="shared" ref="I29:I33" si="2">F29/6*G29</f>
        <v>901.28323133333345</v>
      </c>
      <c r="J29" s="25"/>
      <c r="K29" s="8"/>
      <c r="L29" s="8"/>
      <c r="M29" s="8"/>
    </row>
    <row r="30" spans="1:13" ht="31.5" hidden="1" customHeight="1">
      <c r="A30" s="32">
        <v>9</v>
      </c>
      <c r="B30" s="66" t="s">
        <v>115</v>
      </c>
      <c r="C30" s="67" t="s">
        <v>86</v>
      </c>
      <c r="D30" s="66" t="s">
        <v>101</v>
      </c>
      <c r="E30" s="69">
        <v>457.48</v>
      </c>
      <c r="F30" s="69">
        <f>SUM(E30*78/1000)</f>
        <v>35.683440000000004</v>
      </c>
      <c r="G30" s="69">
        <v>258.63</v>
      </c>
      <c r="H30" s="70">
        <f t="shared" si="1"/>
        <v>9.2288080872000009</v>
      </c>
      <c r="I30" s="13">
        <f t="shared" si="2"/>
        <v>1538.1346812000002</v>
      </c>
      <c r="J30" s="25"/>
      <c r="K30" s="8"/>
      <c r="L30" s="8"/>
      <c r="M30" s="8"/>
    </row>
    <row r="31" spans="1:13" ht="15.75" hidden="1" customHeight="1">
      <c r="A31" s="32"/>
      <c r="B31" s="66" t="s">
        <v>27</v>
      </c>
      <c r="C31" s="67" t="s">
        <v>86</v>
      </c>
      <c r="D31" s="66" t="s">
        <v>54</v>
      </c>
      <c r="E31" s="69">
        <v>667.1</v>
      </c>
      <c r="F31" s="69">
        <f>SUM(E31/1000)</f>
        <v>0.66710000000000003</v>
      </c>
      <c r="G31" s="69">
        <v>3020.33</v>
      </c>
      <c r="H31" s="70">
        <f t="shared" si="1"/>
        <v>2.0148621430000002</v>
      </c>
      <c r="I31" s="13">
        <f>F31*G31</f>
        <v>2014.8621430000001</v>
      </c>
      <c r="J31" s="25"/>
      <c r="K31" s="8"/>
      <c r="L31" s="8"/>
      <c r="M31" s="8"/>
    </row>
    <row r="32" spans="1:13" ht="15.75" hidden="1" customHeight="1">
      <c r="A32" s="32">
        <v>10</v>
      </c>
      <c r="B32" s="66" t="s">
        <v>120</v>
      </c>
      <c r="C32" s="67" t="s">
        <v>41</v>
      </c>
      <c r="D32" s="66" t="s">
        <v>63</v>
      </c>
      <c r="E32" s="69">
        <v>1</v>
      </c>
      <c r="F32" s="69">
        <v>1.55</v>
      </c>
      <c r="G32" s="69">
        <v>1302.02</v>
      </c>
      <c r="H32" s="70">
        <f>G32*F32/1000</f>
        <v>2.0181309999999999</v>
      </c>
      <c r="I32" s="13">
        <f t="shared" si="2"/>
        <v>336.35516666666672</v>
      </c>
      <c r="J32" s="25"/>
      <c r="K32" s="8"/>
      <c r="L32" s="8"/>
      <c r="M32" s="8"/>
    </row>
    <row r="33" spans="1:14" ht="15.75" hidden="1" customHeight="1">
      <c r="A33" s="32">
        <v>11</v>
      </c>
      <c r="B33" s="66" t="s">
        <v>102</v>
      </c>
      <c r="C33" s="67" t="s">
        <v>31</v>
      </c>
      <c r="D33" s="66" t="s">
        <v>63</v>
      </c>
      <c r="E33" s="73">
        <v>0.33333333333333331</v>
      </c>
      <c r="F33" s="69">
        <f>155/3</f>
        <v>51.666666666666664</v>
      </c>
      <c r="G33" s="69">
        <v>56.69</v>
      </c>
      <c r="H33" s="70">
        <f>SUM(G33*155/3/1000)</f>
        <v>2.9289833333333331</v>
      </c>
      <c r="I33" s="13">
        <f t="shared" si="2"/>
        <v>488.16388888888883</v>
      </c>
      <c r="J33" s="25"/>
      <c r="K33" s="8"/>
    </row>
    <row r="34" spans="1:14" ht="15.75" hidden="1" customHeight="1">
      <c r="A34" s="32"/>
      <c r="B34" s="66" t="s">
        <v>64</v>
      </c>
      <c r="C34" s="67" t="s">
        <v>33</v>
      </c>
      <c r="D34" s="66" t="s">
        <v>66</v>
      </c>
      <c r="E34" s="68"/>
      <c r="F34" s="69">
        <v>3</v>
      </c>
      <c r="G34" s="69">
        <v>191.32</v>
      </c>
      <c r="H34" s="70">
        <f t="shared" si="1"/>
        <v>0.57396000000000003</v>
      </c>
      <c r="I34" s="13">
        <v>0</v>
      </c>
      <c r="J34" s="26"/>
    </row>
    <row r="35" spans="1:14" ht="15.75" hidden="1" customHeight="1">
      <c r="A35" s="32"/>
      <c r="B35" s="66" t="s">
        <v>65</v>
      </c>
      <c r="C35" s="67" t="s">
        <v>32</v>
      </c>
      <c r="D35" s="66" t="s">
        <v>66</v>
      </c>
      <c r="E35" s="68"/>
      <c r="F35" s="69">
        <v>2</v>
      </c>
      <c r="G35" s="69">
        <v>1136.33</v>
      </c>
      <c r="H35" s="70">
        <f t="shared" si="1"/>
        <v>2.2726599999999997</v>
      </c>
      <c r="I35" s="13">
        <v>0</v>
      </c>
      <c r="J35" s="26"/>
    </row>
    <row r="36" spans="1:14" ht="15.75" customHeight="1">
      <c r="A36" s="32"/>
      <c r="B36" s="86" t="s">
        <v>5</v>
      </c>
      <c r="C36" s="67"/>
      <c r="D36" s="66"/>
      <c r="E36" s="68"/>
      <c r="F36" s="69"/>
      <c r="G36" s="69"/>
      <c r="H36" s="70" t="s">
        <v>119</v>
      </c>
      <c r="I36" s="13"/>
      <c r="J36" s="26"/>
    </row>
    <row r="37" spans="1:14" ht="13.5" customHeight="1">
      <c r="A37" s="32">
        <v>8</v>
      </c>
      <c r="B37" s="66" t="s">
        <v>26</v>
      </c>
      <c r="C37" s="67" t="s">
        <v>32</v>
      </c>
      <c r="D37" s="66" t="s">
        <v>207</v>
      </c>
      <c r="E37" s="68"/>
      <c r="F37" s="69">
        <v>10</v>
      </c>
      <c r="G37" s="211">
        <v>2083</v>
      </c>
      <c r="H37" s="70">
        <f t="shared" ref="H37:H42" si="3">SUM(F37*G37/1000)</f>
        <v>20.83</v>
      </c>
      <c r="I37" s="13">
        <f>G37*0.8</f>
        <v>1666.4</v>
      </c>
      <c r="J37" s="26"/>
    </row>
    <row r="38" spans="1:14" ht="15.75" customHeight="1">
      <c r="A38" s="32">
        <v>6</v>
      </c>
      <c r="B38" s="118" t="s">
        <v>104</v>
      </c>
      <c r="C38" s="119" t="s">
        <v>29</v>
      </c>
      <c r="D38" s="104" t="s">
        <v>183</v>
      </c>
      <c r="E38" s="106">
        <v>107.4</v>
      </c>
      <c r="F38" s="120">
        <f>E38*30/1000</f>
        <v>3.222</v>
      </c>
      <c r="G38" s="107">
        <v>2868.09</v>
      </c>
      <c r="H38" s="70">
        <f t="shared" si="3"/>
        <v>9.2409859800000014</v>
      </c>
      <c r="I38" s="13">
        <f t="shared" ref="I38:I40" si="4">F38/6*G38</f>
        <v>1540.1643300000001</v>
      </c>
      <c r="J38" s="26"/>
      <c r="L38" s="19"/>
      <c r="M38" s="20"/>
      <c r="N38" s="21"/>
    </row>
    <row r="39" spans="1:14" ht="15.75" customHeight="1">
      <c r="A39" s="32">
        <v>7</v>
      </c>
      <c r="B39" s="104" t="s">
        <v>67</v>
      </c>
      <c r="C39" s="105" t="s">
        <v>29</v>
      </c>
      <c r="D39" s="104" t="s">
        <v>188</v>
      </c>
      <c r="E39" s="107">
        <v>107.4</v>
      </c>
      <c r="F39" s="120">
        <f>SUM(E39*155/1000)</f>
        <v>16.646999999999998</v>
      </c>
      <c r="G39" s="107">
        <v>478.42</v>
      </c>
      <c r="H39" s="70">
        <f t="shared" si="3"/>
        <v>7.964257739999999</v>
      </c>
      <c r="I39" s="13">
        <f t="shared" si="4"/>
        <v>1327.3762899999999</v>
      </c>
      <c r="J39" s="26"/>
      <c r="L39" s="19"/>
      <c r="M39" s="20"/>
      <c r="N39" s="21"/>
    </row>
    <row r="40" spans="1:14" ht="48" customHeight="1">
      <c r="A40" s="32">
        <v>8</v>
      </c>
      <c r="B40" s="104" t="s">
        <v>80</v>
      </c>
      <c r="C40" s="105" t="s">
        <v>86</v>
      </c>
      <c r="D40" s="104" t="s">
        <v>184</v>
      </c>
      <c r="E40" s="107">
        <v>52.8</v>
      </c>
      <c r="F40" s="120">
        <f>SUM(E40*35/1000)</f>
        <v>1.8480000000000001</v>
      </c>
      <c r="G40" s="107">
        <v>7915.6</v>
      </c>
      <c r="H40" s="70">
        <f t="shared" si="3"/>
        <v>14.628028800000003</v>
      </c>
      <c r="I40" s="13">
        <f t="shared" si="4"/>
        <v>2438.0048000000002</v>
      </c>
      <c r="J40" s="26"/>
      <c r="L40" s="19"/>
      <c r="M40" s="20"/>
      <c r="N40" s="21"/>
    </row>
    <row r="41" spans="1:14" ht="15.75" hidden="1" customHeight="1">
      <c r="A41" s="32">
        <v>9</v>
      </c>
      <c r="B41" s="104" t="s">
        <v>87</v>
      </c>
      <c r="C41" s="105" t="s">
        <v>86</v>
      </c>
      <c r="D41" s="104" t="s">
        <v>185</v>
      </c>
      <c r="E41" s="107">
        <v>107.4</v>
      </c>
      <c r="F41" s="120">
        <f>SUM(E41*45/1000)</f>
        <v>4.8330000000000002</v>
      </c>
      <c r="G41" s="107">
        <v>584.74</v>
      </c>
      <c r="H41" s="70">
        <f t="shared" si="3"/>
        <v>2.8260484200000002</v>
      </c>
      <c r="I41" s="13">
        <f>F41/7.5*G41</f>
        <v>376.80645599999997</v>
      </c>
      <c r="J41" s="26"/>
      <c r="L41" s="19"/>
      <c r="M41" s="20"/>
      <c r="N41" s="21"/>
    </row>
    <row r="42" spans="1:14" ht="15.75" hidden="1" customHeight="1">
      <c r="A42" s="160">
        <v>10</v>
      </c>
      <c r="B42" s="118" t="s">
        <v>69</v>
      </c>
      <c r="C42" s="119" t="s">
        <v>33</v>
      </c>
      <c r="D42" s="118"/>
      <c r="E42" s="116"/>
      <c r="F42" s="120">
        <v>0.9</v>
      </c>
      <c r="G42" s="120">
        <v>800</v>
      </c>
      <c r="H42" s="78">
        <f t="shared" si="3"/>
        <v>0.72</v>
      </c>
      <c r="I42" s="85">
        <f>F42/7.5*G42</f>
        <v>96.000000000000014</v>
      </c>
      <c r="J42" s="26"/>
      <c r="L42" s="19"/>
      <c r="M42" s="20"/>
      <c r="N42" s="21"/>
    </row>
    <row r="43" spans="1:14" ht="34.5" customHeight="1">
      <c r="A43" s="32">
        <v>11</v>
      </c>
      <c r="B43" s="121" t="s">
        <v>147</v>
      </c>
      <c r="C43" s="122" t="s">
        <v>29</v>
      </c>
      <c r="D43" s="118" t="s">
        <v>189</v>
      </c>
      <c r="E43" s="116">
        <v>4.2</v>
      </c>
      <c r="F43" s="120">
        <f>SUM(E43*12/1000)</f>
        <v>5.0400000000000007E-2</v>
      </c>
      <c r="G43" s="120">
        <v>270.61</v>
      </c>
      <c r="H43" s="13"/>
      <c r="I43" s="13">
        <f>G43*F43/6</f>
        <v>2.2731240000000006</v>
      </c>
      <c r="J43" s="26"/>
      <c r="L43" s="19"/>
      <c r="M43" s="20"/>
      <c r="N43" s="21"/>
    </row>
    <row r="44" spans="1:14" ht="15.75" customHeight="1">
      <c r="A44" s="224" t="s">
        <v>128</v>
      </c>
      <c r="B44" s="225"/>
      <c r="C44" s="225"/>
      <c r="D44" s="225"/>
      <c r="E44" s="225"/>
      <c r="F44" s="225"/>
      <c r="G44" s="225"/>
      <c r="H44" s="225"/>
      <c r="I44" s="226"/>
      <c r="J44" s="26"/>
      <c r="L44" s="19"/>
      <c r="M44" s="20"/>
      <c r="N44" s="21"/>
    </row>
    <row r="45" spans="1:14" ht="15.75" hidden="1" customHeight="1">
      <c r="A45" s="32"/>
      <c r="B45" s="66" t="s">
        <v>123</v>
      </c>
      <c r="C45" s="67" t="s">
        <v>86</v>
      </c>
      <c r="D45" s="66" t="s">
        <v>43</v>
      </c>
      <c r="E45" s="68">
        <v>1197.75</v>
      </c>
      <c r="F45" s="69">
        <f>SUM(E45*2/1000)</f>
        <v>2.3955000000000002</v>
      </c>
      <c r="G45" s="13">
        <v>809.74</v>
      </c>
      <c r="H45" s="70">
        <f t="shared" ref="H45:H54" si="5">SUM(F45*G45/1000)</f>
        <v>1.9397321700000003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6" t="s">
        <v>36</v>
      </c>
      <c r="C46" s="67" t="s">
        <v>86</v>
      </c>
      <c r="D46" s="66" t="s">
        <v>43</v>
      </c>
      <c r="E46" s="68">
        <v>52</v>
      </c>
      <c r="F46" s="69">
        <f>E46*2/1000</f>
        <v>0.104</v>
      </c>
      <c r="G46" s="13">
        <v>457.4</v>
      </c>
      <c r="H46" s="70">
        <f t="shared" si="5"/>
        <v>4.7569599999999997E-2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6" t="s">
        <v>37</v>
      </c>
      <c r="C47" s="67" t="s">
        <v>86</v>
      </c>
      <c r="D47" s="66" t="s">
        <v>43</v>
      </c>
      <c r="E47" s="68">
        <v>1056.5999999999999</v>
      </c>
      <c r="F47" s="69">
        <f>SUM(E47*2/1000)</f>
        <v>2.1132</v>
      </c>
      <c r="G47" s="13">
        <v>579.48</v>
      </c>
      <c r="H47" s="70">
        <f t="shared" si="5"/>
        <v>1.224557136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6" t="s">
        <v>38</v>
      </c>
      <c r="C48" s="67" t="s">
        <v>86</v>
      </c>
      <c r="D48" s="66" t="s">
        <v>43</v>
      </c>
      <c r="E48" s="68">
        <v>2582</v>
      </c>
      <c r="F48" s="69">
        <f>SUM(E48*2/1000)</f>
        <v>5.1639999999999997</v>
      </c>
      <c r="G48" s="13">
        <v>606.77</v>
      </c>
      <c r="H48" s="70">
        <f t="shared" si="5"/>
        <v>3.1333602799999998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6" t="s">
        <v>34</v>
      </c>
      <c r="C49" s="67" t="s">
        <v>35</v>
      </c>
      <c r="D49" s="66" t="s">
        <v>43</v>
      </c>
      <c r="E49" s="68">
        <v>1676.85</v>
      </c>
      <c r="F49" s="69">
        <f>SUM(E49*2/100)</f>
        <v>33.536999999999999</v>
      </c>
      <c r="G49" s="13">
        <v>72.81</v>
      </c>
      <c r="H49" s="70">
        <f t="shared" si="5"/>
        <v>2.44182897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04" t="s">
        <v>56</v>
      </c>
      <c r="C50" s="105" t="s">
        <v>86</v>
      </c>
      <c r="D50" s="104" t="s">
        <v>186</v>
      </c>
      <c r="E50" s="106">
        <v>1916.4</v>
      </c>
      <c r="F50" s="107">
        <f>SUM(E50*5/1000)</f>
        <v>9.5820000000000007</v>
      </c>
      <c r="G50" s="36">
        <v>1655.27</v>
      </c>
      <c r="H50" s="70">
        <f t="shared" si="5"/>
        <v>15.860797140000001</v>
      </c>
      <c r="I50" s="13">
        <f>F50/5*G50</f>
        <v>3172.1594279999999</v>
      </c>
      <c r="J50" s="26"/>
      <c r="L50" s="19"/>
      <c r="M50" s="20"/>
      <c r="N50" s="21"/>
    </row>
    <row r="51" spans="1:22" ht="31.5" hidden="1" customHeight="1">
      <c r="A51" s="32"/>
      <c r="B51" s="66" t="s">
        <v>88</v>
      </c>
      <c r="C51" s="67" t="s">
        <v>86</v>
      </c>
      <c r="D51" s="66" t="s">
        <v>43</v>
      </c>
      <c r="E51" s="68">
        <v>1916.4</v>
      </c>
      <c r="F51" s="69">
        <f>SUM(E51*2/1000)</f>
        <v>3.8328000000000002</v>
      </c>
      <c r="G51" s="13">
        <v>1213.55</v>
      </c>
      <c r="H51" s="70">
        <f t="shared" si="5"/>
        <v>4.65129444</v>
      </c>
      <c r="I51" s="13">
        <f t="shared" ref="I51:I52" si="6">F51/5*G51</f>
        <v>930.25888799999996</v>
      </c>
      <c r="J51" s="26"/>
      <c r="L51" s="19"/>
      <c r="M51" s="20"/>
      <c r="N51" s="21"/>
    </row>
    <row r="52" spans="1:22" ht="31.5" hidden="1" customHeight="1">
      <c r="A52" s="32"/>
      <c r="B52" s="66" t="s">
        <v>89</v>
      </c>
      <c r="C52" s="67" t="s">
        <v>39</v>
      </c>
      <c r="D52" s="66" t="s">
        <v>43</v>
      </c>
      <c r="E52" s="68">
        <v>20</v>
      </c>
      <c r="F52" s="69">
        <f>SUM(E52*2/100)</f>
        <v>0.4</v>
      </c>
      <c r="G52" s="13">
        <v>2730.49</v>
      </c>
      <c r="H52" s="70">
        <f t="shared" si="5"/>
        <v>1.0921959999999999</v>
      </c>
      <c r="I52" s="13">
        <f t="shared" si="6"/>
        <v>218.4392</v>
      </c>
      <c r="J52" s="26"/>
      <c r="L52" s="19"/>
      <c r="M52" s="20"/>
      <c r="N52" s="21"/>
    </row>
    <row r="53" spans="1:22" ht="15.75" hidden="1" customHeight="1">
      <c r="A53" s="32">
        <v>15</v>
      </c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5652.13</v>
      </c>
      <c r="H53" s="70">
        <f t="shared" si="5"/>
        <v>0.11304260000000001</v>
      </c>
      <c r="I53" s="13">
        <f>F53/2*G53</f>
        <v>56.521300000000004</v>
      </c>
      <c r="J53" s="26"/>
      <c r="L53" s="19"/>
      <c r="M53" s="20"/>
      <c r="N53" s="21"/>
    </row>
    <row r="54" spans="1:22" ht="20.25" hidden="1" customHeight="1">
      <c r="A54" s="32">
        <v>13</v>
      </c>
      <c r="B54" s="104" t="s">
        <v>42</v>
      </c>
      <c r="C54" s="105" t="s">
        <v>105</v>
      </c>
      <c r="D54" s="207">
        <v>43523</v>
      </c>
      <c r="E54" s="106">
        <v>118</v>
      </c>
      <c r="F54" s="107">
        <f>SUM(E54)*3</f>
        <v>354</v>
      </c>
      <c r="G54" s="123">
        <v>89.59</v>
      </c>
      <c r="H54" s="70">
        <f t="shared" si="5"/>
        <v>31.714860000000002</v>
      </c>
      <c r="I54" s="13">
        <f>E54*G54</f>
        <v>10571.62</v>
      </c>
      <c r="J54" s="26"/>
      <c r="L54" s="19"/>
      <c r="M54" s="20"/>
      <c r="N54" s="21"/>
    </row>
    <row r="55" spans="1:22" ht="15.75" customHeight="1">
      <c r="A55" s="224" t="s">
        <v>129</v>
      </c>
      <c r="B55" s="225"/>
      <c r="C55" s="225"/>
      <c r="D55" s="225"/>
      <c r="E55" s="225"/>
      <c r="F55" s="225"/>
      <c r="G55" s="225"/>
      <c r="H55" s="225"/>
      <c r="I55" s="226"/>
      <c r="J55" s="26"/>
      <c r="L55" s="19"/>
      <c r="M55" s="20"/>
      <c r="N55" s="21"/>
    </row>
    <row r="56" spans="1:22" ht="15.75" customHeight="1">
      <c r="A56" s="32"/>
      <c r="B56" s="86" t="s">
        <v>44</v>
      </c>
      <c r="C56" s="67"/>
      <c r="D56" s="66"/>
      <c r="E56" s="68"/>
      <c r="F56" s="69"/>
      <c r="G56" s="69"/>
      <c r="H56" s="70"/>
      <c r="I56" s="13"/>
      <c r="J56" s="26"/>
      <c r="L56" s="19"/>
      <c r="M56" s="20"/>
      <c r="N56" s="21"/>
    </row>
    <row r="57" spans="1:22" ht="31.5" customHeight="1">
      <c r="A57" s="32">
        <v>13</v>
      </c>
      <c r="B57" s="104" t="s">
        <v>118</v>
      </c>
      <c r="C57" s="105" t="s">
        <v>84</v>
      </c>
      <c r="D57" s="104"/>
      <c r="E57" s="106">
        <v>73.599999999999994</v>
      </c>
      <c r="F57" s="107">
        <f>SUM(E57*6/100)</f>
        <v>4.4159999999999995</v>
      </c>
      <c r="G57" s="36">
        <v>2110.4699999999998</v>
      </c>
      <c r="H57" s="70">
        <f>SUM(F57*G57/1000)</f>
        <v>9.319835519999998</v>
      </c>
      <c r="I57" s="13">
        <f>G57*0.184</f>
        <v>388.32647999999995</v>
      </c>
      <c r="J57" s="26"/>
      <c r="L57" s="19"/>
      <c r="M57" s="20"/>
      <c r="N57" s="21"/>
    </row>
    <row r="58" spans="1:22" ht="14.25" customHeight="1">
      <c r="A58" s="32">
        <v>14</v>
      </c>
      <c r="B58" s="104" t="s">
        <v>149</v>
      </c>
      <c r="C58" s="105" t="s">
        <v>150</v>
      </c>
      <c r="D58" s="104" t="s">
        <v>208</v>
      </c>
      <c r="E58" s="106"/>
      <c r="F58" s="107">
        <v>4</v>
      </c>
      <c r="G58" s="36">
        <v>1645</v>
      </c>
      <c r="H58" s="79"/>
      <c r="I58" s="13">
        <f>G58*2</f>
        <v>3290</v>
      </c>
      <c r="J58" s="26"/>
      <c r="L58" s="19"/>
      <c r="M58" s="20"/>
      <c r="N58" s="21"/>
    </row>
    <row r="59" spans="1:22" ht="15.75" customHeight="1">
      <c r="A59" s="32"/>
      <c r="B59" s="87" t="s">
        <v>45</v>
      </c>
      <c r="C59" s="74"/>
      <c r="D59" s="75"/>
      <c r="E59" s="76"/>
      <c r="F59" s="78"/>
      <c r="G59" s="13"/>
      <c r="H59" s="79"/>
      <c r="I59" s="13"/>
      <c r="J59" s="26"/>
      <c r="L59" s="19"/>
      <c r="M59" s="20"/>
      <c r="N59" s="21"/>
    </row>
    <row r="60" spans="1:22" ht="15.75" hidden="1" customHeight="1">
      <c r="A60" s="32"/>
      <c r="B60" s="75" t="s">
        <v>124</v>
      </c>
      <c r="C60" s="74" t="s">
        <v>53</v>
      </c>
      <c r="D60" s="75" t="s">
        <v>54</v>
      </c>
      <c r="E60" s="76">
        <v>890</v>
      </c>
      <c r="F60" s="78">
        <v>8.9</v>
      </c>
      <c r="G60" s="13">
        <v>793.61</v>
      </c>
      <c r="H60" s="79">
        <f>F60*G60/1000</f>
        <v>7.0631290000000009</v>
      </c>
      <c r="I60" s="13">
        <v>0</v>
      </c>
      <c r="J60" s="26"/>
      <c r="L60" s="19"/>
    </row>
    <row r="61" spans="1:22" ht="15.75" hidden="1" customHeight="1">
      <c r="A61" s="32"/>
      <c r="B61" s="75" t="s">
        <v>125</v>
      </c>
      <c r="C61" s="74" t="s">
        <v>53</v>
      </c>
      <c r="D61" s="75" t="s">
        <v>54</v>
      </c>
      <c r="E61" s="76">
        <v>890</v>
      </c>
      <c r="F61" s="78">
        <v>8.9</v>
      </c>
      <c r="G61" s="13">
        <v>793.61</v>
      </c>
      <c r="H61" s="79">
        <f>F61*G61/1000</f>
        <v>7.0631290000000009</v>
      </c>
      <c r="I61" s="13">
        <v>0</v>
      </c>
    </row>
    <row r="62" spans="1:22" ht="15.75" customHeight="1">
      <c r="A62" s="32">
        <v>15</v>
      </c>
      <c r="B62" s="52" t="s">
        <v>116</v>
      </c>
      <c r="C62" s="94" t="s">
        <v>25</v>
      </c>
      <c r="D62" s="52" t="s">
        <v>182</v>
      </c>
      <c r="E62" s="91">
        <v>160</v>
      </c>
      <c r="F62" s="92">
        <f>E62*12</f>
        <v>1920</v>
      </c>
      <c r="G62" s="95">
        <v>1.4</v>
      </c>
      <c r="H62" s="79">
        <f>F62*G62/1000</f>
        <v>2.6880000000000002</v>
      </c>
      <c r="I62" s="13">
        <f>F62/12*G62</f>
        <v>224</v>
      </c>
    </row>
    <row r="63" spans="1:22" ht="15.75" hidden="1" customHeight="1">
      <c r="A63" s="32"/>
      <c r="B63" s="87" t="s">
        <v>46</v>
      </c>
      <c r="C63" s="74"/>
      <c r="D63" s="75"/>
      <c r="E63" s="76"/>
      <c r="F63" s="77"/>
      <c r="G63" s="77"/>
      <c r="H63" s="78" t="s">
        <v>119</v>
      </c>
      <c r="I63" s="13"/>
    </row>
    <row r="64" spans="1:22" ht="15.75" hidden="1" customHeight="1">
      <c r="A64" s="32"/>
      <c r="B64" s="14" t="s">
        <v>47</v>
      </c>
      <c r="C64" s="16" t="s">
        <v>105</v>
      </c>
      <c r="D64" s="14" t="s">
        <v>133</v>
      </c>
      <c r="E64" s="18">
        <v>15</v>
      </c>
      <c r="F64" s="69">
        <v>15</v>
      </c>
      <c r="G64" s="13">
        <v>222.4</v>
      </c>
      <c r="H64" s="80">
        <f t="shared" ref="H64:H78" si="7">SUM(F64*G64/1000)</f>
        <v>3.3359999999999999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32"/>
      <c r="B65" s="14" t="s">
        <v>48</v>
      </c>
      <c r="C65" s="16" t="s">
        <v>105</v>
      </c>
      <c r="D65" s="14" t="s">
        <v>133</v>
      </c>
      <c r="E65" s="18">
        <v>8</v>
      </c>
      <c r="F65" s="69">
        <v>8</v>
      </c>
      <c r="G65" s="13">
        <v>76.25</v>
      </c>
      <c r="H65" s="80">
        <f t="shared" si="7"/>
        <v>0.61</v>
      </c>
      <c r="I65" s="13">
        <v>0</v>
      </c>
      <c r="J65" s="28"/>
      <c r="K65" s="28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32"/>
      <c r="B66" s="14" t="s">
        <v>49</v>
      </c>
      <c r="C66" s="16" t="s">
        <v>107</v>
      </c>
      <c r="D66" s="14" t="s">
        <v>54</v>
      </c>
      <c r="E66" s="68">
        <v>14220</v>
      </c>
      <c r="F66" s="13">
        <f>SUM(E66/100)</f>
        <v>142.19999999999999</v>
      </c>
      <c r="G66" s="13">
        <v>212.15</v>
      </c>
      <c r="H66" s="80">
        <f t="shared" si="7"/>
        <v>30.167729999999999</v>
      </c>
      <c r="I66" s="13">
        <f>F66*G66</f>
        <v>30167.73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2"/>
      <c r="B67" s="14" t="s">
        <v>50</v>
      </c>
      <c r="C67" s="16" t="s">
        <v>108</v>
      </c>
      <c r="D67" s="14"/>
      <c r="E67" s="68">
        <v>14220</v>
      </c>
      <c r="F67" s="13">
        <f>SUM(E67/1000)</f>
        <v>14.22</v>
      </c>
      <c r="G67" s="13">
        <v>165.21</v>
      </c>
      <c r="H67" s="80">
        <f t="shared" si="7"/>
        <v>2.3492861999999999</v>
      </c>
      <c r="I67" s="13">
        <f t="shared" ref="I67:I71" si="8">F67*G67</f>
        <v>2349.2862</v>
      </c>
      <c r="J67" s="5"/>
      <c r="K67" s="5"/>
      <c r="L67" s="5"/>
      <c r="M67" s="5"/>
      <c r="N67" s="5"/>
      <c r="O67" s="5"/>
      <c r="P67" s="5"/>
      <c r="Q67" s="5"/>
      <c r="R67" s="227"/>
      <c r="S67" s="227"/>
      <c r="T67" s="227"/>
      <c r="U67" s="227"/>
    </row>
    <row r="68" spans="1:21" ht="15.75" hidden="1" customHeight="1">
      <c r="A68" s="32"/>
      <c r="B68" s="14" t="s">
        <v>51</v>
      </c>
      <c r="C68" s="16" t="s">
        <v>76</v>
      </c>
      <c r="D68" s="14" t="s">
        <v>54</v>
      </c>
      <c r="E68" s="68">
        <v>2260</v>
      </c>
      <c r="F68" s="13">
        <f>SUM(E68/100)</f>
        <v>22.6</v>
      </c>
      <c r="G68" s="13">
        <v>2074.63</v>
      </c>
      <c r="H68" s="80">
        <f t="shared" si="7"/>
        <v>46.886638000000005</v>
      </c>
      <c r="I68" s="13">
        <f t="shared" si="8"/>
        <v>46886.638000000006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hidden="1" customHeight="1">
      <c r="A69" s="32"/>
      <c r="B69" s="81" t="s">
        <v>109</v>
      </c>
      <c r="C69" s="16" t="s">
        <v>33</v>
      </c>
      <c r="D69" s="14"/>
      <c r="E69" s="68">
        <v>11</v>
      </c>
      <c r="F69" s="13">
        <f>SUM(E69)</f>
        <v>11</v>
      </c>
      <c r="G69" s="13">
        <v>45.32</v>
      </c>
      <c r="H69" s="80">
        <f t="shared" si="7"/>
        <v>0.49851999999999996</v>
      </c>
      <c r="I69" s="13">
        <f t="shared" si="8"/>
        <v>498.52</v>
      </c>
    </row>
    <row r="70" spans="1:21" ht="15.75" hidden="1" customHeight="1">
      <c r="A70" s="32"/>
      <c r="B70" s="81" t="s">
        <v>110</v>
      </c>
      <c r="C70" s="16" t="s">
        <v>33</v>
      </c>
      <c r="D70" s="14"/>
      <c r="E70" s="68">
        <v>11</v>
      </c>
      <c r="F70" s="13">
        <f>SUM(E70)</f>
        <v>11</v>
      </c>
      <c r="G70" s="13">
        <v>42.28</v>
      </c>
      <c r="H70" s="80">
        <f t="shared" si="7"/>
        <v>0.46508000000000005</v>
      </c>
      <c r="I70" s="13">
        <f t="shared" si="8"/>
        <v>465.08000000000004</v>
      </c>
    </row>
    <row r="71" spans="1:21" ht="15.75" hidden="1" customHeight="1">
      <c r="A71" s="32"/>
      <c r="B71" s="14" t="s">
        <v>57</v>
      </c>
      <c r="C71" s="16" t="s">
        <v>58</v>
      </c>
      <c r="D71" s="14" t="s">
        <v>54</v>
      </c>
      <c r="E71" s="18">
        <v>8</v>
      </c>
      <c r="F71" s="69">
        <v>8</v>
      </c>
      <c r="G71" s="13">
        <v>49.88</v>
      </c>
      <c r="H71" s="80">
        <f t="shared" si="7"/>
        <v>0.39904000000000001</v>
      </c>
      <c r="I71" s="13">
        <f t="shared" si="8"/>
        <v>399.04</v>
      </c>
    </row>
    <row r="72" spans="1:21" ht="17.25" customHeight="1">
      <c r="A72" s="32"/>
      <c r="B72" s="201" t="s">
        <v>71</v>
      </c>
      <c r="C72" s="16"/>
      <c r="D72" s="14"/>
      <c r="E72" s="18"/>
      <c r="F72" s="13"/>
      <c r="G72" s="13"/>
      <c r="H72" s="80" t="s">
        <v>119</v>
      </c>
      <c r="I72" s="13"/>
    </row>
    <row r="73" spans="1:21" ht="23.25" hidden="1" customHeight="1">
      <c r="A73" s="32"/>
      <c r="B73" s="14" t="s">
        <v>72</v>
      </c>
      <c r="C73" s="16" t="s">
        <v>74</v>
      </c>
      <c r="D73" s="14"/>
      <c r="E73" s="18">
        <v>2</v>
      </c>
      <c r="F73" s="13">
        <v>0.2</v>
      </c>
      <c r="G73" s="13">
        <v>501.62</v>
      </c>
      <c r="H73" s="80">
        <f t="shared" si="7"/>
        <v>0.10032400000000001</v>
      </c>
      <c r="I73" s="13">
        <v>0</v>
      </c>
    </row>
    <row r="74" spans="1:21" ht="25.5" hidden="1" customHeight="1">
      <c r="A74" s="32"/>
      <c r="B74" s="14" t="s">
        <v>73</v>
      </c>
      <c r="C74" s="16" t="s">
        <v>31</v>
      </c>
      <c r="D74" s="14"/>
      <c r="E74" s="18">
        <v>1</v>
      </c>
      <c r="F74" s="60">
        <v>1</v>
      </c>
      <c r="G74" s="13">
        <v>852.99</v>
      </c>
      <c r="H74" s="80">
        <f>F74*G74/1000</f>
        <v>0.85299000000000003</v>
      </c>
      <c r="I74" s="13">
        <v>0</v>
      </c>
    </row>
    <row r="75" spans="1:21" ht="27.75" hidden="1" customHeight="1">
      <c r="A75" s="32"/>
      <c r="B75" s="14" t="s">
        <v>112</v>
      </c>
      <c r="C75" s="16" t="s">
        <v>31</v>
      </c>
      <c r="D75" s="14"/>
      <c r="E75" s="18">
        <v>1</v>
      </c>
      <c r="F75" s="13">
        <v>1</v>
      </c>
      <c r="G75" s="13">
        <v>358.51</v>
      </c>
      <c r="H75" s="80">
        <f>G75*F75/1000</f>
        <v>0.35851</v>
      </c>
      <c r="I75" s="13">
        <v>0</v>
      </c>
    </row>
    <row r="76" spans="1:21" ht="33" customHeight="1">
      <c r="A76" s="32">
        <v>16</v>
      </c>
      <c r="B76" s="121" t="s">
        <v>155</v>
      </c>
      <c r="C76" s="122" t="s">
        <v>105</v>
      </c>
      <c r="D76" s="38" t="s">
        <v>186</v>
      </c>
      <c r="E76" s="131">
        <v>2</v>
      </c>
      <c r="F76" s="92">
        <f>E76*12</f>
        <v>24</v>
      </c>
      <c r="G76" s="132">
        <v>55.55</v>
      </c>
      <c r="H76" s="80"/>
      <c r="I76" s="13">
        <f>G76*F76/12</f>
        <v>111.09999999999998</v>
      </c>
    </row>
    <row r="77" spans="1:21" ht="25.5" hidden="1" customHeight="1">
      <c r="A77" s="32"/>
      <c r="B77" s="83" t="s">
        <v>75</v>
      </c>
      <c r="C77" s="16"/>
      <c r="D77" s="14"/>
      <c r="E77" s="18"/>
      <c r="F77" s="13"/>
      <c r="G77" s="13" t="s">
        <v>119</v>
      </c>
      <c r="H77" s="80" t="s">
        <v>119</v>
      </c>
      <c r="I77" s="13"/>
    </row>
    <row r="78" spans="1:21" ht="22.5" hidden="1" customHeight="1">
      <c r="A78" s="32"/>
      <c r="B78" s="46" t="s">
        <v>117</v>
      </c>
      <c r="C78" s="16" t="s">
        <v>76</v>
      </c>
      <c r="D78" s="14"/>
      <c r="E78" s="18"/>
      <c r="F78" s="13">
        <v>0.1</v>
      </c>
      <c r="G78" s="13">
        <v>2759.44</v>
      </c>
      <c r="H78" s="80">
        <f t="shared" si="7"/>
        <v>0.27594400000000002</v>
      </c>
      <c r="I78" s="13">
        <v>0</v>
      </c>
    </row>
    <row r="79" spans="1:21" ht="27" hidden="1" customHeight="1">
      <c r="A79" s="32"/>
      <c r="B79" s="90" t="s">
        <v>90</v>
      </c>
      <c r="C79" s="90"/>
      <c r="D79" s="90"/>
      <c r="E79" s="90"/>
      <c r="F79" s="90"/>
      <c r="G79" s="72"/>
      <c r="H79" s="84">
        <f>SUM(H57:H78)</f>
        <v>112.43415571999999</v>
      </c>
      <c r="I79" s="72"/>
    </row>
    <row r="80" spans="1:21" ht="7.5" hidden="1" customHeight="1">
      <c r="A80" s="160"/>
      <c r="B80" s="202" t="s">
        <v>111</v>
      </c>
      <c r="C80" s="203"/>
      <c r="D80" s="204"/>
      <c r="E80" s="61"/>
      <c r="F80" s="205">
        <v>1</v>
      </c>
      <c r="G80" s="85">
        <v>10966.5</v>
      </c>
      <c r="H80" s="206">
        <f>G80*F80/1000</f>
        <v>10.9665</v>
      </c>
      <c r="I80" s="85">
        <v>0</v>
      </c>
    </row>
    <row r="81" spans="1:9" ht="20.25" customHeight="1">
      <c r="A81" s="32"/>
      <c r="B81" s="200" t="s">
        <v>156</v>
      </c>
      <c r="C81" s="122"/>
      <c r="D81" s="38"/>
      <c r="E81" s="17"/>
      <c r="F81" s="36"/>
      <c r="G81" s="36"/>
      <c r="H81" s="13"/>
      <c r="I81" s="13"/>
    </row>
    <row r="82" spans="1:9" ht="15.75" customHeight="1">
      <c r="A82" s="32">
        <v>17</v>
      </c>
      <c r="B82" s="38" t="s">
        <v>157</v>
      </c>
      <c r="C82" s="133" t="s">
        <v>158</v>
      </c>
      <c r="D82" s="38"/>
      <c r="E82" s="17">
        <v>3382.7</v>
      </c>
      <c r="F82" s="36">
        <f>SUM(E82*12)</f>
        <v>40592.399999999994</v>
      </c>
      <c r="G82" s="36">
        <v>2.37</v>
      </c>
      <c r="H82" s="13"/>
      <c r="I82" s="13">
        <f>G82*F82/12</f>
        <v>8016.9989999999998</v>
      </c>
    </row>
    <row r="83" spans="1:9" ht="15.75" customHeight="1">
      <c r="A83" s="228" t="s">
        <v>130</v>
      </c>
      <c r="B83" s="229"/>
      <c r="C83" s="229"/>
      <c r="D83" s="229"/>
      <c r="E83" s="229"/>
      <c r="F83" s="229"/>
      <c r="G83" s="229"/>
      <c r="H83" s="229"/>
      <c r="I83" s="230"/>
    </row>
    <row r="84" spans="1:9" ht="15.75" customHeight="1">
      <c r="A84" s="32">
        <v>18</v>
      </c>
      <c r="B84" s="104" t="s">
        <v>113</v>
      </c>
      <c r="C84" s="127" t="s">
        <v>55</v>
      </c>
      <c r="D84" s="147"/>
      <c r="E84" s="36">
        <v>3382.7</v>
      </c>
      <c r="F84" s="36">
        <f>SUM(E84*12)</f>
        <v>40592.399999999994</v>
      </c>
      <c r="G84" s="36">
        <v>3.22</v>
      </c>
      <c r="H84" s="80">
        <f>SUM(F84*G84/1000)</f>
        <v>130.707528</v>
      </c>
      <c r="I84" s="13">
        <f>F84/12*G84</f>
        <v>10892.293999999998</v>
      </c>
    </row>
    <row r="85" spans="1:9" ht="31.5" customHeight="1">
      <c r="A85" s="32">
        <v>19</v>
      </c>
      <c r="B85" s="38" t="s">
        <v>77</v>
      </c>
      <c r="C85" s="127"/>
      <c r="D85" s="146"/>
      <c r="E85" s="106">
        <f>E83</f>
        <v>0</v>
      </c>
      <c r="F85" s="36">
        <v>40592.400000000001</v>
      </c>
      <c r="G85" s="36">
        <v>3.64</v>
      </c>
      <c r="H85" s="80">
        <f>F85*G85/1000</f>
        <v>147.756336</v>
      </c>
      <c r="I85" s="13">
        <f>F85/12*G85</f>
        <v>12313.028000000002</v>
      </c>
    </row>
    <row r="86" spans="1:9" ht="15.75" customHeight="1">
      <c r="A86" s="32"/>
      <c r="B86" s="39" t="s">
        <v>79</v>
      </c>
      <c r="C86" s="83"/>
      <c r="D86" s="82"/>
      <c r="E86" s="72"/>
      <c r="F86" s="72"/>
      <c r="G86" s="72"/>
      <c r="H86" s="84">
        <f>H85</f>
        <v>147.756336</v>
      </c>
      <c r="I86" s="72">
        <f>I85+I84+I82+I76+I62+I58+I57+I50+I43+I40+I39+I38+I37+I26+I20+I18+I17+I16</f>
        <v>58230.092402000009</v>
      </c>
    </row>
    <row r="87" spans="1:9" ht="15.75" customHeight="1">
      <c r="A87" s="215" t="s">
        <v>60</v>
      </c>
      <c r="B87" s="216"/>
      <c r="C87" s="216"/>
      <c r="D87" s="216"/>
      <c r="E87" s="216"/>
      <c r="F87" s="216"/>
      <c r="G87" s="216"/>
      <c r="H87" s="216"/>
      <c r="I87" s="217"/>
    </row>
    <row r="88" spans="1:9" ht="15.75" customHeight="1">
      <c r="A88" s="32"/>
      <c r="B88" s="44" t="s">
        <v>52</v>
      </c>
      <c r="C88" s="40"/>
      <c r="D88" s="47"/>
      <c r="E88" s="40">
        <v>1</v>
      </c>
      <c r="F88" s="40"/>
      <c r="G88" s="40"/>
      <c r="H88" s="40"/>
      <c r="I88" s="34">
        <v>0</v>
      </c>
    </row>
    <row r="89" spans="1:9" ht="15.75" customHeight="1">
      <c r="A89" s="32"/>
      <c r="B89" s="46" t="s">
        <v>78</v>
      </c>
      <c r="C89" s="15"/>
      <c r="D89" s="15"/>
      <c r="E89" s="41"/>
      <c r="F89" s="41"/>
      <c r="G89" s="42"/>
      <c r="H89" s="42"/>
      <c r="I89" s="17">
        <v>0</v>
      </c>
    </row>
    <row r="90" spans="1:9" ht="15.75" customHeight="1">
      <c r="A90" s="48"/>
      <c r="B90" s="45" t="s">
        <v>138</v>
      </c>
      <c r="C90" s="35"/>
      <c r="D90" s="35"/>
      <c r="E90" s="35"/>
      <c r="F90" s="35"/>
      <c r="G90" s="35"/>
      <c r="H90" s="35"/>
      <c r="I90" s="43">
        <f>I88+I86</f>
        <v>58230.092402000009</v>
      </c>
    </row>
    <row r="91" spans="1:9" ht="15.75" customHeight="1">
      <c r="A91" s="231" t="s">
        <v>209</v>
      </c>
      <c r="B91" s="231"/>
      <c r="C91" s="231"/>
      <c r="D91" s="231"/>
      <c r="E91" s="231"/>
      <c r="F91" s="231"/>
      <c r="G91" s="231"/>
      <c r="H91" s="231"/>
      <c r="I91" s="231"/>
    </row>
    <row r="92" spans="1:9" ht="15.75" customHeight="1">
      <c r="A92" s="59"/>
      <c r="B92" s="232" t="s">
        <v>210</v>
      </c>
      <c r="C92" s="232"/>
      <c r="D92" s="232"/>
      <c r="E92" s="232"/>
      <c r="F92" s="232"/>
      <c r="G92" s="232"/>
      <c r="H92" s="64"/>
      <c r="I92" s="3"/>
    </row>
    <row r="93" spans="1:9">
      <c r="A93" s="49"/>
      <c r="B93" s="233" t="s">
        <v>6</v>
      </c>
      <c r="C93" s="233"/>
      <c r="D93" s="233"/>
      <c r="E93" s="233"/>
      <c r="F93" s="233"/>
      <c r="G93" s="233"/>
      <c r="H93" s="27"/>
      <c r="I93" s="50"/>
    </row>
    <row r="94" spans="1:9" ht="15.75" customHeight="1">
      <c r="A94" s="53"/>
      <c r="B94" s="53"/>
      <c r="C94" s="53"/>
      <c r="D94" s="53"/>
      <c r="E94" s="53"/>
      <c r="F94" s="53"/>
      <c r="G94" s="53"/>
      <c r="H94" s="53"/>
      <c r="I94" s="53"/>
    </row>
    <row r="95" spans="1:9" ht="15.75" customHeight="1">
      <c r="A95" s="234" t="s">
        <v>7</v>
      </c>
      <c r="B95" s="234"/>
      <c r="C95" s="234"/>
      <c r="D95" s="234"/>
      <c r="E95" s="234"/>
      <c r="F95" s="234"/>
      <c r="G95" s="234"/>
      <c r="H95" s="234"/>
      <c r="I95" s="234"/>
    </row>
    <row r="96" spans="1:9" ht="15.75" customHeight="1">
      <c r="A96" s="234" t="s">
        <v>8</v>
      </c>
      <c r="B96" s="234"/>
      <c r="C96" s="234"/>
      <c r="D96" s="234"/>
      <c r="E96" s="234"/>
      <c r="F96" s="234"/>
      <c r="G96" s="234"/>
      <c r="H96" s="234"/>
      <c r="I96" s="234"/>
    </row>
    <row r="97" spans="1:9" ht="15.75" customHeight="1">
      <c r="A97" s="235" t="s">
        <v>61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 customHeight="1">
      <c r="A98" s="11"/>
    </row>
    <row r="99" spans="1:9" ht="15.75" customHeight="1">
      <c r="A99" s="236" t="s">
        <v>9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 customHeight="1">
      <c r="A100" s="4"/>
    </row>
    <row r="101" spans="1:9" ht="15.75" customHeight="1">
      <c r="B101" s="57" t="s">
        <v>10</v>
      </c>
      <c r="C101" s="237" t="s">
        <v>131</v>
      </c>
      <c r="D101" s="237"/>
      <c r="E101" s="237"/>
      <c r="F101" s="62"/>
      <c r="I101" s="55"/>
    </row>
    <row r="102" spans="1:9" ht="15.75" customHeight="1">
      <c r="A102" s="56"/>
      <c r="C102" s="233" t="s">
        <v>11</v>
      </c>
      <c r="D102" s="233"/>
      <c r="E102" s="233"/>
      <c r="F102" s="27"/>
      <c r="I102" s="54" t="s">
        <v>12</v>
      </c>
    </row>
    <row r="103" spans="1:9" ht="15.75" customHeight="1">
      <c r="A103" s="28"/>
      <c r="C103" s="12"/>
      <c r="D103" s="12"/>
      <c r="G103" s="12"/>
      <c r="H103" s="12"/>
    </row>
    <row r="104" spans="1:9" ht="15.75">
      <c r="B104" s="57" t="s">
        <v>13</v>
      </c>
      <c r="C104" s="238"/>
      <c r="D104" s="238"/>
      <c r="E104" s="238"/>
      <c r="F104" s="63"/>
      <c r="I104" s="55"/>
    </row>
    <row r="105" spans="1:9">
      <c r="A105" s="56"/>
      <c r="C105" s="227" t="s">
        <v>11</v>
      </c>
      <c r="D105" s="227"/>
      <c r="E105" s="227"/>
      <c r="F105" s="56"/>
      <c r="I105" s="54" t="s">
        <v>12</v>
      </c>
    </row>
    <row r="106" spans="1:9" ht="15.75" customHeight="1">
      <c r="A106" s="4" t="s">
        <v>14</v>
      </c>
    </row>
    <row r="107" spans="1:9" ht="15.75" customHeight="1">
      <c r="A107" s="239" t="s">
        <v>15</v>
      </c>
      <c r="B107" s="239"/>
      <c r="C107" s="239"/>
      <c r="D107" s="239"/>
      <c r="E107" s="239"/>
      <c r="F107" s="239"/>
      <c r="G107" s="239"/>
      <c r="H107" s="239"/>
      <c r="I107" s="239"/>
    </row>
    <row r="108" spans="1:9" ht="45" customHeight="1">
      <c r="A108" s="240" t="s">
        <v>16</v>
      </c>
      <c r="B108" s="240"/>
      <c r="C108" s="240"/>
      <c r="D108" s="240"/>
      <c r="E108" s="240"/>
      <c r="F108" s="240"/>
      <c r="G108" s="240"/>
      <c r="H108" s="240"/>
      <c r="I108" s="240"/>
    </row>
    <row r="109" spans="1:9" ht="30" customHeight="1">
      <c r="A109" s="240" t="s">
        <v>17</v>
      </c>
      <c r="B109" s="240"/>
      <c r="C109" s="240"/>
      <c r="D109" s="240"/>
      <c r="E109" s="240"/>
      <c r="F109" s="240"/>
      <c r="G109" s="240"/>
      <c r="H109" s="240"/>
      <c r="I109" s="240"/>
    </row>
    <row r="110" spans="1:9" ht="30" customHeight="1">
      <c r="A110" s="240" t="s">
        <v>21</v>
      </c>
      <c r="B110" s="240"/>
      <c r="C110" s="240"/>
      <c r="D110" s="240"/>
      <c r="E110" s="240"/>
      <c r="F110" s="240"/>
      <c r="G110" s="240"/>
      <c r="H110" s="240"/>
      <c r="I110" s="240"/>
    </row>
    <row r="111" spans="1:9" ht="15" customHeight="1">
      <c r="A111" s="240" t="s">
        <v>20</v>
      </c>
      <c r="B111" s="240"/>
      <c r="C111" s="240"/>
      <c r="D111" s="240"/>
      <c r="E111" s="240"/>
      <c r="F111" s="240"/>
      <c r="G111" s="240"/>
      <c r="H111" s="240"/>
      <c r="I111" s="240"/>
    </row>
  </sheetData>
  <autoFilter ref="I12:I62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7:I27"/>
    <mergeCell ref="A44:I44"/>
    <mergeCell ref="A55:I55"/>
    <mergeCell ref="A87:I87"/>
    <mergeCell ref="A91:I91"/>
    <mergeCell ref="B92:G92"/>
    <mergeCell ref="B93:G93"/>
    <mergeCell ref="A95:I95"/>
    <mergeCell ref="A96:I96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topLeftCell="A74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166</v>
      </c>
      <c r="I1" s="29"/>
      <c r="J1" s="1"/>
      <c r="K1" s="1"/>
      <c r="L1" s="1"/>
      <c r="M1" s="1"/>
    </row>
    <row r="2" spans="1:13" ht="15.75">
      <c r="A2" s="31" t="s">
        <v>62</v>
      </c>
      <c r="J2" s="2"/>
      <c r="K2" s="2"/>
      <c r="L2" s="2"/>
      <c r="M2" s="2"/>
    </row>
    <row r="3" spans="1:13" ht="15.75" customHeight="1">
      <c r="A3" s="218" t="s">
        <v>136</v>
      </c>
      <c r="B3" s="218"/>
      <c r="C3" s="218"/>
      <c r="D3" s="218"/>
      <c r="E3" s="218"/>
      <c r="F3" s="218"/>
      <c r="G3" s="218"/>
      <c r="H3" s="218"/>
      <c r="I3" s="218"/>
      <c r="J3" s="3"/>
      <c r="K3" s="3"/>
      <c r="L3" s="3"/>
    </row>
    <row r="4" spans="1:13" ht="31.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13" ht="15.75">
      <c r="A5" s="218" t="s">
        <v>211</v>
      </c>
      <c r="B5" s="220"/>
      <c r="C5" s="220"/>
      <c r="D5" s="220"/>
      <c r="E5" s="220"/>
      <c r="F5" s="220"/>
      <c r="G5" s="220"/>
      <c r="H5" s="220"/>
      <c r="I5" s="220"/>
      <c r="J5" s="2"/>
      <c r="K5" s="2"/>
      <c r="L5" s="2"/>
      <c r="M5" s="2"/>
    </row>
    <row r="6" spans="1:13" ht="15.75">
      <c r="A6" s="2"/>
      <c r="B6" s="58"/>
      <c r="C6" s="58"/>
      <c r="D6" s="58"/>
      <c r="E6" s="58"/>
      <c r="F6" s="58"/>
      <c r="G6" s="58"/>
      <c r="H6" s="58"/>
      <c r="I6" s="33">
        <v>43921</v>
      </c>
      <c r="J6" s="2"/>
      <c r="K6" s="2"/>
      <c r="L6" s="2"/>
      <c r="M6" s="2"/>
    </row>
    <row r="7" spans="1:13" ht="15.75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  <c r="J14" s="8"/>
      <c r="K14" s="8"/>
      <c r="L14" s="8"/>
      <c r="M14" s="8"/>
    </row>
    <row r="15" spans="1:13" ht="15.75" customHeight="1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  <c r="J15" s="8"/>
      <c r="K15" s="8"/>
      <c r="L15" s="8"/>
      <c r="M15" s="8"/>
    </row>
    <row r="16" spans="1:13" s="111" customFormat="1" ht="15.7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  <c r="J16" s="109"/>
      <c r="K16" s="110"/>
      <c r="L16" s="110"/>
      <c r="M16" s="110"/>
    </row>
    <row r="17" spans="1:13" s="111" customFormat="1" ht="15.7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  <c r="J17" s="112"/>
      <c r="K17" s="110"/>
      <c r="L17" s="110"/>
      <c r="M17" s="110"/>
    </row>
    <row r="18" spans="1:13" s="111" customFormat="1" ht="15.7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  <c r="J18" s="112"/>
      <c r="K18" s="110"/>
      <c r="L18" s="110"/>
      <c r="M18" s="110"/>
    </row>
    <row r="19" spans="1:13" s="111" customFormat="1" ht="15.75" hidden="1" customHeight="1">
      <c r="A19" s="32"/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  <c r="J19" s="112"/>
      <c r="K19" s="110"/>
      <c r="L19" s="110"/>
      <c r="M19" s="110"/>
    </row>
    <row r="20" spans="1:13" s="111" customFormat="1" ht="15.7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  <c r="J20" s="112"/>
      <c r="K20" s="110"/>
      <c r="L20" s="110"/>
      <c r="M20" s="110"/>
    </row>
    <row r="21" spans="1:13" s="111" customFormat="1" ht="15.75" hidden="1" customHeight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  <c r="J21" s="112"/>
      <c r="K21" s="110"/>
      <c r="L21" s="110"/>
      <c r="M21" s="110"/>
    </row>
    <row r="22" spans="1:13" s="111" customFormat="1" ht="15.75" hidden="1" customHeight="1">
      <c r="A22" s="32"/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  <c r="J22" s="112"/>
      <c r="K22" s="110"/>
      <c r="L22" s="110"/>
      <c r="M22" s="110"/>
    </row>
    <row r="23" spans="1:13" s="111" customFormat="1" ht="15.75" hidden="1" customHeight="1">
      <c r="A23" s="32"/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  <c r="J23" s="112"/>
      <c r="K23" s="110"/>
      <c r="L23" s="110"/>
      <c r="M23" s="110"/>
    </row>
    <row r="24" spans="1:13" s="111" customFormat="1" ht="15.75" hidden="1" customHeight="1">
      <c r="A24" s="32"/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  <c r="J24" s="112"/>
      <c r="K24" s="110"/>
      <c r="L24" s="110"/>
      <c r="M24" s="110"/>
    </row>
    <row r="25" spans="1:13" s="111" customFormat="1" ht="15.75" hidden="1" customHeight="1">
      <c r="A25" s="32"/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  <c r="J25" s="112"/>
      <c r="K25" s="110"/>
      <c r="L25" s="110"/>
      <c r="M25" s="110"/>
    </row>
    <row r="26" spans="1:13" s="111" customFormat="1" ht="15.75" hidden="1" customHeight="1">
      <c r="A26" s="32">
        <v>6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  <c r="J26" s="114"/>
    </row>
    <row r="27" spans="1:13" s="111" customFormat="1" ht="15.75" customHeight="1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  <c r="J27" s="114"/>
    </row>
    <row r="28" spans="1:13" s="111" customFormat="1" ht="15.75" hidden="1" customHeight="1">
      <c r="A28" s="32">
        <v>6</v>
      </c>
      <c r="B28" s="117" t="s">
        <v>23</v>
      </c>
      <c r="C28" s="105" t="s">
        <v>24</v>
      </c>
      <c r="D28" s="117" t="s">
        <v>119</v>
      </c>
      <c r="E28" s="106">
        <v>3382.7</v>
      </c>
      <c r="F28" s="107">
        <f>SUM(E28*12)</f>
        <v>40592.399999999994</v>
      </c>
      <c r="G28" s="107">
        <v>4.5199999999999996</v>
      </c>
      <c r="H28" s="108">
        <f>SUM(F28*G28/1000)</f>
        <v>183.47764799999996</v>
      </c>
      <c r="I28" s="13">
        <f>F28/12*G28</f>
        <v>15289.803999999996</v>
      </c>
      <c r="J28" s="114"/>
    </row>
    <row r="29" spans="1:13" s="111" customFormat="1" ht="15.75" customHeight="1">
      <c r="A29" s="223" t="s">
        <v>82</v>
      </c>
      <c r="B29" s="223"/>
      <c r="C29" s="223"/>
      <c r="D29" s="223"/>
      <c r="E29" s="223"/>
      <c r="F29" s="223"/>
      <c r="G29" s="223"/>
      <c r="H29" s="223"/>
      <c r="I29" s="223"/>
      <c r="J29" s="114"/>
    </row>
    <row r="30" spans="1:13" s="111" customFormat="1" ht="15.75" hidden="1" customHeight="1">
      <c r="A30" s="32"/>
      <c r="B30" s="136" t="s">
        <v>28</v>
      </c>
      <c r="C30" s="105"/>
      <c r="D30" s="104"/>
      <c r="E30" s="106"/>
      <c r="F30" s="107"/>
      <c r="G30" s="107"/>
      <c r="H30" s="108"/>
      <c r="I30" s="13"/>
      <c r="J30" s="112"/>
      <c r="K30" s="110"/>
      <c r="L30" s="110"/>
      <c r="M30" s="110"/>
    </row>
    <row r="31" spans="1:13" s="111" customFormat="1" ht="15.75" hidden="1" customHeight="1">
      <c r="A31" s="32"/>
      <c r="B31" s="104" t="s">
        <v>103</v>
      </c>
      <c r="C31" s="105" t="s">
        <v>86</v>
      </c>
      <c r="D31" s="104" t="s">
        <v>141</v>
      </c>
      <c r="E31" s="107">
        <v>667.1</v>
      </c>
      <c r="F31" s="107">
        <f>SUM(E31*52/1000)</f>
        <v>34.689200000000007</v>
      </c>
      <c r="G31" s="107">
        <v>212.62</v>
      </c>
      <c r="H31" s="108">
        <f t="shared" ref="H31:H37" si="1">SUM(F31*G31/1000)</f>
        <v>7.3756177040000015</v>
      </c>
      <c r="I31" s="13">
        <f t="shared" ref="I31:I35" si="2">F31/6*G31</f>
        <v>1229.2696173333336</v>
      </c>
      <c r="J31" s="112"/>
      <c r="K31" s="110"/>
      <c r="L31" s="110"/>
      <c r="M31" s="110"/>
    </row>
    <row r="32" spans="1:13" s="111" customFormat="1" ht="31.5" hidden="1" customHeight="1">
      <c r="A32" s="32"/>
      <c r="B32" s="104" t="s">
        <v>115</v>
      </c>
      <c r="C32" s="105" t="s">
        <v>86</v>
      </c>
      <c r="D32" s="104" t="s">
        <v>142</v>
      </c>
      <c r="E32" s="107">
        <v>107.4</v>
      </c>
      <c r="F32" s="107">
        <f>SUM(E32*78/1000)</f>
        <v>8.3772000000000002</v>
      </c>
      <c r="G32" s="107">
        <v>352.77</v>
      </c>
      <c r="H32" s="108">
        <f t="shared" si="1"/>
        <v>2.955224844</v>
      </c>
      <c r="I32" s="13">
        <f t="shared" si="2"/>
        <v>492.53747400000003</v>
      </c>
      <c r="J32" s="112"/>
      <c r="K32" s="110"/>
      <c r="L32" s="110"/>
      <c r="M32" s="110"/>
    </row>
    <row r="33" spans="1:14" s="111" customFormat="1" ht="15.75" hidden="1" customHeight="1">
      <c r="A33" s="32"/>
      <c r="B33" s="104" t="s">
        <v>27</v>
      </c>
      <c r="C33" s="105" t="s">
        <v>86</v>
      </c>
      <c r="D33" s="104" t="s">
        <v>54</v>
      </c>
      <c r="E33" s="107">
        <v>667.1</v>
      </c>
      <c r="F33" s="107">
        <f>SUM(E33/1000)</f>
        <v>0.66710000000000003</v>
      </c>
      <c r="G33" s="107">
        <v>4119.68</v>
      </c>
      <c r="H33" s="108">
        <f t="shared" si="1"/>
        <v>2.7482385280000003</v>
      </c>
      <c r="I33" s="13">
        <f>F33*G33</f>
        <v>2748.2385280000003</v>
      </c>
      <c r="J33" s="112"/>
      <c r="K33" s="110"/>
      <c r="L33" s="110"/>
      <c r="M33" s="110"/>
    </row>
    <row r="34" spans="1:14" s="111" customFormat="1" ht="15.75" hidden="1" customHeight="1">
      <c r="A34" s="32"/>
      <c r="B34" s="104" t="s">
        <v>120</v>
      </c>
      <c r="C34" s="105" t="s">
        <v>41</v>
      </c>
      <c r="D34" s="104" t="s">
        <v>63</v>
      </c>
      <c r="E34" s="107">
        <v>3</v>
      </c>
      <c r="F34" s="107">
        <f>SUM(E34*155/100)</f>
        <v>4.6500000000000004</v>
      </c>
      <c r="G34" s="107">
        <v>1775.94</v>
      </c>
      <c r="H34" s="108">
        <f>G34*F34/1000</f>
        <v>8.2581210000000009</v>
      </c>
      <c r="I34" s="13">
        <f t="shared" si="2"/>
        <v>1376.3535000000002</v>
      </c>
      <c r="J34" s="112"/>
      <c r="K34" s="110"/>
      <c r="L34" s="110"/>
      <c r="M34" s="110"/>
    </row>
    <row r="35" spans="1:14" s="111" customFormat="1" ht="15.75" hidden="1" customHeight="1">
      <c r="A35" s="32"/>
      <c r="B35" s="104" t="s">
        <v>102</v>
      </c>
      <c r="C35" s="105" t="s">
        <v>31</v>
      </c>
      <c r="D35" s="104" t="s">
        <v>63</v>
      </c>
      <c r="E35" s="115">
        <v>0.33333333333333331</v>
      </c>
      <c r="F35" s="107">
        <f>155/3</f>
        <v>51.666666666666664</v>
      </c>
      <c r="G35" s="107">
        <v>77.33</v>
      </c>
      <c r="H35" s="108">
        <f>SUM(G35*155/3/1000)</f>
        <v>3.9953833333333333</v>
      </c>
      <c r="I35" s="13">
        <f t="shared" si="2"/>
        <v>665.89722222222213</v>
      </c>
      <c r="J35" s="112"/>
      <c r="K35" s="110"/>
    </row>
    <row r="36" spans="1:14" s="111" customFormat="1" ht="15.75" hidden="1" customHeight="1">
      <c r="A36" s="32"/>
      <c r="B36" s="104" t="s">
        <v>64</v>
      </c>
      <c r="C36" s="105" t="s">
        <v>33</v>
      </c>
      <c r="D36" s="104" t="s">
        <v>66</v>
      </c>
      <c r="E36" s="106"/>
      <c r="F36" s="107">
        <v>1</v>
      </c>
      <c r="G36" s="107">
        <v>260.95</v>
      </c>
      <c r="H36" s="108">
        <f t="shared" si="1"/>
        <v>0.26095000000000002</v>
      </c>
      <c r="I36" s="13">
        <v>0</v>
      </c>
      <c r="J36" s="114"/>
    </row>
    <row r="37" spans="1:14" s="111" customFormat="1" ht="15.75" hidden="1" customHeight="1">
      <c r="A37" s="32"/>
      <c r="B37" s="104" t="s">
        <v>65</v>
      </c>
      <c r="C37" s="105" t="s">
        <v>32</v>
      </c>
      <c r="D37" s="104" t="s">
        <v>66</v>
      </c>
      <c r="E37" s="106"/>
      <c r="F37" s="107">
        <v>1</v>
      </c>
      <c r="G37" s="107">
        <v>1549.92</v>
      </c>
      <c r="H37" s="108">
        <f t="shared" si="1"/>
        <v>1.54992</v>
      </c>
      <c r="I37" s="13">
        <v>0</v>
      </c>
      <c r="J37" s="114"/>
    </row>
    <row r="38" spans="1:14" s="111" customFormat="1" ht="15.75" customHeight="1">
      <c r="A38" s="32"/>
      <c r="B38" s="136" t="s">
        <v>5</v>
      </c>
      <c r="C38" s="105"/>
      <c r="D38" s="104"/>
      <c r="E38" s="106"/>
      <c r="F38" s="107"/>
      <c r="G38" s="107"/>
      <c r="H38" s="108" t="s">
        <v>119</v>
      </c>
      <c r="I38" s="13"/>
      <c r="J38" s="114"/>
      <c r="L38" s="19"/>
      <c r="M38" s="20"/>
      <c r="N38" s="101"/>
    </row>
    <row r="39" spans="1:14" s="111" customFormat="1" ht="15.75" customHeight="1">
      <c r="A39" s="32">
        <v>6</v>
      </c>
      <c r="B39" s="118" t="s">
        <v>26</v>
      </c>
      <c r="C39" s="105" t="s">
        <v>32</v>
      </c>
      <c r="D39" s="104" t="s">
        <v>212</v>
      </c>
      <c r="E39" s="106"/>
      <c r="F39" s="107">
        <v>5</v>
      </c>
      <c r="G39" s="107">
        <v>2083</v>
      </c>
      <c r="H39" s="108">
        <f t="shared" ref="H39:H46" si="3">SUM(F39*G39/1000)</f>
        <v>10.414999999999999</v>
      </c>
      <c r="I39" s="13">
        <f>G39*1.2</f>
        <v>2499.6</v>
      </c>
      <c r="J39" s="114"/>
      <c r="L39" s="19"/>
      <c r="M39" s="20"/>
      <c r="N39" s="101"/>
    </row>
    <row r="40" spans="1:14" s="111" customFormat="1" ht="15.75" customHeight="1">
      <c r="A40" s="32">
        <v>7</v>
      </c>
      <c r="B40" s="118" t="s">
        <v>104</v>
      </c>
      <c r="C40" s="119" t="s">
        <v>29</v>
      </c>
      <c r="D40" s="104" t="s">
        <v>183</v>
      </c>
      <c r="E40" s="106">
        <v>107.4</v>
      </c>
      <c r="F40" s="120">
        <f>E40*30/1000</f>
        <v>3.222</v>
      </c>
      <c r="G40" s="107">
        <v>2868.09</v>
      </c>
      <c r="H40" s="108">
        <f t="shared" si="3"/>
        <v>9.2409859800000014</v>
      </c>
      <c r="I40" s="13">
        <f t="shared" ref="I40:I46" si="4">F40/6*G40</f>
        <v>1540.1643300000001</v>
      </c>
      <c r="J40" s="114"/>
      <c r="L40" s="19"/>
      <c r="M40" s="20"/>
      <c r="N40" s="101"/>
    </row>
    <row r="41" spans="1:14" s="111" customFormat="1" ht="15.75" customHeight="1">
      <c r="A41" s="32">
        <v>8</v>
      </c>
      <c r="B41" s="104" t="s">
        <v>67</v>
      </c>
      <c r="C41" s="105" t="s">
        <v>29</v>
      </c>
      <c r="D41" s="104" t="s">
        <v>188</v>
      </c>
      <c r="E41" s="107">
        <v>107.4</v>
      </c>
      <c r="F41" s="120">
        <f>SUM(E41*155/1000)</f>
        <v>16.646999999999998</v>
      </c>
      <c r="G41" s="107">
        <v>478.42</v>
      </c>
      <c r="H41" s="108">
        <f t="shared" si="3"/>
        <v>7.964257739999999</v>
      </c>
      <c r="I41" s="13">
        <f t="shared" si="4"/>
        <v>1327.3762899999999</v>
      </c>
      <c r="J41" s="114"/>
      <c r="L41" s="19"/>
      <c r="M41" s="20"/>
      <c r="N41" s="101"/>
    </row>
    <row r="42" spans="1:14" s="111" customFormat="1" ht="15.75" hidden="1" customHeight="1">
      <c r="A42" s="32"/>
      <c r="B42" s="104" t="s">
        <v>144</v>
      </c>
      <c r="C42" s="105" t="s">
        <v>145</v>
      </c>
      <c r="D42" s="104" t="s">
        <v>66</v>
      </c>
      <c r="E42" s="106"/>
      <c r="F42" s="120">
        <v>39</v>
      </c>
      <c r="G42" s="107">
        <v>314</v>
      </c>
      <c r="H42" s="108">
        <f t="shared" si="3"/>
        <v>12.246</v>
      </c>
      <c r="I42" s="13">
        <v>0</v>
      </c>
      <c r="J42" s="114"/>
      <c r="L42" s="19"/>
      <c r="M42" s="20"/>
      <c r="N42" s="101"/>
    </row>
    <row r="43" spans="1:14" s="111" customFormat="1" ht="31.5" customHeight="1">
      <c r="A43" s="32">
        <v>9</v>
      </c>
      <c r="B43" s="104" t="s">
        <v>80</v>
      </c>
      <c r="C43" s="105" t="s">
        <v>86</v>
      </c>
      <c r="D43" s="104" t="s">
        <v>184</v>
      </c>
      <c r="E43" s="107">
        <v>52.8</v>
      </c>
      <c r="F43" s="120">
        <f>SUM(E43*35/1000)</f>
        <v>1.8480000000000001</v>
      </c>
      <c r="G43" s="107">
        <v>7915.6</v>
      </c>
      <c r="H43" s="108">
        <f t="shared" si="3"/>
        <v>14.628028800000003</v>
      </c>
      <c r="I43" s="13">
        <f t="shared" si="4"/>
        <v>2438.0048000000002</v>
      </c>
      <c r="J43" s="114"/>
      <c r="L43" s="19"/>
      <c r="M43" s="20"/>
      <c r="N43" s="101"/>
    </row>
    <row r="44" spans="1:14" s="111" customFormat="1" ht="15.75" customHeight="1">
      <c r="A44" s="32">
        <v>10</v>
      </c>
      <c r="B44" s="104" t="s">
        <v>87</v>
      </c>
      <c r="C44" s="105" t="s">
        <v>86</v>
      </c>
      <c r="D44" s="104" t="s">
        <v>213</v>
      </c>
      <c r="E44" s="107">
        <v>107.4</v>
      </c>
      <c r="F44" s="120">
        <f>SUM(E44*45/1000)</f>
        <v>4.8330000000000002</v>
      </c>
      <c r="G44" s="107">
        <v>584.74</v>
      </c>
      <c r="H44" s="108">
        <f t="shared" si="3"/>
        <v>2.8260484200000002</v>
      </c>
      <c r="I44" s="13">
        <f>G44*F44/45</f>
        <v>62.801076000000002</v>
      </c>
      <c r="J44" s="114"/>
      <c r="L44" s="19"/>
      <c r="M44" s="20"/>
      <c r="N44" s="101"/>
    </row>
    <row r="45" spans="1:14" s="111" customFormat="1" ht="15.75" customHeight="1">
      <c r="A45" s="32">
        <v>11</v>
      </c>
      <c r="B45" s="118" t="s">
        <v>69</v>
      </c>
      <c r="C45" s="119" t="s">
        <v>33</v>
      </c>
      <c r="D45" s="118"/>
      <c r="E45" s="116"/>
      <c r="F45" s="120">
        <v>0.9</v>
      </c>
      <c r="G45" s="120">
        <v>800</v>
      </c>
      <c r="H45" s="108">
        <f t="shared" si="3"/>
        <v>0.72</v>
      </c>
      <c r="I45" s="13">
        <f>G45*F45/45</f>
        <v>16</v>
      </c>
      <c r="J45" s="114"/>
      <c r="L45" s="19"/>
      <c r="M45" s="20"/>
      <c r="N45" s="101"/>
    </row>
    <row r="46" spans="1:14" s="111" customFormat="1" ht="28.5" customHeight="1">
      <c r="A46" s="32">
        <v>12</v>
      </c>
      <c r="B46" s="121" t="s">
        <v>147</v>
      </c>
      <c r="C46" s="122" t="s">
        <v>29</v>
      </c>
      <c r="D46" s="118" t="s">
        <v>189</v>
      </c>
      <c r="E46" s="116">
        <v>4.2</v>
      </c>
      <c r="F46" s="120">
        <f>SUM(E46*12/1000)</f>
        <v>5.0400000000000007E-2</v>
      </c>
      <c r="G46" s="120">
        <v>270.61</v>
      </c>
      <c r="H46" s="108">
        <f t="shared" si="3"/>
        <v>1.3638744000000003E-2</v>
      </c>
      <c r="I46" s="13">
        <f t="shared" si="4"/>
        <v>2.2731240000000006</v>
      </c>
      <c r="J46" s="114"/>
      <c r="L46" s="19"/>
      <c r="M46" s="20"/>
      <c r="N46" s="101"/>
    </row>
    <row r="47" spans="1:14" s="111" customFormat="1" ht="15.75" hidden="1" customHeight="1">
      <c r="A47" s="224" t="s">
        <v>128</v>
      </c>
      <c r="B47" s="225"/>
      <c r="C47" s="225"/>
      <c r="D47" s="225"/>
      <c r="E47" s="225"/>
      <c r="F47" s="225"/>
      <c r="G47" s="225"/>
      <c r="H47" s="225"/>
      <c r="I47" s="226"/>
      <c r="J47" s="114"/>
      <c r="L47" s="19"/>
      <c r="M47" s="20"/>
      <c r="N47" s="101"/>
    </row>
    <row r="48" spans="1:14" s="111" customFormat="1" ht="15.75" hidden="1" customHeight="1">
      <c r="A48" s="32"/>
      <c r="B48" s="104" t="s">
        <v>123</v>
      </c>
      <c r="C48" s="105" t="s">
        <v>86</v>
      </c>
      <c r="D48" s="104" t="s">
        <v>43</v>
      </c>
      <c r="E48" s="106">
        <v>1197.75</v>
      </c>
      <c r="F48" s="107">
        <f>SUM(E48*2/1000)</f>
        <v>2.3955000000000002</v>
      </c>
      <c r="G48" s="36">
        <v>1104.48</v>
      </c>
      <c r="H48" s="108">
        <f t="shared" ref="H48:H57" si="5">SUM(F48*G48/1000)</f>
        <v>2.6457818400000002</v>
      </c>
      <c r="I48" s="13">
        <v>0</v>
      </c>
      <c r="J48" s="114"/>
      <c r="L48" s="19"/>
      <c r="M48" s="20"/>
      <c r="N48" s="101"/>
    </row>
    <row r="49" spans="1:22" s="111" customFormat="1" ht="15.75" hidden="1" customHeight="1">
      <c r="A49" s="32"/>
      <c r="B49" s="104" t="s">
        <v>36</v>
      </c>
      <c r="C49" s="105" t="s">
        <v>86</v>
      </c>
      <c r="D49" s="104" t="s">
        <v>43</v>
      </c>
      <c r="E49" s="106">
        <v>52</v>
      </c>
      <c r="F49" s="107">
        <f>E49*2/1000</f>
        <v>0.104</v>
      </c>
      <c r="G49" s="36">
        <v>790.38</v>
      </c>
      <c r="H49" s="108">
        <f t="shared" si="5"/>
        <v>8.2199519999999998E-2</v>
      </c>
      <c r="I49" s="13">
        <v>0</v>
      </c>
      <c r="J49" s="114"/>
      <c r="L49" s="19"/>
      <c r="M49" s="20"/>
      <c r="N49" s="101"/>
    </row>
    <row r="50" spans="1:22" s="111" customFormat="1" ht="15.75" hidden="1" customHeight="1">
      <c r="A50" s="32"/>
      <c r="B50" s="104" t="s">
        <v>37</v>
      </c>
      <c r="C50" s="105" t="s">
        <v>86</v>
      </c>
      <c r="D50" s="104" t="s">
        <v>43</v>
      </c>
      <c r="E50" s="106">
        <v>1056.5999999999999</v>
      </c>
      <c r="F50" s="107">
        <f>SUM(E50*2/1000)</f>
        <v>2.1132</v>
      </c>
      <c r="G50" s="36">
        <v>790.38</v>
      </c>
      <c r="H50" s="108">
        <f t="shared" si="5"/>
        <v>1.670231016</v>
      </c>
      <c r="I50" s="13">
        <v>0</v>
      </c>
      <c r="J50" s="114"/>
      <c r="L50" s="19"/>
      <c r="M50" s="20"/>
      <c r="N50" s="101"/>
    </row>
    <row r="51" spans="1:22" s="111" customFormat="1" ht="15.75" hidden="1" customHeight="1">
      <c r="A51" s="32"/>
      <c r="B51" s="104" t="s">
        <v>38</v>
      </c>
      <c r="C51" s="105" t="s">
        <v>86</v>
      </c>
      <c r="D51" s="104" t="s">
        <v>43</v>
      </c>
      <c r="E51" s="106">
        <v>2582</v>
      </c>
      <c r="F51" s="107">
        <f>SUM(E51*2/1000)</f>
        <v>5.1639999999999997</v>
      </c>
      <c r="G51" s="36">
        <v>827.65</v>
      </c>
      <c r="H51" s="108">
        <f t="shared" si="5"/>
        <v>4.2739845999999995</v>
      </c>
      <c r="I51" s="13">
        <v>0</v>
      </c>
      <c r="J51" s="114"/>
      <c r="L51" s="19"/>
      <c r="M51" s="20"/>
      <c r="N51" s="101"/>
    </row>
    <row r="52" spans="1:22" s="111" customFormat="1" ht="15.75" hidden="1" customHeight="1">
      <c r="A52" s="32"/>
      <c r="B52" s="104" t="s">
        <v>34</v>
      </c>
      <c r="C52" s="105" t="s">
        <v>35</v>
      </c>
      <c r="D52" s="104" t="s">
        <v>43</v>
      </c>
      <c r="E52" s="106">
        <v>92.95</v>
      </c>
      <c r="F52" s="107">
        <f>SUM(E52*2/100)</f>
        <v>1.859</v>
      </c>
      <c r="G52" s="36">
        <v>99.31</v>
      </c>
      <c r="H52" s="108">
        <f t="shared" si="5"/>
        <v>0.18461728999999999</v>
      </c>
      <c r="I52" s="13">
        <v>0</v>
      </c>
      <c r="J52" s="114"/>
      <c r="L52" s="19"/>
      <c r="M52" s="20"/>
      <c r="N52" s="101"/>
    </row>
    <row r="53" spans="1:22" s="111" customFormat="1" ht="15.75" hidden="1" customHeight="1">
      <c r="A53" s="32"/>
      <c r="B53" s="104" t="s">
        <v>56</v>
      </c>
      <c r="C53" s="105" t="s">
        <v>86</v>
      </c>
      <c r="D53" s="104" t="s">
        <v>134</v>
      </c>
      <c r="E53" s="106">
        <v>1916.4</v>
      </c>
      <c r="F53" s="107">
        <f>SUM(E53*5/1000)</f>
        <v>9.5820000000000007</v>
      </c>
      <c r="G53" s="36">
        <v>1655.27</v>
      </c>
      <c r="H53" s="108">
        <f t="shared" si="5"/>
        <v>15.860797140000001</v>
      </c>
      <c r="I53" s="13">
        <v>0</v>
      </c>
      <c r="J53" s="114"/>
      <c r="L53" s="19"/>
      <c r="M53" s="20"/>
      <c r="N53" s="101"/>
    </row>
    <row r="54" spans="1:22" s="111" customFormat="1" ht="31.5" hidden="1" customHeight="1">
      <c r="A54" s="32"/>
      <c r="B54" s="104" t="s">
        <v>88</v>
      </c>
      <c r="C54" s="105" t="s">
        <v>86</v>
      </c>
      <c r="D54" s="104" t="s">
        <v>43</v>
      </c>
      <c r="E54" s="106">
        <v>3382.7</v>
      </c>
      <c r="F54" s="107">
        <f>SUM(E54*2/1000)</f>
        <v>6.7653999999999996</v>
      </c>
      <c r="G54" s="36">
        <v>1655.27</v>
      </c>
      <c r="H54" s="108">
        <f t="shared" si="5"/>
        <v>11.198563657999999</v>
      </c>
      <c r="I54" s="13">
        <v>0</v>
      </c>
      <c r="J54" s="114"/>
      <c r="L54" s="19"/>
    </row>
    <row r="55" spans="1:22" s="111" customFormat="1" ht="31.5" hidden="1" customHeight="1">
      <c r="A55" s="32"/>
      <c r="B55" s="104" t="s">
        <v>89</v>
      </c>
      <c r="C55" s="105" t="s">
        <v>39</v>
      </c>
      <c r="D55" s="104" t="s">
        <v>43</v>
      </c>
      <c r="E55" s="106">
        <v>20</v>
      </c>
      <c r="F55" s="107">
        <f>SUM(E55*2/100)</f>
        <v>0.4</v>
      </c>
      <c r="G55" s="36">
        <v>3724.37</v>
      </c>
      <c r="H55" s="108">
        <f t="shared" si="5"/>
        <v>1.4897480000000001</v>
      </c>
      <c r="I55" s="13">
        <v>0</v>
      </c>
    </row>
    <row r="56" spans="1:22" s="111" customFormat="1" ht="15.75" hidden="1" customHeight="1">
      <c r="A56" s="32"/>
      <c r="B56" s="104" t="s">
        <v>40</v>
      </c>
      <c r="C56" s="105" t="s">
        <v>41</v>
      </c>
      <c r="D56" s="104" t="s">
        <v>43</v>
      </c>
      <c r="E56" s="106">
        <v>1</v>
      </c>
      <c r="F56" s="107">
        <v>0.02</v>
      </c>
      <c r="G56" s="36">
        <v>7709.44</v>
      </c>
      <c r="H56" s="108">
        <f t="shared" si="5"/>
        <v>0.15418879999999999</v>
      </c>
      <c r="I56" s="13">
        <v>0</v>
      </c>
    </row>
    <row r="57" spans="1:22" s="111" customFormat="1" ht="17.25" hidden="1" customHeight="1">
      <c r="A57" s="32"/>
      <c r="B57" s="104" t="s">
        <v>42</v>
      </c>
      <c r="C57" s="105" t="s">
        <v>105</v>
      </c>
      <c r="D57" s="104" t="s">
        <v>70</v>
      </c>
      <c r="E57" s="106">
        <v>118</v>
      </c>
      <c r="F57" s="107">
        <f>SUM(E57)*3</f>
        <v>354</v>
      </c>
      <c r="G57" s="123">
        <v>89.59</v>
      </c>
      <c r="H57" s="108">
        <f t="shared" si="5"/>
        <v>31.714860000000002</v>
      </c>
      <c r="I57" s="13">
        <v>0</v>
      </c>
    </row>
    <row r="58" spans="1:22" s="111" customFormat="1" ht="15.75" customHeight="1">
      <c r="A58" s="224" t="s">
        <v>159</v>
      </c>
      <c r="B58" s="225"/>
      <c r="C58" s="225"/>
      <c r="D58" s="225"/>
      <c r="E58" s="225"/>
      <c r="F58" s="225"/>
      <c r="G58" s="225"/>
      <c r="H58" s="225"/>
      <c r="I58" s="226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24"/>
    </row>
    <row r="59" spans="1:22" s="111" customFormat="1" ht="15.75" hidden="1" customHeight="1">
      <c r="A59" s="32"/>
      <c r="B59" s="136" t="s">
        <v>44</v>
      </c>
      <c r="C59" s="105"/>
      <c r="D59" s="104"/>
      <c r="E59" s="106"/>
      <c r="F59" s="107"/>
      <c r="G59" s="107"/>
      <c r="H59" s="108"/>
      <c r="I59" s="13"/>
      <c r="J59" s="53"/>
      <c r="K59" s="53"/>
      <c r="L59" s="102"/>
      <c r="M59" s="102"/>
      <c r="N59" s="102"/>
      <c r="O59" s="102"/>
      <c r="P59" s="102"/>
      <c r="Q59" s="102"/>
      <c r="R59" s="102"/>
      <c r="S59" s="102"/>
      <c r="T59" s="102"/>
      <c r="U59" s="102"/>
    </row>
    <row r="60" spans="1:22" s="111" customFormat="1" ht="32.25" hidden="1" customHeight="1">
      <c r="A60" s="32">
        <v>13</v>
      </c>
      <c r="B60" s="104" t="s">
        <v>118</v>
      </c>
      <c r="C60" s="105" t="s">
        <v>84</v>
      </c>
      <c r="D60" s="104"/>
      <c r="E60" s="106">
        <v>73.599999999999994</v>
      </c>
      <c r="F60" s="107">
        <f>SUM(E60*6/100)</f>
        <v>4.4159999999999995</v>
      </c>
      <c r="G60" s="36">
        <v>2110.4699999999998</v>
      </c>
      <c r="H60" s="108">
        <f>SUM(F60*G60/1000)</f>
        <v>9.319835519999998</v>
      </c>
      <c r="I60" s="13">
        <f>G60*0.572</f>
        <v>1207.1888399999998</v>
      </c>
      <c r="J60" s="102"/>
      <c r="K60" s="102"/>
      <c r="L60" s="102"/>
      <c r="M60" s="102"/>
      <c r="N60" s="102"/>
      <c r="O60" s="102"/>
      <c r="P60" s="102"/>
      <c r="Q60" s="102"/>
      <c r="S60" s="102"/>
      <c r="T60" s="102"/>
      <c r="U60" s="102"/>
    </row>
    <row r="61" spans="1:22" s="111" customFormat="1" ht="18" hidden="1" customHeight="1">
      <c r="A61" s="32">
        <v>14</v>
      </c>
      <c r="B61" s="104" t="s">
        <v>149</v>
      </c>
      <c r="C61" s="105" t="s">
        <v>150</v>
      </c>
      <c r="D61" s="104" t="s">
        <v>190</v>
      </c>
      <c r="E61" s="106"/>
      <c r="F61" s="107">
        <v>4</v>
      </c>
      <c r="G61" s="36">
        <v>1645</v>
      </c>
      <c r="H61" s="108">
        <f>SUM(F61*G61/1000)</f>
        <v>6.58</v>
      </c>
      <c r="I61" s="13">
        <f>G61*3.5</f>
        <v>5757.5</v>
      </c>
      <c r="J61" s="50"/>
      <c r="K61" s="50"/>
      <c r="L61" s="50"/>
      <c r="M61" s="50"/>
      <c r="N61" s="50"/>
      <c r="O61" s="50"/>
      <c r="P61" s="50"/>
      <c r="Q61" s="50"/>
      <c r="R61" s="241"/>
      <c r="S61" s="241"/>
      <c r="T61" s="241"/>
      <c r="U61" s="241"/>
    </row>
    <row r="62" spans="1:22" s="111" customFormat="1" ht="15.75" customHeight="1">
      <c r="A62" s="32"/>
      <c r="B62" s="137" t="s">
        <v>45</v>
      </c>
      <c r="C62" s="94"/>
      <c r="D62" s="52"/>
      <c r="E62" s="91"/>
      <c r="F62" s="107"/>
      <c r="G62" s="139"/>
      <c r="H62" s="125"/>
      <c r="I62" s="1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1:22" s="111" customFormat="1" ht="15.75" hidden="1" customHeight="1">
      <c r="A63" s="32"/>
      <c r="B63" s="52" t="s">
        <v>151</v>
      </c>
      <c r="C63" s="94" t="s">
        <v>53</v>
      </c>
      <c r="D63" s="52" t="s">
        <v>54</v>
      </c>
      <c r="E63" s="91">
        <v>158.19999999999999</v>
      </c>
      <c r="F63" s="107">
        <f>SUM(E63/100)</f>
        <v>1.5819999999999999</v>
      </c>
      <c r="G63" s="107">
        <v>1082.47</v>
      </c>
      <c r="H63" s="125">
        <f>F63*G63/1000</f>
        <v>1.7124675399999998</v>
      </c>
      <c r="I63" s="13">
        <v>0</v>
      </c>
    </row>
    <row r="64" spans="1:22" s="111" customFormat="1" ht="15.75" customHeight="1">
      <c r="A64" s="32">
        <v>13</v>
      </c>
      <c r="B64" s="52" t="s">
        <v>116</v>
      </c>
      <c r="C64" s="94" t="s">
        <v>25</v>
      </c>
      <c r="D64" s="52" t="s">
        <v>182</v>
      </c>
      <c r="E64" s="91">
        <v>160</v>
      </c>
      <c r="F64" s="92">
        <f>E64*12</f>
        <v>1920</v>
      </c>
      <c r="G64" s="107">
        <v>1.4</v>
      </c>
      <c r="H64" s="125">
        <f>F64*G64/1000</f>
        <v>2.6880000000000002</v>
      </c>
      <c r="I64" s="13">
        <f>F64/12*G64</f>
        <v>224</v>
      </c>
    </row>
    <row r="65" spans="1:9" s="111" customFormat="1" ht="15.75" hidden="1" customHeight="1">
      <c r="A65" s="32"/>
      <c r="B65" s="138" t="s">
        <v>46</v>
      </c>
      <c r="C65" s="94"/>
      <c r="D65" s="52"/>
      <c r="E65" s="91"/>
      <c r="F65" s="92"/>
      <c r="G65" s="92"/>
      <c r="H65" s="93" t="s">
        <v>119</v>
      </c>
      <c r="I65" s="13"/>
    </row>
    <row r="66" spans="1:9" s="111" customFormat="1" ht="15.75" hidden="1" customHeight="1">
      <c r="A66" s="32"/>
      <c r="B66" s="126" t="s">
        <v>47</v>
      </c>
      <c r="C66" s="127" t="s">
        <v>105</v>
      </c>
      <c r="D66" s="38" t="s">
        <v>66</v>
      </c>
      <c r="E66" s="17">
        <v>12</v>
      </c>
      <c r="F66" s="107">
        <f>SUM(E66)</f>
        <v>12</v>
      </c>
      <c r="G66" s="36">
        <v>303.35000000000002</v>
      </c>
      <c r="H66" s="128">
        <f t="shared" ref="H66:H83" si="6">SUM(F66*G66/1000)</f>
        <v>3.6402000000000001</v>
      </c>
      <c r="I66" s="13">
        <v>0</v>
      </c>
    </row>
    <row r="67" spans="1:9" s="111" customFormat="1" ht="15.75" hidden="1" customHeight="1">
      <c r="A67" s="32"/>
      <c r="B67" s="126" t="s">
        <v>48</v>
      </c>
      <c r="C67" s="127" t="s">
        <v>105</v>
      </c>
      <c r="D67" s="38" t="s">
        <v>66</v>
      </c>
      <c r="E67" s="17">
        <v>6</v>
      </c>
      <c r="F67" s="107">
        <f>SUM(E67)</f>
        <v>6</v>
      </c>
      <c r="G67" s="36">
        <v>104.01</v>
      </c>
      <c r="H67" s="128">
        <f t="shared" si="6"/>
        <v>0.62406000000000006</v>
      </c>
      <c r="I67" s="13">
        <v>0</v>
      </c>
    </row>
    <row r="68" spans="1:9" s="111" customFormat="1" ht="15.75" hidden="1" customHeight="1">
      <c r="A68" s="32"/>
      <c r="B68" s="126" t="s">
        <v>49</v>
      </c>
      <c r="C68" s="129" t="s">
        <v>107</v>
      </c>
      <c r="D68" s="38" t="s">
        <v>54</v>
      </c>
      <c r="E68" s="106">
        <v>14220</v>
      </c>
      <c r="F68" s="123">
        <f>SUM(E68/100)</f>
        <v>142.19999999999999</v>
      </c>
      <c r="G68" s="36">
        <v>289.37</v>
      </c>
      <c r="H68" s="128">
        <f t="shared" si="6"/>
        <v>41.148413999999995</v>
      </c>
      <c r="I68" s="13">
        <v>0</v>
      </c>
    </row>
    <row r="69" spans="1:9" s="111" customFormat="1" ht="15.75" hidden="1" customHeight="1">
      <c r="A69" s="32"/>
      <c r="B69" s="126" t="s">
        <v>50</v>
      </c>
      <c r="C69" s="127" t="s">
        <v>108</v>
      </c>
      <c r="D69" s="38"/>
      <c r="E69" s="106">
        <v>14220</v>
      </c>
      <c r="F69" s="36">
        <f>SUM(E69/1000)</f>
        <v>14.22</v>
      </c>
      <c r="G69" s="36">
        <v>225.35</v>
      </c>
      <c r="H69" s="128">
        <f t="shared" si="6"/>
        <v>3.2044769999999998</v>
      </c>
      <c r="I69" s="13">
        <v>0</v>
      </c>
    </row>
    <row r="70" spans="1:9" s="111" customFormat="1" ht="15.75" hidden="1" customHeight="1">
      <c r="A70" s="32"/>
      <c r="B70" s="126" t="s">
        <v>51</v>
      </c>
      <c r="C70" s="127" t="s">
        <v>76</v>
      </c>
      <c r="D70" s="38" t="s">
        <v>54</v>
      </c>
      <c r="E70" s="106">
        <v>2260</v>
      </c>
      <c r="F70" s="36">
        <f>SUM(E70/100)</f>
        <v>22.6</v>
      </c>
      <c r="G70" s="36">
        <v>2829.78</v>
      </c>
      <c r="H70" s="128">
        <f t="shared" si="6"/>
        <v>63.953028000000003</v>
      </c>
      <c r="I70" s="13">
        <v>0</v>
      </c>
    </row>
    <row r="71" spans="1:9" s="111" customFormat="1" ht="15.75" hidden="1" customHeight="1">
      <c r="A71" s="32"/>
      <c r="B71" s="130" t="s">
        <v>109</v>
      </c>
      <c r="C71" s="127" t="s">
        <v>33</v>
      </c>
      <c r="D71" s="38"/>
      <c r="E71" s="106">
        <v>10.6</v>
      </c>
      <c r="F71" s="36">
        <f>SUM(E71)</f>
        <v>10.6</v>
      </c>
      <c r="G71" s="36">
        <v>44.31</v>
      </c>
      <c r="H71" s="128">
        <f t="shared" si="6"/>
        <v>0.46968600000000005</v>
      </c>
      <c r="I71" s="13">
        <v>0</v>
      </c>
    </row>
    <row r="72" spans="1:9" s="111" customFormat="1" ht="15.75" hidden="1" customHeight="1">
      <c r="A72" s="32"/>
      <c r="B72" s="130" t="s">
        <v>110</v>
      </c>
      <c r="C72" s="127" t="s">
        <v>33</v>
      </c>
      <c r="D72" s="38"/>
      <c r="E72" s="106">
        <v>10.6</v>
      </c>
      <c r="F72" s="36">
        <f>SUM(E72)</f>
        <v>10.6</v>
      </c>
      <c r="G72" s="36">
        <v>47.79</v>
      </c>
      <c r="H72" s="128">
        <f t="shared" si="6"/>
        <v>0.50657399999999997</v>
      </c>
      <c r="I72" s="13">
        <v>0</v>
      </c>
    </row>
    <row r="73" spans="1:9" s="111" customFormat="1" ht="15.75" hidden="1" customHeight="1">
      <c r="A73" s="32"/>
      <c r="B73" s="38" t="s">
        <v>57</v>
      </c>
      <c r="C73" s="127" t="s">
        <v>58</v>
      </c>
      <c r="D73" s="38" t="s">
        <v>54</v>
      </c>
      <c r="E73" s="17">
        <v>3</v>
      </c>
      <c r="F73" s="36">
        <f>SUM(E73)</f>
        <v>3</v>
      </c>
      <c r="G73" s="36">
        <v>68.040000000000006</v>
      </c>
      <c r="H73" s="128">
        <f t="shared" si="6"/>
        <v>0.20412</v>
      </c>
      <c r="I73" s="13">
        <v>0</v>
      </c>
    </row>
    <row r="74" spans="1:9" s="111" customFormat="1" ht="15.75" customHeight="1">
      <c r="A74" s="32"/>
      <c r="B74" s="140" t="s">
        <v>71</v>
      </c>
      <c r="C74" s="127"/>
      <c r="D74" s="38"/>
      <c r="E74" s="17"/>
      <c r="F74" s="36"/>
      <c r="G74" s="36"/>
      <c r="H74" s="128" t="s">
        <v>119</v>
      </c>
      <c r="I74" s="72"/>
    </row>
    <row r="75" spans="1:9" s="111" customFormat="1" ht="15.75" hidden="1" customHeight="1">
      <c r="A75" s="32"/>
      <c r="B75" s="38" t="s">
        <v>152</v>
      </c>
      <c r="C75" s="127" t="s">
        <v>105</v>
      </c>
      <c r="D75" s="38" t="s">
        <v>133</v>
      </c>
      <c r="E75" s="17">
        <v>1</v>
      </c>
      <c r="F75" s="36">
        <v>1</v>
      </c>
      <c r="G75" s="36">
        <v>2112.2800000000002</v>
      </c>
      <c r="H75" s="128">
        <f t="shared" ref="H75:H77" si="7">SUM(F75*G75/1000)</f>
        <v>2.1122800000000002</v>
      </c>
      <c r="I75" s="72"/>
    </row>
    <row r="76" spans="1:9" s="111" customFormat="1" ht="15.75" hidden="1" customHeight="1">
      <c r="A76" s="32"/>
      <c r="B76" s="38" t="s">
        <v>72</v>
      </c>
      <c r="C76" s="127" t="s">
        <v>74</v>
      </c>
      <c r="D76" s="38" t="s">
        <v>133</v>
      </c>
      <c r="E76" s="17">
        <v>3</v>
      </c>
      <c r="F76" s="36">
        <f>E76/10</f>
        <v>0.3</v>
      </c>
      <c r="G76" s="36">
        <v>684.19</v>
      </c>
      <c r="H76" s="128">
        <f t="shared" si="7"/>
        <v>0.205257</v>
      </c>
      <c r="I76" s="72"/>
    </row>
    <row r="77" spans="1:9" s="111" customFormat="1" ht="15.75" hidden="1" customHeight="1">
      <c r="A77" s="32"/>
      <c r="B77" s="38" t="s">
        <v>153</v>
      </c>
      <c r="C77" s="127" t="s">
        <v>105</v>
      </c>
      <c r="D77" s="38" t="s">
        <v>133</v>
      </c>
      <c r="E77" s="17">
        <v>1</v>
      </c>
      <c r="F77" s="107">
        <f>SUM(E77)</f>
        <v>1</v>
      </c>
      <c r="G77" s="36">
        <v>1163.47</v>
      </c>
      <c r="H77" s="128">
        <f t="shared" si="7"/>
        <v>1.16347</v>
      </c>
      <c r="I77" s="72"/>
    </row>
    <row r="78" spans="1:9" s="111" customFormat="1" ht="15.75" hidden="1" customHeight="1">
      <c r="A78" s="32"/>
      <c r="B78" s="121" t="s">
        <v>154</v>
      </c>
      <c r="C78" s="122" t="s">
        <v>105</v>
      </c>
      <c r="D78" s="38" t="s">
        <v>133</v>
      </c>
      <c r="E78" s="17">
        <v>1</v>
      </c>
      <c r="F78" s="95">
        <v>1</v>
      </c>
      <c r="G78" s="36">
        <v>1670.07</v>
      </c>
      <c r="H78" s="128">
        <f>SUM(F78*G78/1000)</f>
        <v>1.6700699999999999</v>
      </c>
      <c r="I78" s="72"/>
    </row>
    <row r="79" spans="1:9" s="111" customFormat="1" ht="15.75" customHeight="1">
      <c r="A79" s="32">
        <v>14</v>
      </c>
      <c r="B79" s="121" t="s">
        <v>155</v>
      </c>
      <c r="C79" s="122" t="s">
        <v>105</v>
      </c>
      <c r="D79" s="38" t="s">
        <v>182</v>
      </c>
      <c r="E79" s="131">
        <v>2</v>
      </c>
      <c r="F79" s="92">
        <f>E79*12</f>
        <v>24</v>
      </c>
      <c r="G79" s="132">
        <v>55.55</v>
      </c>
      <c r="H79" s="128">
        <f t="shared" ref="H79" si="8">SUM(F79*G79/1000)</f>
        <v>1.3331999999999997</v>
      </c>
      <c r="I79" s="13">
        <f>F79/12*G79</f>
        <v>111.1</v>
      </c>
    </row>
    <row r="80" spans="1:9" s="111" customFormat="1" ht="15.75" customHeight="1">
      <c r="A80" s="32"/>
      <c r="B80" s="141" t="s">
        <v>156</v>
      </c>
      <c r="C80" s="122"/>
      <c r="D80" s="38"/>
      <c r="E80" s="17"/>
      <c r="F80" s="36"/>
      <c r="G80" s="36"/>
      <c r="H80" s="128"/>
      <c r="I80" s="72"/>
    </row>
    <row r="81" spans="1:9" s="111" customFormat="1" ht="15.75" customHeight="1">
      <c r="A81" s="32">
        <v>15</v>
      </c>
      <c r="B81" s="38" t="s">
        <v>157</v>
      </c>
      <c r="C81" s="133" t="s">
        <v>158</v>
      </c>
      <c r="D81" s="38"/>
      <c r="E81" s="17">
        <v>3382.7</v>
      </c>
      <c r="F81" s="36">
        <f>SUM(E81*12)</f>
        <v>40592.399999999994</v>
      </c>
      <c r="G81" s="36">
        <v>2.37</v>
      </c>
      <c r="H81" s="128">
        <f t="shared" ref="H81" si="9">SUM(F81*G81/1000)</f>
        <v>96.203987999999995</v>
      </c>
      <c r="I81" s="13">
        <f>F81/12*G81</f>
        <v>8016.9989999999989</v>
      </c>
    </row>
    <row r="82" spans="1:9" s="111" customFormat="1" ht="15.75" hidden="1" customHeight="1">
      <c r="A82" s="32"/>
      <c r="B82" s="142" t="s">
        <v>75</v>
      </c>
      <c r="C82" s="127"/>
      <c r="D82" s="38"/>
      <c r="E82" s="17"/>
      <c r="F82" s="36"/>
      <c r="G82" s="36" t="s">
        <v>119</v>
      </c>
      <c r="H82" s="128" t="s">
        <v>119</v>
      </c>
      <c r="I82" s="72"/>
    </row>
    <row r="83" spans="1:9" s="111" customFormat="1" ht="15.75" hidden="1" customHeight="1">
      <c r="A83" s="32">
        <v>18</v>
      </c>
      <c r="B83" s="134" t="s">
        <v>117</v>
      </c>
      <c r="C83" s="129" t="s">
        <v>76</v>
      </c>
      <c r="D83" s="126"/>
      <c r="E83" s="135"/>
      <c r="F83" s="123">
        <v>0.1</v>
      </c>
      <c r="G83" s="123">
        <v>4144.28</v>
      </c>
      <c r="H83" s="128">
        <f t="shared" si="6"/>
        <v>0.41442800000000002</v>
      </c>
      <c r="I83" s="13">
        <f>G83</f>
        <v>4144.28</v>
      </c>
    </row>
    <row r="84" spans="1:9" s="111" customFormat="1" ht="15.75" hidden="1" customHeight="1">
      <c r="A84" s="32"/>
      <c r="B84" s="90" t="s">
        <v>90</v>
      </c>
      <c r="C84" s="129"/>
      <c r="D84" s="126"/>
      <c r="E84" s="135"/>
      <c r="F84" s="123"/>
      <c r="G84" s="123"/>
      <c r="H84" s="128"/>
      <c r="I84" s="13"/>
    </row>
    <row r="85" spans="1:9" s="111" customFormat="1" ht="15.75" hidden="1" customHeight="1">
      <c r="A85" s="32"/>
      <c r="B85" s="104" t="s">
        <v>111</v>
      </c>
      <c r="C85" s="143"/>
      <c r="D85" s="144"/>
      <c r="E85" s="145"/>
      <c r="F85" s="37">
        <v>1</v>
      </c>
      <c r="G85" s="37">
        <v>12528</v>
      </c>
      <c r="H85" s="128">
        <f>G85*F85/1000</f>
        <v>12.528</v>
      </c>
      <c r="I85" s="13">
        <v>0</v>
      </c>
    </row>
    <row r="86" spans="1:9" ht="15.75" customHeight="1">
      <c r="A86" s="228" t="s">
        <v>160</v>
      </c>
      <c r="B86" s="229"/>
      <c r="C86" s="229"/>
      <c r="D86" s="229"/>
      <c r="E86" s="229"/>
      <c r="F86" s="229"/>
      <c r="G86" s="229"/>
      <c r="H86" s="229"/>
      <c r="I86" s="230"/>
    </row>
    <row r="87" spans="1:9" ht="15.75" customHeight="1">
      <c r="A87" s="32">
        <v>16</v>
      </c>
      <c r="B87" s="104" t="s">
        <v>113</v>
      </c>
      <c r="C87" s="127" t="s">
        <v>55</v>
      </c>
      <c r="D87" s="147"/>
      <c r="E87" s="36">
        <v>3382.7</v>
      </c>
      <c r="F87" s="36">
        <f>SUM(E87*12)</f>
        <v>40592.399999999994</v>
      </c>
      <c r="G87" s="36">
        <v>3.22</v>
      </c>
      <c r="H87" s="128">
        <f>SUM(F87*G87/1000)</f>
        <v>130.707528</v>
      </c>
      <c r="I87" s="13">
        <f>F87/12*G87</f>
        <v>10892.293999999998</v>
      </c>
    </row>
    <row r="88" spans="1:9" ht="31.5" customHeight="1">
      <c r="A88" s="32">
        <v>17</v>
      </c>
      <c r="B88" s="38" t="s">
        <v>77</v>
      </c>
      <c r="C88" s="127"/>
      <c r="D88" s="146"/>
      <c r="E88" s="106">
        <v>3382.7</v>
      </c>
      <c r="F88" s="36">
        <f>E88*12</f>
        <v>40592.399999999994</v>
      </c>
      <c r="G88" s="36">
        <v>3.64</v>
      </c>
      <c r="H88" s="128">
        <f>F88*G88/1000</f>
        <v>147.75633599999998</v>
      </c>
      <c r="I88" s="13">
        <f>F88/12*G88</f>
        <v>12313.027999999998</v>
      </c>
    </row>
    <row r="89" spans="1:9" ht="15.75" customHeight="1">
      <c r="A89" s="32"/>
      <c r="B89" s="39" t="s">
        <v>79</v>
      </c>
      <c r="C89" s="83"/>
      <c r="D89" s="82"/>
      <c r="E89" s="72"/>
      <c r="F89" s="72"/>
      <c r="G89" s="72"/>
      <c r="H89" s="84">
        <f>H88</f>
        <v>147.75633599999998</v>
      </c>
      <c r="I89" s="72">
        <f>I88+I87+I81+I79+I64+I46+I45+I44+I43+I41+I40+I39+I27+I20+I18+I17+I16</f>
        <v>52291.607569999993</v>
      </c>
    </row>
    <row r="90" spans="1:9" ht="15.75" customHeight="1">
      <c r="A90" s="215" t="s">
        <v>60</v>
      </c>
      <c r="B90" s="216"/>
      <c r="C90" s="216"/>
      <c r="D90" s="216"/>
      <c r="E90" s="216"/>
      <c r="F90" s="216"/>
      <c r="G90" s="216"/>
      <c r="H90" s="216"/>
      <c r="I90" s="217"/>
    </row>
    <row r="91" spans="1:9" ht="20.25" customHeight="1">
      <c r="A91" s="32">
        <v>18</v>
      </c>
      <c r="B91" s="121" t="s">
        <v>195</v>
      </c>
      <c r="C91" s="122" t="s">
        <v>81</v>
      </c>
      <c r="D91" s="146" t="s">
        <v>214</v>
      </c>
      <c r="E91" s="36"/>
      <c r="F91" s="36">
        <v>1</v>
      </c>
      <c r="G91" s="36">
        <v>222.63</v>
      </c>
      <c r="H91" s="78">
        <f>SUM(F91*G91/1000)</f>
        <v>0.22262999999999999</v>
      </c>
      <c r="I91" s="85">
        <f>G91*1</f>
        <v>222.63</v>
      </c>
    </row>
    <row r="92" spans="1:9" ht="15.75" customHeight="1">
      <c r="A92" s="32">
        <v>19</v>
      </c>
      <c r="B92" s="121" t="s">
        <v>169</v>
      </c>
      <c r="C92" s="122" t="s">
        <v>105</v>
      </c>
      <c r="D92" s="146"/>
      <c r="E92" s="36"/>
      <c r="F92" s="36">
        <v>1</v>
      </c>
      <c r="G92" s="36">
        <v>215.85</v>
      </c>
      <c r="H92" s="60"/>
      <c r="I92" s="85">
        <f>G92*1</f>
        <v>215.85</v>
      </c>
    </row>
    <row r="93" spans="1:9" ht="15.75" hidden="1" customHeight="1">
      <c r="A93" s="32"/>
      <c r="B93" s="51"/>
      <c r="C93" s="65"/>
      <c r="D93" s="19"/>
      <c r="E93" s="61"/>
      <c r="F93" s="60"/>
      <c r="G93" s="85"/>
      <c r="H93" s="60"/>
      <c r="I93" s="85"/>
    </row>
    <row r="94" spans="1:9" ht="15.75" customHeight="1">
      <c r="A94" s="32"/>
      <c r="B94" s="44" t="s">
        <v>52</v>
      </c>
      <c r="C94" s="40"/>
      <c r="D94" s="47"/>
      <c r="E94" s="40">
        <v>1</v>
      </c>
      <c r="F94" s="40"/>
      <c r="G94" s="40"/>
      <c r="H94" s="40"/>
      <c r="I94" s="34">
        <f>SUM(I91:I93)</f>
        <v>438.48</v>
      </c>
    </row>
    <row r="95" spans="1:9" ht="15.75" customHeight="1">
      <c r="A95" s="32"/>
      <c r="B95" s="46" t="s">
        <v>78</v>
      </c>
      <c r="C95" s="15"/>
      <c r="D95" s="15"/>
      <c r="E95" s="41"/>
      <c r="F95" s="41"/>
      <c r="G95" s="42"/>
      <c r="H95" s="42"/>
      <c r="I95" s="17">
        <v>0</v>
      </c>
    </row>
    <row r="96" spans="1:9" ht="15.75" customHeight="1">
      <c r="A96" s="48"/>
      <c r="B96" s="45" t="s">
        <v>138</v>
      </c>
      <c r="C96" s="35"/>
      <c r="D96" s="35"/>
      <c r="E96" s="35"/>
      <c r="F96" s="35"/>
      <c r="G96" s="35"/>
      <c r="H96" s="35"/>
      <c r="I96" s="43">
        <f>I89+I94</f>
        <v>52730.087569999996</v>
      </c>
    </row>
    <row r="97" spans="1:9" ht="15.75" customHeight="1">
      <c r="A97" s="231" t="s">
        <v>215</v>
      </c>
      <c r="B97" s="231"/>
      <c r="C97" s="231"/>
      <c r="D97" s="231"/>
      <c r="E97" s="231"/>
      <c r="F97" s="231"/>
      <c r="G97" s="231"/>
      <c r="H97" s="231"/>
      <c r="I97" s="231"/>
    </row>
    <row r="98" spans="1:9" ht="15.75" customHeight="1">
      <c r="A98" s="59"/>
      <c r="B98" s="232" t="s">
        <v>216</v>
      </c>
      <c r="C98" s="232"/>
      <c r="D98" s="232"/>
      <c r="E98" s="232"/>
      <c r="F98" s="232"/>
      <c r="G98" s="232"/>
      <c r="H98" s="64"/>
      <c r="I98" s="3"/>
    </row>
    <row r="99" spans="1:9">
      <c r="A99" s="49"/>
      <c r="B99" s="233" t="s">
        <v>6</v>
      </c>
      <c r="C99" s="233"/>
      <c r="D99" s="233"/>
      <c r="E99" s="233"/>
      <c r="F99" s="233"/>
      <c r="G99" s="233"/>
      <c r="H99" s="27"/>
      <c r="I99" s="50"/>
    </row>
    <row r="100" spans="1:9" ht="15.75" customHeight="1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5.75" customHeight="1">
      <c r="A101" s="234" t="s">
        <v>7</v>
      </c>
      <c r="B101" s="234"/>
      <c r="C101" s="234"/>
      <c r="D101" s="234"/>
      <c r="E101" s="234"/>
      <c r="F101" s="234"/>
      <c r="G101" s="234"/>
      <c r="H101" s="234"/>
      <c r="I101" s="234"/>
    </row>
    <row r="102" spans="1:9" ht="15.75" customHeight="1">
      <c r="A102" s="234" t="s">
        <v>8</v>
      </c>
      <c r="B102" s="234"/>
      <c r="C102" s="234"/>
      <c r="D102" s="234"/>
      <c r="E102" s="234"/>
      <c r="F102" s="234"/>
      <c r="G102" s="234"/>
      <c r="H102" s="234"/>
      <c r="I102" s="234"/>
    </row>
    <row r="103" spans="1:9" ht="15.75" customHeight="1">
      <c r="A103" s="235" t="s">
        <v>61</v>
      </c>
      <c r="B103" s="235"/>
      <c r="C103" s="235"/>
      <c r="D103" s="235"/>
      <c r="E103" s="235"/>
      <c r="F103" s="235"/>
      <c r="G103" s="235"/>
      <c r="H103" s="235"/>
      <c r="I103" s="235"/>
    </row>
    <row r="104" spans="1:9" ht="15.75" customHeight="1">
      <c r="A104" s="11"/>
    </row>
    <row r="105" spans="1:9" ht="15.75" customHeight="1">
      <c r="A105" s="236" t="s">
        <v>9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 customHeight="1">
      <c r="A106" s="4"/>
    </row>
    <row r="107" spans="1:9" ht="15.75" customHeight="1">
      <c r="B107" s="57" t="s">
        <v>10</v>
      </c>
      <c r="C107" s="237" t="s">
        <v>131</v>
      </c>
      <c r="D107" s="237"/>
      <c r="E107" s="237"/>
      <c r="F107" s="62"/>
      <c r="I107" s="55"/>
    </row>
    <row r="108" spans="1:9" ht="15.75" customHeight="1">
      <c r="A108" s="56"/>
      <c r="C108" s="233" t="s">
        <v>11</v>
      </c>
      <c r="D108" s="233"/>
      <c r="E108" s="233"/>
      <c r="F108" s="27"/>
      <c r="I108" s="54" t="s">
        <v>12</v>
      </c>
    </row>
    <row r="109" spans="1:9" ht="15.75" customHeight="1">
      <c r="A109" s="28"/>
      <c r="C109" s="12"/>
      <c r="D109" s="12"/>
      <c r="G109" s="12"/>
      <c r="H109" s="12"/>
    </row>
    <row r="110" spans="1:9" ht="15.75">
      <c r="B110" s="57" t="s">
        <v>13</v>
      </c>
      <c r="C110" s="238"/>
      <c r="D110" s="238"/>
      <c r="E110" s="238"/>
      <c r="F110" s="63"/>
      <c r="I110" s="55"/>
    </row>
    <row r="111" spans="1:9">
      <c r="A111" s="56"/>
      <c r="C111" s="227" t="s">
        <v>11</v>
      </c>
      <c r="D111" s="227"/>
      <c r="E111" s="227"/>
      <c r="F111" s="56"/>
      <c r="I111" s="54" t="s">
        <v>12</v>
      </c>
    </row>
    <row r="112" spans="1:9" ht="15.75" customHeight="1">
      <c r="A112" s="4" t="s">
        <v>14</v>
      </c>
    </row>
    <row r="113" spans="1:9" ht="15.75" customHeight="1">
      <c r="A113" s="239" t="s">
        <v>15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45" customHeight="1">
      <c r="A114" s="240" t="s">
        <v>16</v>
      </c>
      <c r="B114" s="240"/>
      <c r="C114" s="240"/>
      <c r="D114" s="240"/>
      <c r="E114" s="240"/>
      <c r="F114" s="240"/>
      <c r="G114" s="240"/>
      <c r="H114" s="240"/>
      <c r="I114" s="240"/>
    </row>
    <row r="115" spans="1:9" ht="30" customHeight="1">
      <c r="A115" s="240" t="s">
        <v>17</v>
      </c>
      <c r="B115" s="240"/>
      <c r="C115" s="240"/>
      <c r="D115" s="240"/>
      <c r="E115" s="240"/>
      <c r="F115" s="240"/>
      <c r="G115" s="240"/>
      <c r="H115" s="240"/>
      <c r="I115" s="240"/>
    </row>
    <row r="116" spans="1:9" ht="30" customHeight="1">
      <c r="A116" s="240" t="s">
        <v>21</v>
      </c>
      <c r="B116" s="240"/>
      <c r="C116" s="240"/>
      <c r="D116" s="240"/>
      <c r="E116" s="240"/>
      <c r="F116" s="240"/>
      <c r="G116" s="240"/>
      <c r="H116" s="240"/>
      <c r="I116" s="240"/>
    </row>
    <row r="117" spans="1:9" ht="15" customHeight="1">
      <c r="A117" s="240" t="s">
        <v>20</v>
      </c>
      <c r="B117" s="240"/>
      <c r="C117" s="240"/>
      <c r="D117" s="240"/>
      <c r="E117" s="240"/>
      <c r="F117" s="240"/>
      <c r="G117" s="240"/>
      <c r="H117" s="240"/>
      <c r="I117" s="240"/>
    </row>
  </sheetData>
  <autoFilter ref="I12:I56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90:I90"/>
    <mergeCell ref="A97:I97"/>
    <mergeCell ref="B98:G98"/>
    <mergeCell ref="B99:G99"/>
    <mergeCell ref="A101:I101"/>
    <mergeCell ref="A102:I102"/>
    <mergeCell ref="A86:I86"/>
    <mergeCell ref="R61:U61"/>
    <mergeCell ref="A3:I3"/>
    <mergeCell ref="A4:I4"/>
    <mergeCell ref="A5:I5"/>
    <mergeCell ref="A8:I8"/>
    <mergeCell ref="A10:I10"/>
    <mergeCell ref="A14:I14"/>
    <mergeCell ref="A29:I29"/>
    <mergeCell ref="A47:I47"/>
    <mergeCell ref="A58:I58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1"/>
  <sheetViews>
    <sheetView topLeftCell="A94" workbookViewId="0">
      <selection activeCell="A106" sqref="A106:I106"/>
    </sheetView>
  </sheetViews>
  <sheetFormatPr defaultRowHeight="15"/>
  <cols>
    <col min="2" max="2" width="51" customWidth="1"/>
    <col min="3" max="4" width="18.28515625" customWidth="1"/>
    <col min="5" max="6" width="0" hidden="1" customWidth="1"/>
    <col min="7" max="7" width="18" customWidth="1"/>
    <col min="8" max="8" width="0" hidden="1" customWidth="1"/>
    <col min="9" max="9" width="18.42578125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161</v>
      </c>
      <c r="B3" s="218"/>
      <c r="C3" s="218"/>
      <c r="D3" s="218"/>
      <c r="E3" s="218"/>
      <c r="F3" s="218"/>
      <c r="G3" s="218"/>
      <c r="H3" s="218"/>
      <c r="I3" s="218"/>
    </row>
    <row r="4" spans="1:9" ht="31.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217</v>
      </c>
      <c r="B5" s="220"/>
      <c r="C5" s="220"/>
      <c r="D5" s="220"/>
      <c r="E5" s="220"/>
      <c r="F5" s="220"/>
      <c r="G5" s="220"/>
      <c r="H5" s="220"/>
      <c r="I5" s="220"/>
    </row>
    <row r="6" spans="1:9" ht="13.5" customHeight="1">
      <c r="A6" s="2"/>
      <c r="B6" s="100"/>
      <c r="C6" s="100"/>
      <c r="D6" s="100"/>
      <c r="E6" s="100"/>
      <c r="F6" s="100"/>
      <c r="G6" s="100"/>
      <c r="H6" s="100"/>
      <c r="I6" s="33">
        <v>43951</v>
      </c>
    </row>
    <row r="7" spans="1:9" ht="15.75" hidden="1">
      <c r="B7" s="98"/>
      <c r="C7" s="98"/>
      <c r="D7" s="98"/>
      <c r="E7" s="3"/>
      <c r="F7" s="3"/>
      <c r="G7" s="3"/>
      <c r="H7" s="3"/>
    </row>
    <row r="8" spans="1:9" ht="91.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50.2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60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/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5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/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/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/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/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0.75" customHeight="1">
      <c r="A26" s="32">
        <v>6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 hidden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idden="1">
      <c r="A30" s="32"/>
      <c r="B30" s="104" t="s">
        <v>103</v>
      </c>
      <c r="C30" s="105" t="s">
        <v>86</v>
      </c>
      <c r="D30" s="104" t="s">
        <v>141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6" si="1">SUM(F30*G30/1000)</f>
        <v>7.3756177040000015</v>
      </c>
      <c r="I30" s="13">
        <f t="shared" ref="I30:I34" si="2">F30/6*G30</f>
        <v>1229.2696173333336</v>
      </c>
    </row>
    <row r="31" spans="1:9" ht="45" hidden="1">
      <c r="A31" s="32"/>
      <c r="B31" s="104" t="s">
        <v>115</v>
      </c>
      <c r="C31" s="105" t="s">
        <v>86</v>
      </c>
      <c r="D31" s="104" t="s">
        <v>142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/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idden="1">
      <c r="A33" s="32"/>
      <c r="B33" s="104" t="s">
        <v>120</v>
      </c>
      <c r="C33" s="105" t="s">
        <v>41</v>
      </c>
      <c r="D33" s="104" t="s">
        <v>63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102</v>
      </c>
      <c r="C34" s="105" t="s">
        <v>31</v>
      </c>
      <c r="D34" s="104" t="s">
        <v>63</v>
      </c>
      <c r="E34" s="115">
        <v>0.33333333333333331</v>
      </c>
      <c r="F34" s="107">
        <f>155/3</f>
        <v>51.666666666666664</v>
      </c>
      <c r="G34" s="107">
        <v>77.33</v>
      </c>
      <c r="H34" s="108">
        <f>SUM(G34*155/3/1000)</f>
        <v>3.9953833333333333</v>
      </c>
      <c r="I34" s="13">
        <f t="shared" si="2"/>
        <v>665.89722222222213</v>
      </c>
    </row>
    <row r="35" spans="1:9" hidden="1">
      <c r="A35" s="32"/>
      <c r="B35" s="104" t="s">
        <v>64</v>
      </c>
      <c r="C35" s="105" t="s">
        <v>33</v>
      </c>
      <c r="D35" s="104" t="s">
        <v>66</v>
      </c>
      <c r="E35" s="106"/>
      <c r="F35" s="107">
        <v>1</v>
      </c>
      <c r="G35" s="107">
        <v>260.95</v>
      </c>
      <c r="H35" s="108">
        <f t="shared" si="1"/>
        <v>0.26095000000000002</v>
      </c>
      <c r="I35" s="13">
        <v>0</v>
      </c>
    </row>
    <row r="36" spans="1:9" hidden="1">
      <c r="A36" s="32"/>
      <c r="B36" s="104" t="s">
        <v>65</v>
      </c>
      <c r="C36" s="105" t="s">
        <v>32</v>
      </c>
      <c r="D36" s="104" t="s">
        <v>66</v>
      </c>
      <c r="E36" s="106"/>
      <c r="F36" s="107">
        <v>1</v>
      </c>
      <c r="G36" s="107">
        <v>1549.92</v>
      </c>
      <c r="H36" s="108">
        <f t="shared" si="1"/>
        <v>1.54992</v>
      </c>
      <c r="I36" s="13">
        <v>0</v>
      </c>
    </row>
    <row r="37" spans="1:9">
      <c r="A37" s="32"/>
      <c r="B37" s="136" t="s">
        <v>5</v>
      </c>
      <c r="C37" s="105"/>
      <c r="D37" s="104"/>
      <c r="E37" s="106"/>
      <c r="F37" s="107"/>
      <c r="G37" s="107"/>
      <c r="H37" s="108" t="s">
        <v>119</v>
      </c>
      <c r="I37" s="13"/>
    </row>
    <row r="38" spans="1:9" hidden="1">
      <c r="A38" s="32">
        <v>6</v>
      </c>
      <c r="B38" s="118" t="s">
        <v>26</v>
      </c>
      <c r="C38" s="105" t="s">
        <v>32</v>
      </c>
      <c r="D38" s="104"/>
      <c r="E38" s="106"/>
      <c r="F38" s="107">
        <v>5</v>
      </c>
      <c r="G38" s="107">
        <v>2083</v>
      </c>
      <c r="H38" s="108">
        <f t="shared" ref="H38:H45" si="3">SUM(F38*G38/1000)</f>
        <v>10.414999999999999</v>
      </c>
      <c r="I38" s="13">
        <f>G38*1.8</f>
        <v>3749.4</v>
      </c>
    </row>
    <row r="39" spans="1:9">
      <c r="A39" s="32">
        <v>6</v>
      </c>
      <c r="B39" s="118" t="s">
        <v>104</v>
      </c>
      <c r="C39" s="119" t="s">
        <v>29</v>
      </c>
      <c r="D39" s="104" t="s">
        <v>183</v>
      </c>
      <c r="E39" s="106">
        <v>107.4</v>
      </c>
      <c r="F39" s="120">
        <f>E39*30/1000</f>
        <v>3.222</v>
      </c>
      <c r="G39" s="107">
        <v>2868.09</v>
      </c>
      <c r="H39" s="108">
        <f t="shared" si="3"/>
        <v>9.2409859800000014</v>
      </c>
      <c r="I39" s="13">
        <f t="shared" ref="I39:I45" si="4">F39/6*G39</f>
        <v>1540.1643300000001</v>
      </c>
    </row>
    <row r="40" spans="1:9" ht="30">
      <c r="A40" s="32">
        <v>7</v>
      </c>
      <c r="B40" s="104" t="s">
        <v>67</v>
      </c>
      <c r="C40" s="105" t="s">
        <v>29</v>
      </c>
      <c r="D40" s="104" t="s">
        <v>188</v>
      </c>
      <c r="E40" s="107">
        <v>107.4</v>
      </c>
      <c r="F40" s="120">
        <f>SUM(E40*155/1000)</f>
        <v>16.646999999999998</v>
      </c>
      <c r="G40" s="107">
        <v>478.42</v>
      </c>
      <c r="H40" s="108">
        <f t="shared" si="3"/>
        <v>7.964257739999999</v>
      </c>
      <c r="I40" s="13">
        <f t="shared" si="4"/>
        <v>1327.3762899999999</v>
      </c>
    </row>
    <row r="41" spans="1:9" ht="18.75" hidden="1" customHeight="1">
      <c r="A41" s="32">
        <v>9</v>
      </c>
      <c r="B41" s="104" t="s">
        <v>144</v>
      </c>
      <c r="C41" s="105" t="s">
        <v>145</v>
      </c>
      <c r="D41" s="104" t="s">
        <v>176</v>
      </c>
      <c r="E41" s="106"/>
      <c r="F41" s="120">
        <v>39</v>
      </c>
      <c r="G41" s="107">
        <v>314</v>
      </c>
      <c r="H41" s="108">
        <f t="shared" si="3"/>
        <v>12.246</v>
      </c>
      <c r="I41" s="13">
        <f>G41*52</f>
        <v>16328</v>
      </c>
    </row>
    <row r="42" spans="1:9" ht="48.75" customHeight="1">
      <c r="A42" s="32">
        <v>8</v>
      </c>
      <c r="B42" s="104" t="s">
        <v>80</v>
      </c>
      <c r="C42" s="105" t="s">
        <v>86</v>
      </c>
      <c r="D42" s="104" t="s">
        <v>184</v>
      </c>
      <c r="E42" s="107">
        <v>52.8</v>
      </c>
      <c r="F42" s="120">
        <f>SUM(E42*35/1000)</f>
        <v>1.8480000000000001</v>
      </c>
      <c r="G42" s="107">
        <v>7915.6</v>
      </c>
      <c r="H42" s="108">
        <f t="shared" si="3"/>
        <v>14.628028800000003</v>
      </c>
      <c r="I42" s="13">
        <f t="shared" si="4"/>
        <v>2438.0048000000002</v>
      </c>
    </row>
    <row r="43" spans="1:9" hidden="1">
      <c r="A43" s="32">
        <v>11</v>
      </c>
      <c r="B43" s="104" t="s">
        <v>87</v>
      </c>
      <c r="C43" s="105" t="s">
        <v>86</v>
      </c>
      <c r="D43" s="104" t="s">
        <v>185</v>
      </c>
      <c r="E43" s="107">
        <v>107.4</v>
      </c>
      <c r="F43" s="120">
        <f>SUM(E43*45/1000)</f>
        <v>4.8330000000000002</v>
      </c>
      <c r="G43" s="107">
        <v>584.74</v>
      </c>
      <c r="H43" s="108">
        <f t="shared" si="3"/>
        <v>2.8260484200000002</v>
      </c>
      <c r="I43" s="13">
        <f>(F43/7.5*1.5)*G43</f>
        <v>565.20968399999992</v>
      </c>
    </row>
    <row r="44" spans="1:9" hidden="1">
      <c r="A44" s="32">
        <v>12</v>
      </c>
      <c r="B44" s="118" t="s">
        <v>69</v>
      </c>
      <c r="C44" s="119" t="s">
        <v>33</v>
      </c>
      <c r="D44" s="118"/>
      <c r="E44" s="116"/>
      <c r="F44" s="120">
        <v>0.9</v>
      </c>
      <c r="G44" s="120">
        <v>800</v>
      </c>
      <c r="H44" s="108">
        <f t="shared" si="3"/>
        <v>0.72</v>
      </c>
      <c r="I44" s="13">
        <f>(F44/7.5*1.5)*G44</f>
        <v>144.00000000000003</v>
      </c>
    </row>
    <row r="45" spans="1:9" ht="30">
      <c r="A45" s="32">
        <v>9</v>
      </c>
      <c r="B45" s="121" t="s">
        <v>147</v>
      </c>
      <c r="C45" s="122" t="s">
        <v>29</v>
      </c>
      <c r="D45" s="118" t="s">
        <v>189</v>
      </c>
      <c r="E45" s="116">
        <v>4.2</v>
      </c>
      <c r="F45" s="120">
        <f>SUM(E45*12/1000)</f>
        <v>5.0400000000000007E-2</v>
      </c>
      <c r="G45" s="120">
        <v>270.61</v>
      </c>
      <c r="H45" s="108">
        <f t="shared" si="3"/>
        <v>1.3638744000000003E-2</v>
      </c>
      <c r="I45" s="13">
        <f t="shared" si="4"/>
        <v>2.2731240000000006</v>
      </c>
    </row>
    <row r="46" spans="1:9" hidden="1">
      <c r="A46" s="224" t="s">
        <v>128</v>
      </c>
      <c r="B46" s="225"/>
      <c r="C46" s="225"/>
      <c r="D46" s="225"/>
      <c r="E46" s="225"/>
      <c r="F46" s="225"/>
      <c r="G46" s="225"/>
      <c r="H46" s="225"/>
      <c r="I46" s="226"/>
    </row>
    <row r="47" spans="1:9" hidden="1">
      <c r="A47" s="32"/>
      <c r="B47" s="104" t="s">
        <v>123</v>
      </c>
      <c r="C47" s="105" t="s">
        <v>86</v>
      </c>
      <c r="D47" s="104" t="s">
        <v>43</v>
      </c>
      <c r="E47" s="106">
        <v>1197.75</v>
      </c>
      <c r="F47" s="107">
        <f>SUM(E47*2/1000)</f>
        <v>2.3955000000000002</v>
      </c>
      <c r="G47" s="36">
        <v>1104.48</v>
      </c>
      <c r="H47" s="108">
        <f t="shared" ref="H47:H56" si="5">SUM(F47*G47/1000)</f>
        <v>2.6457818400000002</v>
      </c>
      <c r="I47" s="13">
        <v>0</v>
      </c>
    </row>
    <row r="48" spans="1:9" hidden="1">
      <c r="A48" s="32"/>
      <c r="B48" s="104" t="s">
        <v>36</v>
      </c>
      <c r="C48" s="105" t="s">
        <v>86</v>
      </c>
      <c r="D48" s="104" t="s">
        <v>43</v>
      </c>
      <c r="E48" s="106">
        <v>52</v>
      </c>
      <c r="F48" s="107">
        <f>E48*2/1000</f>
        <v>0.104</v>
      </c>
      <c r="G48" s="36">
        <v>790.38</v>
      </c>
      <c r="H48" s="108">
        <f t="shared" si="5"/>
        <v>8.2199519999999998E-2</v>
      </c>
      <c r="I48" s="13">
        <v>0</v>
      </c>
    </row>
    <row r="49" spans="1:9" hidden="1">
      <c r="A49" s="32"/>
      <c r="B49" s="104" t="s">
        <v>37</v>
      </c>
      <c r="C49" s="105" t="s">
        <v>86</v>
      </c>
      <c r="D49" s="104" t="s">
        <v>43</v>
      </c>
      <c r="E49" s="106">
        <v>1056.5999999999999</v>
      </c>
      <c r="F49" s="107">
        <f>SUM(E49*2/1000)</f>
        <v>2.1132</v>
      </c>
      <c r="G49" s="36">
        <v>790.38</v>
      </c>
      <c r="H49" s="108">
        <f t="shared" si="5"/>
        <v>1.670231016</v>
      </c>
      <c r="I49" s="13">
        <v>0</v>
      </c>
    </row>
    <row r="50" spans="1:9" hidden="1">
      <c r="A50" s="32"/>
      <c r="B50" s="104" t="s">
        <v>38</v>
      </c>
      <c r="C50" s="105" t="s">
        <v>86</v>
      </c>
      <c r="D50" s="104" t="s">
        <v>43</v>
      </c>
      <c r="E50" s="106">
        <v>2582</v>
      </c>
      <c r="F50" s="107">
        <f>SUM(E50*2/1000)</f>
        <v>5.1639999999999997</v>
      </c>
      <c r="G50" s="36">
        <v>827.65</v>
      </c>
      <c r="H50" s="108">
        <f t="shared" si="5"/>
        <v>4.2739845999999995</v>
      </c>
      <c r="I50" s="13">
        <v>0</v>
      </c>
    </row>
    <row r="51" spans="1:9" hidden="1">
      <c r="A51" s="32"/>
      <c r="B51" s="104" t="s">
        <v>34</v>
      </c>
      <c r="C51" s="105" t="s">
        <v>35</v>
      </c>
      <c r="D51" s="104" t="s">
        <v>43</v>
      </c>
      <c r="E51" s="106">
        <v>92.95</v>
      </c>
      <c r="F51" s="107">
        <f>SUM(E51*2/100)</f>
        <v>1.859</v>
      </c>
      <c r="G51" s="36">
        <v>99.31</v>
      </c>
      <c r="H51" s="108">
        <f t="shared" si="5"/>
        <v>0.18461728999999999</v>
      </c>
      <c r="I51" s="13">
        <v>0</v>
      </c>
    </row>
    <row r="52" spans="1:9" hidden="1">
      <c r="A52" s="32"/>
      <c r="B52" s="104" t="s">
        <v>56</v>
      </c>
      <c r="C52" s="105" t="s">
        <v>86</v>
      </c>
      <c r="D52" s="104" t="s">
        <v>134</v>
      </c>
      <c r="E52" s="106">
        <v>1916.4</v>
      </c>
      <c r="F52" s="107">
        <f>SUM(E52*5/1000)</f>
        <v>9.5820000000000007</v>
      </c>
      <c r="G52" s="36">
        <v>1655.27</v>
      </c>
      <c r="H52" s="108">
        <f t="shared" si="5"/>
        <v>15.860797140000001</v>
      </c>
      <c r="I52" s="13">
        <v>0</v>
      </c>
    </row>
    <row r="53" spans="1:9" ht="45" hidden="1">
      <c r="A53" s="32"/>
      <c r="B53" s="104" t="s">
        <v>88</v>
      </c>
      <c r="C53" s="105" t="s">
        <v>86</v>
      </c>
      <c r="D53" s="104" t="s">
        <v>43</v>
      </c>
      <c r="E53" s="106">
        <v>3382.7</v>
      </c>
      <c r="F53" s="107">
        <f>SUM(E53*2/1000)</f>
        <v>6.7653999999999996</v>
      </c>
      <c r="G53" s="36">
        <v>1655.27</v>
      </c>
      <c r="H53" s="108">
        <f t="shared" si="5"/>
        <v>11.198563657999999</v>
      </c>
      <c r="I53" s="13">
        <v>0</v>
      </c>
    </row>
    <row r="54" spans="1:9" ht="30" hidden="1">
      <c r="A54" s="32"/>
      <c r="B54" s="104" t="s">
        <v>89</v>
      </c>
      <c r="C54" s="105" t="s">
        <v>39</v>
      </c>
      <c r="D54" s="104" t="s">
        <v>43</v>
      </c>
      <c r="E54" s="106">
        <v>20</v>
      </c>
      <c r="F54" s="107">
        <f>SUM(E54*2/100)</f>
        <v>0.4</v>
      </c>
      <c r="G54" s="36">
        <v>3724.37</v>
      </c>
      <c r="H54" s="108">
        <f t="shared" si="5"/>
        <v>1.4897480000000001</v>
      </c>
      <c r="I54" s="13">
        <v>0</v>
      </c>
    </row>
    <row r="55" spans="1:9" hidden="1">
      <c r="A55" s="32"/>
      <c r="B55" s="104" t="s">
        <v>40</v>
      </c>
      <c r="C55" s="105" t="s">
        <v>41</v>
      </c>
      <c r="D55" s="104" t="s">
        <v>43</v>
      </c>
      <c r="E55" s="106">
        <v>1</v>
      </c>
      <c r="F55" s="107">
        <v>0.02</v>
      </c>
      <c r="G55" s="36">
        <v>7709.44</v>
      </c>
      <c r="H55" s="108">
        <f t="shared" si="5"/>
        <v>0.15418879999999999</v>
      </c>
      <c r="I55" s="13">
        <v>0</v>
      </c>
    </row>
    <row r="56" spans="1:9" hidden="1">
      <c r="A56" s="32">
        <v>14</v>
      </c>
      <c r="B56" s="104" t="s">
        <v>42</v>
      </c>
      <c r="C56" s="105" t="s">
        <v>105</v>
      </c>
      <c r="D56" s="104" t="s">
        <v>70</v>
      </c>
      <c r="E56" s="106">
        <v>118</v>
      </c>
      <c r="F56" s="107">
        <f>SUM(E56)*3</f>
        <v>354</v>
      </c>
      <c r="G56" s="123">
        <v>89.59</v>
      </c>
      <c r="H56" s="108">
        <f t="shared" si="5"/>
        <v>31.714860000000002</v>
      </c>
      <c r="I56" s="13">
        <f>G56*118</f>
        <v>10571.62</v>
      </c>
    </row>
    <row r="57" spans="1:9">
      <c r="A57" s="224" t="s">
        <v>159</v>
      </c>
      <c r="B57" s="225"/>
      <c r="C57" s="225"/>
      <c r="D57" s="225"/>
      <c r="E57" s="225"/>
      <c r="F57" s="225"/>
      <c r="G57" s="225"/>
      <c r="H57" s="225"/>
      <c r="I57" s="226"/>
    </row>
    <row r="58" spans="1:9" hidden="1">
      <c r="A58" s="32"/>
      <c r="B58" s="136" t="s">
        <v>44</v>
      </c>
      <c r="C58" s="105"/>
      <c r="D58" s="104"/>
      <c r="E58" s="106"/>
      <c r="F58" s="107"/>
      <c r="G58" s="107"/>
      <c r="H58" s="108"/>
      <c r="I58" s="13"/>
    </row>
    <row r="59" spans="1:9" ht="30" hidden="1">
      <c r="A59" s="32">
        <v>15</v>
      </c>
      <c r="B59" s="104" t="s">
        <v>118</v>
      </c>
      <c r="C59" s="105" t="s">
        <v>84</v>
      </c>
      <c r="D59" s="104" t="s">
        <v>106</v>
      </c>
      <c r="E59" s="106">
        <v>73.599999999999994</v>
      </c>
      <c r="F59" s="107">
        <f>SUM(E59*6/100)</f>
        <v>4.4159999999999995</v>
      </c>
      <c r="G59" s="36">
        <v>2110.4699999999998</v>
      </c>
      <c r="H59" s="108">
        <f>SUM(F59*G59/1000)</f>
        <v>9.319835519999998</v>
      </c>
      <c r="I59" s="13">
        <f t="shared" ref="I59" si="6">F59/6*G59</f>
        <v>1553.3059199999996</v>
      </c>
    </row>
    <row r="60" spans="1:9" hidden="1">
      <c r="A60" s="32"/>
      <c r="B60" s="104" t="s">
        <v>149</v>
      </c>
      <c r="C60" s="105" t="s">
        <v>150</v>
      </c>
      <c r="D60" s="104" t="s">
        <v>66</v>
      </c>
      <c r="E60" s="106"/>
      <c r="F60" s="107">
        <v>4</v>
      </c>
      <c r="G60" s="36">
        <v>1645</v>
      </c>
      <c r="H60" s="108">
        <f>SUM(F60*G60/1000)</f>
        <v>6.58</v>
      </c>
      <c r="I60" s="13">
        <v>0</v>
      </c>
    </row>
    <row r="61" spans="1:9">
      <c r="A61" s="32"/>
      <c r="B61" s="137" t="s">
        <v>45</v>
      </c>
      <c r="C61" s="94"/>
      <c r="D61" s="52"/>
      <c r="E61" s="91"/>
      <c r="F61" s="107"/>
      <c r="G61" s="139"/>
      <c r="H61" s="125"/>
      <c r="I61" s="13"/>
    </row>
    <row r="62" spans="1:9" hidden="1">
      <c r="A62" s="32"/>
      <c r="B62" s="52" t="s">
        <v>151</v>
      </c>
      <c r="C62" s="94" t="s">
        <v>53</v>
      </c>
      <c r="D62" s="52" t="s">
        <v>54</v>
      </c>
      <c r="E62" s="91">
        <v>158.19999999999999</v>
      </c>
      <c r="F62" s="107">
        <f>SUM(E62/100)</f>
        <v>1.5819999999999999</v>
      </c>
      <c r="G62" s="107">
        <v>1082.47</v>
      </c>
      <c r="H62" s="125">
        <f>F62*G62/1000</f>
        <v>1.7124675399999998</v>
      </c>
      <c r="I62" s="13">
        <v>0</v>
      </c>
    </row>
    <row r="63" spans="1:9">
      <c r="A63" s="32">
        <v>10</v>
      </c>
      <c r="B63" s="52" t="s">
        <v>116</v>
      </c>
      <c r="C63" s="94" t="s">
        <v>25</v>
      </c>
      <c r="D63" s="52" t="s">
        <v>182</v>
      </c>
      <c r="E63" s="91">
        <v>160</v>
      </c>
      <c r="F63" s="92">
        <f>E63*12</f>
        <v>1920</v>
      </c>
      <c r="G63" s="107">
        <v>1.4</v>
      </c>
      <c r="H63" s="125">
        <f>F63*G63/1000</f>
        <v>2.6880000000000002</v>
      </c>
      <c r="I63" s="13">
        <f>F63/12*G63</f>
        <v>224</v>
      </c>
    </row>
    <row r="64" spans="1:9" hidden="1">
      <c r="A64" s="32"/>
      <c r="B64" s="138" t="s">
        <v>46</v>
      </c>
      <c r="C64" s="94"/>
      <c r="D64" s="52"/>
      <c r="E64" s="91"/>
      <c r="F64" s="92"/>
      <c r="G64" s="92"/>
      <c r="H64" s="93" t="s">
        <v>119</v>
      </c>
      <c r="I64" s="13"/>
    </row>
    <row r="65" spans="1:9" hidden="1">
      <c r="A65" s="32"/>
      <c r="B65" s="126" t="s">
        <v>47</v>
      </c>
      <c r="C65" s="127" t="s">
        <v>105</v>
      </c>
      <c r="D65" s="38" t="s">
        <v>66</v>
      </c>
      <c r="E65" s="17">
        <v>12</v>
      </c>
      <c r="F65" s="107">
        <f>SUM(E65)</f>
        <v>12</v>
      </c>
      <c r="G65" s="36">
        <v>303.35000000000002</v>
      </c>
      <c r="H65" s="128">
        <f t="shared" ref="H65:H82" si="7">SUM(F65*G65/1000)</f>
        <v>3.6402000000000001</v>
      </c>
      <c r="I65" s="13">
        <v>0</v>
      </c>
    </row>
    <row r="66" spans="1:9" hidden="1">
      <c r="A66" s="32"/>
      <c r="B66" s="126" t="s">
        <v>48</v>
      </c>
      <c r="C66" s="127" t="s">
        <v>105</v>
      </c>
      <c r="D66" s="38" t="s">
        <v>66</v>
      </c>
      <c r="E66" s="17">
        <v>6</v>
      </c>
      <c r="F66" s="107">
        <f>SUM(E66)</f>
        <v>6</v>
      </c>
      <c r="G66" s="36">
        <v>104.01</v>
      </c>
      <c r="H66" s="128">
        <f t="shared" si="7"/>
        <v>0.62406000000000006</v>
      </c>
      <c r="I66" s="13">
        <v>0</v>
      </c>
    </row>
    <row r="67" spans="1:9" hidden="1">
      <c r="A67" s="32"/>
      <c r="B67" s="126" t="s">
        <v>49</v>
      </c>
      <c r="C67" s="129" t="s">
        <v>107</v>
      </c>
      <c r="D67" s="38" t="s">
        <v>54</v>
      </c>
      <c r="E67" s="106">
        <v>14220</v>
      </c>
      <c r="F67" s="123">
        <f>SUM(E67/100)</f>
        <v>142.19999999999999</v>
      </c>
      <c r="G67" s="36">
        <v>289.37</v>
      </c>
      <c r="H67" s="128">
        <f t="shared" si="7"/>
        <v>41.148413999999995</v>
      </c>
      <c r="I67" s="13">
        <v>0</v>
      </c>
    </row>
    <row r="68" spans="1:9" hidden="1">
      <c r="A68" s="32"/>
      <c r="B68" s="126" t="s">
        <v>50</v>
      </c>
      <c r="C68" s="127" t="s">
        <v>108</v>
      </c>
      <c r="D68" s="38"/>
      <c r="E68" s="106">
        <v>14220</v>
      </c>
      <c r="F68" s="36">
        <f>SUM(E68/1000)</f>
        <v>14.22</v>
      </c>
      <c r="G68" s="36">
        <v>225.35</v>
      </c>
      <c r="H68" s="128">
        <f t="shared" si="7"/>
        <v>3.2044769999999998</v>
      </c>
      <c r="I68" s="13">
        <v>0</v>
      </c>
    </row>
    <row r="69" spans="1:9" hidden="1">
      <c r="A69" s="32"/>
      <c r="B69" s="126" t="s">
        <v>51</v>
      </c>
      <c r="C69" s="127" t="s">
        <v>76</v>
      </c>
      <c r="D69" s="38" t="s">
        <v>54</v>
      </c>
      <c r="E69" s="106">
        <v>2260</v>
      </c>
      <c r="F69" s="36">
        <f>SUM(E69/100)</f>
        <v>22.6</v>
      </c>
      <c r="G69" s="36">
        <v>2829.78</v>
      </c>
      <c r="H69" s="128">
        <f t="shared" si="7"/>
        <v>63.953028000000003</v>
      </c>
      <c r="I69" s="13">
        <v>0</v>
      </c>
    </row>
    <row r="70" spans="1:9" hidden="1">
      <c r="A70" s="32"/>
      <c r="B70" s="130" t="s">
        <v>109</v>
      </c>
      <c r="C70" s="127" t="s">
        <v>33</v>
      </c>
      <c r="D70" s="38"/>
      <c r="E70" s="106">
        <v>10.6</v>
      </c>
      <c r="F70" s="36">
        <f>SUM(E70)</f>
        <v>10.6</v>
      </c>
      <c r="G70" s="36">
        <v>44.31</v>
      </c>
      <c r="H70" s="128">
        <f t="shared" si="7"/>
        <v>0.46968600000000005</v>
      </c>
      <c r="I70" s="13">
        <v>0</v>
      </c>
    </row>
    <row r="71" spans="1:9" hidden="1">
      <c r="A71" s="32"/>
      <c r="B71" s="130" t="s">
        <v>110</v>
      </c>
      <c r="C71" s="127" t="s">
        <v>33</v>
      </c>
      <c r="D71" s="38"/>
      <c r="E71" s="106">
        <v>10.6</v>
      </c>
      <c r="F71" s="36">
        <f>SUM(E71)</f>
        <v>10.6</v>
      </c>
      <c r="G71" s="36">
        <v>47.79</v>
      </c>
      <c r="H71" s="128">
        <f t="shared" si="7"/>
        <v>0.50657399999999997</v>
      </c>
      <c r="I71" s="13">
        <v>0</v>
      </c>
    </row>
    <row r="72" spans="1:9" hidden="1">
      <c r="A72" s="32"/>
      <c r="B72" s="38" t="s">
        <v>57</v>
      </c>
      <c r="C72" s="127" t="s">
        <v>58</v>
      </c>
      <c r="D72" s="38" t="s">
        <v>54</v>
      </c>
      <c r="E72" s="17">
        <v>3</v>
      </c>
      <c r="F72" s="36">
        <f>SUM(E72)</f>
        <v>3</v>
      </c>
      <c r="G72" s="36">
        <v>68.040000000000006</v>
      </c>
      <c r="H72" s="128">
        <f t="shared" si="7"/>
        <v>0.20412</v>
      </c>
      <c r="I72" s="13">
        <v>0</v>
      </c>
    </row>
    <row r="73" spans="1:9">
      <c r="A73" s="32"/>
      <c r="B73" s="140" t="s">
        <v>71</v>
      </c>
      <c r="C73" s="127"/>
      <c r="D73" s="38"/>
      <c r="E73" s="17"/>
      <c r="F73" s="36"/>
      <c r="G73" s="36"/>
      <c r="H73" s="128" t="s">
        <v>119</v>
      </c>
      <c r="I73" s="72"/>
    </row>
    <row r="74" spans="1:9" ht="30" hidden="1">
      <c r="A74" s="32"/>
      <c r="B74" s="38" t="s">
        <v>152</v>
      </c>
      <c r="C74" s="127" t="s">
        <v>105</v>
      </c>
      <c r="D74" s="38" t="s">
        <v>133</v>
      </c>
      <c r="E74" s="17">
        <v>1</v>
      </c>
      <c r="F74" s="36">
        <v>1</v>
      </c>
      <c r="G74" s="36">
        <v>2112.2800000000002</v>
      </c>
      <c r="H74" s="128">
        <f t="shared" ref="H74:H76" si="8">SUM(F74*G74/1000)</f>
        <v>2.1122800000000002</v>
      </c>
      <c r="I74" s="72"/>
    </row>
    <row r="75" spans="1:9" ht="30" hidden="1">
      <c r="A75" s="32"/>
      <c r="B75" s="38" t="s">
        <v>72</v>
      </c>
      <c r="C75" s="127" t="s">
        <v>74</v>
      </c>
      <c r="D75" s="38" t="s">
        <v>133</v>
      </c>
      <c r="E75" s="17">
        <v>3</v>
      </c>
      <c r="F75" s="36">
        <f>E75/10</f>
        <v>0.3</v>
      </c>
      <c r="G75" s="36">
        <v>684.19</v>
      </c>
      <c r="H75" s="128">
        <f t="shared" si="8"/>
        <v>0.205257</v>
      </c>
      <c r="I75" s="72"/>
    </row>
    <row r="76" spans="1:9" ht="30" hidden="1">
      <c r="A76" s="32"/>
      <c r="B76" s="38" t="s">
        <v>153</v>
      </c>
      <c r="C76" s="127" t="s">
        <v>105</v>
      </c>
      <c r="D76" s="38" t="s">
        <v>133</v>
      </c>
      <c r="E76" s="17">
        <v>1</v>
      </c>
      <c r="F76" s="107">
        <f>SUM(E76)</f>
        <v>1</v>
      </c>
      <c r="G76" s="36">
        <v>1163.47</v>
      </c>
      <c r="H76" s="128">
        <f t="shared" si="8"/>
        <v>1.16347</v>
      </c>
      <c r="I76" s="72"/>
    </row>
    <row r="77" spans="1:9" ht="30" hidden="1">
      <c r="A77" s="32"/>
      <c r="B77" s="121" t="s">
        <v>154</v>
      </c>
      <c r="C77" s="122" t="s">
        <v>105</v>
      </c>
      <c r="D77" s="38" t="s">
        <v>133</v>
      </c>
      <c r="E77" s="17">
        <v>1</v>
      </c>
      <c r="F77" s="95">
        <v>1</v>
      </c>
      <c r="G77" s="36">
        <v>1670.07</v>
      </c>
      <c r="H77" s="128">
        <f>SUM(F77*G77/1000)</f>
        <v>1.6700699999999999</v>
      </c>
      <c r="I77" s="72"/>
    </row>
    <row r="78" spans="1:9" ht="30">
      <c r="A78" s="32">
        <v>11</v>
      </c>
      <c r="B78" s="121" t="s">
        <v>155</v>
      </c>
      <c r="C78" s="122" t="s">
        <v>105</v>
      </c>
      <c r="D78" s="38" t="s">
        <v>182</v>
      </c>
      <c r="E78" s="131">
        <v>2</v>
      </c>
      <c r="F78" s="92">
        <f>E78*12</f>
        <v>24</v>
      </c>
      <c r="G78" s="132">
        <v>55.55</v>
      </c>
      <c r="H78" s="128">
        <f t="shared" ref="H78" si="9">SUM(F78*G78/1000)</f>
        <v>1.3331999999999997</v>
      </c>
      <c r="I78" s="13">
        <f>F78/12*G78</f>
        <v>111.1</v>
      </c>
    </row>
    <row r="79" spans="1:9">
      <c r="A79" s="32"/>
      <c r="B79" s="141" t="s">
        <v>156</v>
      </c>
      <c r="C79" s="122"/>
      <c r="D79" s="38"/>
      <c r="E79" s="17"/>
      <c r="F79" s="36"/>
      <c r="G79" s="36"/>
      <c r="H79" s="128"/>
      <c r="I79" s="72"/>
    </row>
    <row r="80" spans="1:9">
      <c r="A80" s="32">
        <v>12</v>
      </c>
      <c r="B80" s="38" t="s">
        <v>157</v>
      </c>
      <c r="C80" s="133" t="s">
        <v>158</v>
      </c>
      <c r="D80" s="38"/>
      <c r="E80" s="17">
        <v>3382.7</v>
      </c>
      <c r="F80" s="36">
        <f>SUM(E80*12)</f>
        <v>40592.399999999994</v>
      </c>
      <c r="G80" s="36">
        <v>2.37</v>
      </c>
      <c r="H80" s="128">
        <f t="shared" ref="H80" si="10">SUM(F80*G80/1000)</f>
        <v>96.203987999999995</v>
      </c>
      <c r="I80" s="13">
        <f>F80/12*G80</f>
        <v>8016.9989999999989</v>
      </c>
    </row>
    <row r="81" spans="1:9" hidden="1">
      <c r="A81" s="32"/>
      <c r="B81" s="142" t="s">
        <v>75</v>
      </c>
      <c r="C81" s="127"/>
      <c r="D81" s="38"/>
      <c r="E81" s="17"/>
      <c r="F81" s="36"/>
      <c r="G81" s="36" t="s">
        <v>119</v>
      </c>
      <c r="H81" s="128" t="s">
        <v>119</v>
      </c>
      <c r="I81" s="72"/>
    </row>
    <row r="82" spans="1:9" hidden="1">
      <c r="A82" s="32">
        <v>18</v>
      </c>
      <c r="B82" s="134" t="s">
        <v>117</v>
      </c>
      <c r="C82" s="129" t="s">
        <v>76</v>
      </c>
      <c r="D82" s="126"/>
      <c r="E82" s="135"/>
      <c r="F82" s="123">
        <v>0.1</v>
      </c>
      <c r="G82" s="123">
        <v>4144.28</v>
      </c>
      <c r="H82" s="128">
        <f t="shared" si="7"/>
        <v>0.41442800000000002</v>
      </c>
      <c r="I82" s="13">
        <f>G82</f>
        <v>4144.28</v>
      </c>
    </row>
    <row r="83" spans="1:9" ht="28.5" hidden="1">
      <c r="A83" s="32"/>
      <c r="B83" s="90" t="s">
        <v>90</v>
      </c>
      <c r="C83" s="129"/>
      <c r="D83" s="126"/>
      <c r="E83" s="135"/>
      <c r="F83" s="123"/>
      <c r="G83" s="123"/>
      <c r="H83" s="128"/>
      <c r="I83" s="13"/>
    </row>
    <row r="84" spans="1:9" hidden="1">
      <c r="A84" s="32"/>
      <c r="B84" s="104" t="s">
        <v>111</v>
      </c>
      <c r="C84" s="143"/>
      <c r="D84" s="144"/>
      <c r="E84" s="145"/>
      <c r="F84" s="37">
        <v>1</v>
      </c>
      <c r="G84" s="37">
        <v>12528</v>
      </c>
      <c r="H84" s="128">
        <f>G84*F84/1000</f>
        <v>12.528</v>
      </c>
      <c r="I84" s="13">
        <v>0</v>
      </c>
    </row>
    <row r="85" spans="1:9">
      <c r="A85" s="228" t="s">
        <v>160</v>
      </c>
      <c r="B85" s="229"/>
      <c r="C85" s="229"/>
      <c r="D85" s="229"/>
      <c r="E85" s="229"/>
      <c r="F85" s="229"/>
      <c r="G85" s="229"/>
      <c r="H85" s="229"/>
      <c r="I85" s="230"/>
    </row>
    <row r="86" spans="1:9">
      <c r="A86" s="32">
        <v>13</v>
      </c>
      <c r="B86" s="104" t="s">
        <v>113</v>
      </c>
      <c r="C86" s="127" t="s">
        <v>55</v>
      </c>
      <c r="D86" s="147"/>
      <c r="E86" s="36">
        <v>3382.7</v>
      </c>
      <c r="F86" s="36">
        <f>SUM(E86*12)</f>
        <v>40592.399999999994</v>
      </c>
      <c r="G86" s="36">
        <v>3.22</v>
      </c>
      <c r="H86" s="128">
        <f>SUM(F86*G86/1000)</f>
        <v>130.707528</v>
      </c>
      <c r="I86" s="13">
        <f>F86/12*G86</f>
        <v>10892.293999999998</v>
      </c>
    </row>
    <row r="87" spans="1:9" ht="30">
      <c r="A87" s="32">
        <v>14</v>
      </c>
      <c r="B87" s="38" t="s">
        <v>77</v>
      </c>
      <c r="C87" s="127"/>
      <c r="D87" s="146"/>
      <c r="E87" s="106">
        <v>3382.7</v>
      </c>
      <c r="F87" s="36">
        <f>E87*12</f>
        <v>40592.399999999994</v>
      </c>
      <c r="G87" s="36">
        <v>3.64</v>
      </c>
      <c r="H87" s="128">
        <f>F87*G87/1000</f>
        <v>147.75633599999998</v>
      </c>
      <c r="I87" s="13">
        <f>F87/12*G87</f>
        <v>12313.027999999998</v>
      </c>
    </row>
    <row r="88" spans="1:9">
      <c r="A88" s="32"/>
      <c r="B88" s="39" t="s">
        <v>79</v>
      </c>
      <c r="C88" s="83"/>
      <c r="D88" s="82"/>
      <c r="E88" s="72"/>
      <c r="F88" s="72"/>
      <c r="G88" s="72"/>
      <c r="H88" s="84">
        <f>H87</f>
        <v>147.75633599999998</v>
      </c>
      <c r="I88" s="72">
        <f>I87+I86+I80+I78+I63+I45++I42+I40+I39+I27+I20+I18+I17+I16</f>
        <v>49713.206493999998</v>
      </c>
    </row>
    <row r="89" spans="1:9">
      <c r="A89" s="215" t="s">
        <v>60</v>
      </c>
      <c r="B89" s="216"/>
      <c r="C89" s="216"/>
      <c r="D89" s="216"/>
      <c r="E89" s="216"/>
      <c r="F89" s="216"/>
      <c r="G89" s="216"/>
      <c r="H89" s="216"/>
      <c r="I89" s="217"/>
    </row>
    <row r="90" spans="1:9">
      <c r="A90" s="32">
        <v>15</v>
      </c>
      <c r="B90" s="121" t="s">
        <v>177</v>
      </c>
      <c r="C90" s="122" t="s">
        <v>29</v>
      </c>
      <c r="D90" s="127" t="s">
        <v>186</v>
      </c>
      <c r="E90" s="36"/>
      <c r="F90" s="36">
        <v>0.06</v>
      </c>
      <c r="G90" s="36">
        <v>1207.24</v>
      </c>
      <c r="H90" s="78">
        <f>SUM(F90*G90/1000)</f>
        <v>7.2434399999999996E-2</v>
      </c>
      <c r="I90" s="85">
        <v>0</v>
      </c>
    </row>
    <row r="91" spans="1:9" ht="30">
      <c r="A91" s="32">
        <v>16</v>
      </c>
      <c r="B91" s="121" t="s">
        <v>218</v>
      </c>
      <c r="C91" s="122" t="s">
        <v>164</v>
      </c>
      <c r="D91" s="127" t="s">
        <v>225</v>
      </c>
      <c r="E91" s="36"/>
      <c r="F91" s="36">
        <v>1</v>
      </c>
      <c r="G91" s="36">
        <v>1523.6</v>
      </c>
      <c r="H91" s="60"/>
      <c r="I91" s="85">
        <f>G91*1</f>
        <v>1523.6</v>
      </c>
    </row>
    <row r="92" spans="1:9">
      <c r="A92" s="32">
        <v>17</v>
      </c>
      <c r="B92" s="121" t="s">
        <v>219</v>
      </c>
      <c r="C92" s="122" t="s">
        <v>127</v>
      </c>
      <c r="D92" s="146"/>
      <c r="E92" s="36"/>
      <c r="F92" s="36">
        <v>1</v>
      </c>
      <c r="G92" s="36">
        <v>331.57</v>
      </c>
      <c r="H92" s="60"/>
      <c r="I92" s="85">
        <f>G92*1</f>
        <v>331.57</v>
      </c>
    </row>
    <row r="93" spans="1:9" ht="30">
      <c r="A93" s="32">
        <v>18</v>
      </c>
      <c r="B93" s="121" t="s">
        <v>220</v>
      </c>
      <c r="C93" s="122" t="s">
        <v>221</v>
      </c>
      <c r="D93" s="127" t="s">
        <v>224</v>
      </c>
      <c r="E93" s="36"/>
      <c r="F93" s="36">
        <v>0.5</v>
      </c>
      <c r="G93" s="36">
        <v>1032.48</v>
      </c>
      <c r="H93" s="60"/>
      <c r="I93" s="85">
        <f>G93*0.5</f>
        <v>516.24</v>
      </c>
    </row>
    <row r="94" spans="1:9" ht="30">
      <c r="A94" s="32">
        <v>19</v>
      </c>
      <c r="B94" s="121" t="s">
        <v>198</v>
      </c>
      <c r="C94" s="122" t="s">
        <v>127</v>
      </c>
      <c r="D94" s="127" t="s">
        <v>223</v>
      </c>
      <c r="E94" s="36"/>
      <c r="F94" s="36">
        <v>1</v>
      </c>
      <c r="G94" s="36">
        <v>670.51</v>
      </c>
      <c r="H94" s="60"/>
      <c r="I94" s="85">
        <f>G94*1</f>
        <v>670.51</v>
      </c>
    </row>
    <row r="95" spans="1:9" ht="30">
      <c r="A95" s="32">
        <v>20</v>
      </c>
      <c r="B95" s="121" t="s">
        <v>222</v>
      </c>
      <c r="C95" s="122" t="s">
        <v>127</v>
      </c>
      <c r="D95" s="127" t="s">
        <v>223</v>
      </c>
      <c r="E95" s="36"/>
      <c r="F95" s="36">
        <v>1</v>
      </c>
      <c r="G95" s="36">
        <v>913.43</v>
      </c>
      <c r="H95" s="60"/>
      <c r="I95" s="85">
        <f>G95*1</f>
        <v>913.43</v>
      </c>
    </row>
    <row r="96" spans="1:9" ht="30">
      <c r="A96" s="32">
        <v>21</v>
      </c>
      <c r="B96" s="121" t="s">
        <v>175</v>
      </c>
      <c r="C96" s="122" t="s">
        <v>39</v>
      </c>
      <c r="D96" s="127" t="s">
        <v>186</v>
      </c>
      <c r="E96" s="36"/>
      <c r="F96" s="36">
        <v>0.01</v>
      </c>
      <c r="G96" s="36">
        <v>4070.89</v>
      </c>
      <c r="H96" s="60"/>
      <c r="I96" s="85">
        <v>0</v>
      </c>
    </row>
    <row r="97" spans="1:9" ht="21.75" customHeight="1">
      <c r="A97" s="32">
        <v>22</v>
      </c>
      <c r="B97" s="121" t="s">
        <v>226</v>
      </c>
      <c r="C97" s="122" t="s">
        <v>127</v>
      </c>
      <c r="D97" s="127" t="s">
        <v>227</v>
      </c>
      <c r="E97" s="36"/>
      <c r="F97" s="36">
        <v>1</v>
      </c>
      <c r="G97" s="36">
        <v>7489.02</v>
      </c>
      <c r="H97" s="60"/>
      <c r="I97" s="85">
        <f>G97*1</f>
        <v>7489.02</v>
      </c>
    </row>
    <row r="98" spans="1:9">
      <c r="A98" s="32"/>
      <c r="B98" s="44" t="s">
        <v>52</v>
      </c>
      <c r="C98" s="40"/>
      <c r="D98" s="47"/>
      <c r="E98" s="40">
        <v>1</v>
      </c>
      <c r="F98" s="40"/>
      <c r="G98" s="40"/>
      <c r="H98" s="40"/>
      <c r="I98" s="34">
        <f>SUM(I90:I97)</f>
        <v>11444.37</v>
      </c>
    </row>
    <row r="99" spans="1:9">
      <c r="A99" s="32"/>
      <c r="B99" s="46" t="s">
        <v>78</v>
      </c>
      <c r="C99" s="15"/>
      <c r="D99" s="15"/>
      <c r="E99" s="41"/>
      <c r="F99" s="41"/>
      <c r="G99" s="42"/>
      <c r="H99" s="42"/>
      <c r="I99" s="17">
        <v>0</v>
      </c>
    </row>
    <row r="100" spans="1:9">
      <c r="A100" s="48"/>
      <c r="B100" s="45" t="s">
        <v>138</v>
      </c>
      <c r="C100" s="35"/>
      <c r="D100" s="35"/>
      <c r="E100" s="35"/>
      <c r="F100" s="35"/>
      <c r="G100" s="35"/>
      <c r="H100" s="35"/>
      <c r="I100" s="43">
        <f>I88+I98</f>
        <v>61157.576494000001</v>
      </c>
    </row>
    <row r="101" spans="1:9" ht="15.75">
      <c r="A101" s="231" t="s">
        <v>294</v>
      </c>
      <c r="B101" s="231"/>
      <c r="C101" s="231"/>
      <c r="D101" s="231"/>
      <c r="E101" s="231"/>
      <c r="F101" s="231"/>
      <c r="G101" s="231"/>
      <c r="H101" s="231"/>
      <c r="I101" s="231"/>
    </row>
    <row r="102" spans="1:9" ht="15.75">
      <c r="A102" s="59"/>
      <c r="B102" s="232" t="s">
        <v>295</v>
      </c>
      <c r="C102" s="232"/>
      <c r="D102" s="232"/>
      <c r="E102" s="232"/>
      <c r="F102" s="232"/>
      <c r="G102" s="232"/>
      <c r="H102" s="64"/>
      <c r="I102" s="3"/>
    </row>
    <row r="103" spans="1:9">
      <c r="A103" s="103"/>
      <c r="B103" s="233" t="s">
        <v>6</v>
      </c>
      <c r="C103" s="233"/>
      <c r="D103" s="233"/>
      <c r="E103" s="233"/>
      <c r="F103" s="233"/>
      <c r="G103" s="233"/>
      <c r="H103" s="27"/>
      <c r="I103" s="50"/>
    </row>
    <row r="104" spans="1:9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 ht="15.75">
      <c r="A105" s="234" t="s">
        <v>7</v>
      </c>
      <c r="B105" s="234"/>
      <c r="C105" s="234"/>
      <c r="D105" s="234"/>
      <c r="E105" s="234"/>
      <c r="F105" s="234"/>
      <c r="G105" s="234"/>
      <c r="H105" s="234"/>
      <c r="I105" s="234"/>
    </row>
    <row r="106" spans="1:9" ht="15.75">
      <c r="A106" s="234" t="s">
        <v>8</v>
      </c>
      <c r="B106" s="234"/>
      <c r="C106" s="234"/>
      <c r="D106" s="234"/>
      <c r="E106" s="234"/>
      <c r="F106" s="234"/>
      <c r="G106" s="234"/>
      <c r="H106" s="234"/>
      <c r="I106" s="234"/>
    </row>
    <row r="107" spans="1:9" ht="15.75">
      <c r="A107" s="235" t="s">
        <v>61</v>
      </c>
      <c r="B107" s="235"/>
      <c r="C107" s="235"/>
      <c r="D107" s="235"/>
      <c r="E107" s="235"/>
      <c r="F107" s="235"/>
      <c r="G107" s="235"/>
      <c r="H107" s="235"/>
      <c r="I107" s="235"/>
    </row>
    <row r="108" spans="1:9" ht="15.75">
      <c r="A108" s="11"/>
    </row>
    <row r="109" spans="1:9" ht="15.75">
      <c r="A109" s="236" t="s">
        <v>9</v>
      </c>
      <c r="B109" s="236"/>
      <c r="C109" s="236"/>
      <c r="D109" s="236"/>
      <c r="E109" s="236"/>
      <c r="F109" s="236"/>
      <c r="G109" s="236"/>
      <c r="H109" s="236"/>
      <c r="I109" s="236"/>
    </row>
    <row r="110" spans="1:9" ht="15.75">
      <c r="A110" s="4"/>
    </row>
    <row r="111" spans="1:9" ht="15.75">
      <c r="B111" s="98" t="s">
        <v>10</v>
      </c>
      <c r="C111" s="237" t="s">
        <v>131</v>
      </c>
      <c r="D111" s="237"/>
      <c r="E111" s="237"/>
      <c r="F111" s="62"/>
      <c r="I111" s="99"/>
    </row>
    <row r="112" spans="1:9">
      <c r="A112" s="96"/>
      <c r="C112" s="233" t="s">
        <v>11</v>
      </c>
      <c r="D112" s="233"/>
      <c r="E112" s="233"/>
      <c r="F112" s="27"/>
      <c r="I112" s="97" t="s">
        <v>12</v>
      </c>
    </row>
    <row r="113" spans="1:9" ht="15.75">
      <c r="A113" s="28"/>
      <c r="C113" s="12"/>
      <c r="D113" s="12"/>
      <c r="G113" s="12"/>
      <c r="H113" s="12"/>
    </row>
    <row r="114" spans="1:9" ht="15.75">
      <c r="B114" s="98" t="s">
        <v>13</v>
      </c>
      <c r="C114" s="238"/>
      <c r="D114" s="238"/>
      <c r="E114" s="238"/>
      <c r="F114" s="63"/>
      <c r="I114" s="99"/>
    </row>
    <row r="115" spans="1:9">
      <c r="A115" s="96"/>
      <c r="C115" s="227" t="s">
        <v>11</v>
      </c>
      <c r="D115" s="227"/>
      <c r="E115" s="227"/>
      <c r="F115" s="96"/>
      <c r="I115" s="97" t="s">
        <v>12</v>
      </c>
    </row>
    <row r="116" spans="1:9" ht="15.75">
      <c r="A116" s="4" t="s">
        <v>14</v>
      </c>
    </row>
    <row r="117" spans="1:9">
      <c r="A117" s="239" t="s">
        <v>15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45" customHeight="1">
      <c r="A118" s="240" t="s">
        <v>16</v>
      </c>
      <c r="B118" s="240"/>
      <c r="C118" s="240"/>
      <c r="D118" s="240"/>
      <c r="E118" s="240"/>
      <c r="F118" s="240"/>
      <c r="G118" s="240"/>
      <c r="H118" s="240"/>
      <c r="I118" s="240"/>
    </row>
    <row r="119" spans="1:9" ht="39.75" customHeight="1">
      <c r="A119" s="240" t="s">
        <v>17</v>
      </c>
      <c r="B119" s="240"/>
      <c r="C119" s="240"/>
      <c r="D119" s="240"/>
      <c r="E119" s="240"/>
      <c r="F119" s="240"/>
      <c r="G119" s="240"/>
      <c r="H119" s="240"/>
      <c r="I119" s="240"/>
    </row>
    <row r="120" spans="1:9" ht="31.5" customHeight="1">
      <c r="A120" s="240" t="s">
        <v>21</v>
      </c>
      <c r="B120" s="240"/>
      <c r="C120" s="240"/>
      <c r="D120" s="240"/>
      <c r="E120" s="240"/>
      <c r="F120" s="240"/>
      <c r="G120" s="240"/>
      <c r="H120" s="240"/>
      <c r="I120" s="240"/>
    </row>
    <row r="121" spans="1:9" ht="15.75">
      <c r="A121" s="240" t="s">
        <v>20</v>
      </c>
      <c r="B121" s="240"/>
      <c r="C121" s="240"/>
      <c r="D121" s="240"/>
      <c r="E121" s="240"/>
      <c r="F121" s="240"/>
      <c r="G121" s="240"/>
      <c r="H121" s="240"/>
      <c r="I121" s="240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8:I28"/>
    <mergeCell ref="A46:I46"/>
    <mergeCell ref="A57:I57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5"/>
  <sheetViews>
    <sheetView topLeftCell="A77" workbookViewId="0">
      <selection activeCell="J96" sqref="J96"/>
    </sheetView>
  </sheetViews>
  <sheetFormatPr defaultRowHeight="15"/>
  <cols>
    <col min="2" max="2" width="49.85546875" customWidth="1"/>
    <col min="3" max="3" width="18.42578125" customWidth="1"/>
    <col min="4" max="4" width="18" customWidth="1"/>
    <col min="5" max="6" width="0" hidden="1" customWidth="1"/>
    <col min="7" max="7" width="17.28515625" customWidth="1"/>
    <col min="8" max="8" width="0" hidden="1" customWidth="1"/>
    <col min="9" max="9" width="17.28515625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162</v>
      </c>
      <c r="B3" s="218"/>
      <c r="C3" s="218"/>
      <c r="D3" s="218"/>
      <c r="E3" s="218"/>
      <c r="F3" s="218"/>
      <c r="G3" s="218"/>
      <c r="H3" s="218"/>
      <c r="I3" s="218"/>
    </row>
    <row r="4" spans="1:9" ht="36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228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48"/>
      <c r="C6" s="148"/>
      <c r="D6" s="148"/>
      <c r="E6" s="148"/>
      <c r="F6" s="148"/>
      <c r="G6" s="148"/>
      <c r="H6" s="148"/>
      <c r="I6" s="33">
        <v>43982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97.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</row>
    <row r="9" spans="1:9" ht="0.75" customHeight="1">
      <c r="A9" s="4"/>
    </row>
    <row r="10" spans="1:9" ht="61.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idden="1">
      <c r="A20" s="32">
        <v>5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>
      <c r="A21" s="32">
        <v>4</v>
      </c>
      <c r="B21" s="104" t="s">
        <v>94</v>
      </c>
      <c r="C21" s="105" t="s">
        <v>84</v>
      </c>
      <c r="D21" s="104" t="s">
        <v>182</v>
      </c>
      <c r="E21" s="106">
        <v>14</v>
      </c>
      <c r="F21" s="107">
        <f>SUM(E21*12/100)</f>
        <v>1.68</v>
      </c>
      <c r="G21" s="107">
        <v>297.19</v>
      </c>
      <c r="H21" s="108">
        <f t="shared" si="0"/>
        <v>0.49927919999999998</v>
      </c>
      <c r="I21" s="13">
        <f>F21/12*G21</f>
        <v>41.606599999999993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18.75" hidden="1" customHeight="1">
      <c r="A26" s="32">
        <v>11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>
      <c r="A30" s="32">
        <v>6</v>
      </c>
      <c r="B30" s="104" t="s">
        <v>103</v>
      </c>
      <c r="C30" s="105" t="s">
        <v>86</v>
      </c>
      <c r="D30" s="104" t="s">
        <v>180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1">SUM(F30*G30/1000)</f>
        <v>7.3756177040000015</v>
      </c>
      <c r="I30" s="13">
        <f t="shared" ref="I30:I33" si="2">F30/6*G30</f>
        <v>1229.2696173333336</v>
      </c>
    </row>
    <row r="31" spans="1:9" ht="45">
      <c r="A31" s="32">
        <v>7</v>
      </c>
      <c r="B31" s="104" t="s">
        <v>115</v>
      </c>
      <c r="C31" s="105" t="s">
        <v>86</v>
      </c>
      <c r="D31" s="104" t="s">
        <v>179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>
      <c r="A32" s="32">
        <v>8</v>
      </c>
      <c r="B32" s="104" t="s">
        <v>27</v>
      </c>
      <c r="C32" s="105" t="s">
        <v>86</v>
      </c>
      <c r="D32" s="104" t="s">
        <v>182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>
      <c r="A33" s="32">
        <v>9</v>
      </c>
      <c r="B33" s="104" t="s">
        <v>120</v>
      </c>
      <c r="C33" s="105" t="s">
        <v>41</v>
      </c>
      <c r="D33" s="104" t="s">
        <v>188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1"/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1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3">SUM(F37*G37/1000)</f>
        <v>10.414999999999999</v>
      </c>
      <c r="I37" s="13">
        <f t="shared" ref="I37:I44" si="4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3"/>
        <v>9.2409859800000014</v>
      </c>
      <c r="I38" s="13">
        <f t="shared" si="4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3"/>
        <v>7.964257739999999</v>
      </c>
      <c r="I39" s="13">
        <f t="shared" si="4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3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3"/>
        <v>14.628028800000003</v>
      </c>
      <c r="I41" s="13">
        <f t="shared" si="4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3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3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3"/>
        <v>1.3638744000000003E-2</v>
      </c>
      <c r="I44" s="13">
        <f t="shared" si="4"/>
        <v>2.2731240000000006</v>
      </c>
    </row>
    <row r="45" spans="1:9">
      <c r="A45" s="224" t="s">
        <v>128</v>
      </c>
      <c r="B45" s="225"/>
      <c r="C45" s="225"/>
      <c r="D45" s="225"/>
      <c r="E45" s="225"/>
      <c r="F45" s="225"/>
      <c r="G45" s="225"/>
      <c r="H45" s="225"/>
      <c r="I45" s="226"/>
    </row>
    <row r="46" spans="1:9">
      <c r="A46" s="32">
        <v>10</v>
      </c>
      <c r="B46" s="104" t="s">
        <v>123</v>
      </c>
      <c r="C46" s="105" t="s">
        <v>86</v>
      </c>
      <c r="D46" s="104" t="s">
        <v>186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5">SUM(F46*G46/1000)</f>
        <v>2.6457818400000002</v>
      </c>
      <c r="I46" s="13">
        <f>2.3955/2*G46</f>
        <v>1322.8909200000001</v>
      </c>
    </row>
    <row r="47" spans="1:9">
      <c r="A47" s="32">
        <v>11</v>
      </c>
      <c r="B47" s="104" t="s">
        <v>36</v>
      </c>
      <c r="C47" s="105" t="s">
        <v>86</v>
      </c>
      <c r="D47" s="104" t="s">
        <v>186</v>
      </c>
      <c r="E47" s="106">
        <v>52</v>
      </c>
      <c r="F47" s="107">
        <f>E47*2/1000</f>
        <v>0.104</v>
      </c>
      <c r="G47" s="36">
        <v>790.38</v>
      </c>
      <c r="H47" s="108">
        <f t="shared" si="5"/>
        <v>8.2199519999999998E-2</v>
      </c>
      <c r="I47" s="13">
        <f>0.104/2*G47</f>
        <v>41.099759999999996</v>
      </c>
    </row>
    <row r="48" spans="1:9">
      <c r="A48" s="32">
        <v>12</v>
      </c>
      <c r="B48" s="104" t="s">
        <v>37</v>
      </c>
      <c r="C48" s="105" t="s">
        <v>86</v>
      </c>
      <c r="D48" s="104" t="s">
        <v>186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5"/>
        <v>1.670231016</v>
      </c>
      <c r="I48" s="13">
        <f>2.1132/2*G48</f>
        <v>835.11550799999998</v>
      </c>
    </row>
    <row r="49" spans="1:9">
      <c r="A49" s="32">
        <v>13</v>
      </c>
      <c r="B49" s="104" t="s">
        <v>38</v>
      </c>
      <c r="C49" s="105" t="s">
        <v>86</v>
      </c>
      <c r="D49" s="104" t="s">
        <v>186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5"/>
        <v>4.2739845999999995</v>
      </c>
      <c r="I49" s="13">
        <f>5.164/2*G49</f>
        <v>2136.9922999999999</v>
      </c>
    </row>
    <row r="50" spans="1:9">
      <c r="A50" s="32">
        <v>14</v>
      </c>
      <c r="B50" s="104" t="s">
        <v>34</v>
      </c>
      <c r="C50" s="105" t="s">
        <v>35</v>
      </c>
      <c r="D50" s="104" t="s">
        <v>186</v>
      </c>
      <c r="E50" s="106">
        <v>92.95</v>
      </c>
      <c r="F50" s="107">
        <f>SUM(E50*2/100)</f>
        <v>1.859</v>
      </c>
      <c r="G50" s="36">
        <v>99.31</v>
      </c>
      <c r="H50" s="108">
        <f t="shared" si="5"/>
        <v>0.18461728999999999</v>
      </c>
      <c r="I50" s="13">
        <f>1.859/2*G50</f>
        <v>92.308644999999999</v>
      </c>
    </row>
    <row r="51" spans="1:9">
      <c r="A51" s="32">
        <v>15</v>
      </c>
      <c r="B51" s="104" t="s">
        <v>56</v>
      </c>
      <c r="C51" s="105" t="s">
        <v>86</v>
      </c>
      <c r="D51" s="104" t="s">
        <v>186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5"/>
        <v>15.860797140000001</v>
      </c>
      <c r="I51" s="13">
        <f>9.582/5*G51</f>
        <v>3172.1594279999999</v>
      </c>
    </row>
    <row r="52" spans="1:9" ht="45">
      <c r="A52" s="32">
        <v>16</v>
      </c>
      <c r="B52" s="104" t="s">
        <v>88</v>
      </c>
      <c r="C52" s="105" t="s">
        <v>86</v>
      </c>
      <c r="D52" s="104" t="s">
        <v>186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5"/>
        <v>11.198563657999999</v>
      </c>
      <c r="I52" s="13">
        <f>6.7654/2*G52</f>
        <v>5599.2818289999996</v>
      </c>
    </row>
    <row r="53" spans="1:9" ht="30">
      <c r="A53" s="32">
        <v>17</v>
      </c>
      <c r="B53" s="104" t="s">
        <v>89</v>
      </c>
      <c r="C53" s="105" t="s">
        <v>39</v>
      </c>
      <c r="D53" s="104" t="s">
        <v>186</v>
      </c>
      <c r="E53" s="106">
        <v>20</v>
      </c>
      <c r="F53" s="107">
        <f>SUM(E53*2/100)</f>
        <v>0.4</v>
      </c>
      <c r="G53" s="36">
        <v>3724.37</v>
      </c>
      <c r="H53" s="108">
        <f t="shared" si="5"/>
        <v>1.4897480000000001</v>
      </c>
      <c r="I53" s="13">
        <f>0.4/2*G53</f>
        <v>744.87400000000002</v>
      </c>
    </row>
    <row r="54" spans="1:9">
      <c r="A54" s="32">
        <v>18</v>
      </c>
      <c r="B54" s="104" t="s">
        <v>40</v>
      </c>
      <c r="C54" s="105" t="s">
        <v>41</v>
      </c>
      <c r="D54" s="104" t="s">
        <v>186</v>
      </c>
      <c r="E54" s="106">
        <v>1</v>
      </c>
      <c r="F54" s="107">
        <v>0.02</v>
      </c>
      <c r="G54" s="36">
        <v>7709.44</v>
      </c>
      <c r="H54" s="108">
        <f t="shared" si="5"/>
        <v>0.15418879999999999</v>
      </c>
      <c r="I54" s="13">
        <f>G54*0.01</f>
        <v>77.094399999999993</v>
      </c>
    </row>
    <row r="55" spans="1:9" hidden="1">
      <c r="A55" s="32">
        <v>14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5"/>
        <v>31.714860000000002</v>
      </c>
      <c r="I55" s="13">
        <f>G55*118</f>
        <v>10571.62</v>
      </c>
    </row>
    <row r="56" spans="1:9">
      <c r="A56" s="224" t="s">
        <v>129</v>
      </c>
      <c r="B56" s="225"/>
      <c r="C56" s="225"/>
      <c r="D56" s="225"/>
      <c r="E56" s="225"/>
      <c r="F56" s="225"/>
      <c r="G56" s="225"/>
      <c r="H56" s="225"/>
      <c r="I56" s="226"/>
    </row>
    <row r="57" spans="1:9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45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6">F58/6*G58</f>
        <v>1553.3059199999996</v>
      </c>
    </row>
    <row r="59" spans="1:9">
      <c r="A59" s="32">
        <v>19</v>
      </c>
      <c r="B59" s="104" t="s">
        <v>149</v>
      </c>
      <c r="C59" s="105" t="s">
        <v>150</v>
      </c>
      <c r="D59" s="104" t="s">
        <v>229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G59*1</f>
        <v>1645</v>
      </c>
    </row>
    <row r="60" spans="1:9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>
      <c r="A62" s="32">
        <v>20</v>
      </c>
      <c r="B62" s="52" t="s">
        <v>116</v>
      </c>
      <c r="C62" s="94" t="s">
        <v>25</v>
      </c>
      <c r="D62" s="52" t="s">
        <v>182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idden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idden="1">
      <c r="A64" s="32"/>
      <c r="B64" s="126" t="s">
        <v>47</v>
      </c>
      <c r="C64" s="127" t="s">
        <v>105</v>
      </c>
      <c r="D64" s="38" t="s">
        <v>66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7">SUM(F64*G64/1000)</f>
        <v>3.6402000000000001</v>
      </c>
      <c r="I64" s="13">
        <v>0</v>
      </c>
    </row>
    <row r="65" spans="1:9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7"/>
        <v>0.62406000000000006</v>
      </c>
      <c r="I65" s="13">
        <v>0</v>
      </c>
    </row>
    <row r="66" spans="1:9" hidden="1">
      <c r="A66" s="32">
        <v>28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7"/>
        <v>41.148413999999995</v>
      </c>
      <c r="I66" s="13">
        <f>142.2*G66</f>
        <v>41148.413999999997</v>
      </c>
    </row>
    <row r="67" spans="1:9" hidden="1">
      <c r="A67" s="32">
        <v>29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7"/>
        <v>3.2044769999999998</v>
      </c>
      <c r="I67" s="13">
        <f>14.22*G67</f>
        <v>3204.4769999999999</v>
      </c>
    </row>
    <row r="68" spans="1:9" hidden="1">
      <c r="A68" s="32">
        <v>30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7"/>
        <v>63.953028000000003</v>
      </c>
      <c r="I68" s="13">
        <f>22.6*G68</f>
        <v>63953.028000000006</v>
      </c>
    </row>
    <row r="69" spans="1:9" hidden="1">
      <c r="A69" s="32">
        <v>31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7"/>
        <v>0.46968600000000005</v>
      </c>
      <c r="I69" s="13">
        <f>10.6*G69</f>
        <v>469.68600000000004</v>
      </c>
    </row>
    <row r="70" spans="1:9" hidden="1">
      <c r="A70" s="32">
        <v>32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7"/>
        <v>0.50657399999999997</v>
      </c>
      <c r="I70" s="13">
        <f>10.6*G70</f>
        <v>506.57399999999996</v>
      </c>
    </row>
    <row r="71" spans="1:9" hidden="1">
      <c r="A71" s="32"/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7"/>
        <v>0.20412</v>
      </c>
      <c r="I71" s="13">
        <v>0</v>
      </c>
    </row>
    <row r="72" spans="1:9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8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8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8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0">
      <c r="A77" s="32">
        <v>21</v>
      </c>
      <c r="B77" s="121" t="s">
        <v>155</v>
      </c>
      <c r="C77" s="122" t="s">
        <v>105</v>
      </c>
      <c r="D77" s="38" t="s">
        <v>182</v>
      </c>
      <c r="E77" s="131">
        <v>2</v>
      </c>
      <c r="F77" s="92">
        <f>E77*12</f>
        <v>24</v>
      </c>
      <c r="G77" s="132">
        <v>55.55</v>
      </c>
      <c r="H77" s="128">
        <f t="shared" ref="H77" si="9">SUM(F77*G77/1000)</f>
        <v>1.3331999999999997</v>
      </c>
      <c r="I77" s="13">
        <f>F77/12*G77</f>
        <v>111.1</v>
      </c>
    </row>
    <row r="78" spans="1:9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>
      <c r="A79" s="32">
        <v>22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0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7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8" t="s">
        <v>130</v>
      </c>
      <c r="B84" s="229"/>
      <c r="C84" s="229"/>
      <c r="D84" s="229"/>
      <c r="E84" s="229"/>
      <c r="F84" s="229"/>
      <c r="G84" s="229"/>
      <c r="H84" s="229"/>
      <c r="I84" s="230"/>
    </row>
    <row r="85" spans="1:9">
      <c r="A85" s="32">
        <v>23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0">
      <c r="A86" s="32">
        <v>24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I86+I85+I79+I77+I62+I59+I54+I53+I52+I51+I50+I49+I48+I47+I46+I33+I32+I31+I30+I27+I21+I18+I17+I16</f>
        <v>65918.603859333321</v>
      </c>
    </row>
    <row r="88" spans="1:9">
      <c r="A88" s="215" t="s">
        <v>60</v>
      </c>
      <c r="B88" s="216"/>
      <c r="C88" s="216"/>
      <c r="D88" s="216"/>
      <c r="E88" s="216"/>
      <c r="F88" s="216"/>
      <c r="G88" s="216"/>
      <c r="H88" s="216"/>
      <c r="I88" s="217"/>
    </row>
    <row r="89" spans="1:9">
      <c r="A89" s="32">
        <v>25</v>
      </c>
      <c r="B89" s="121" t="s">
        <v>177</v>
      </c>
      <c r="C89" s="122" t="s">
        <v>29</v>
      </c>
      <c r="D89" s="146" t="s">
        <v>186</v>
      </c>
      <c r="E89" s="36"/>
      <c r="F89" s="36">
        <v>0.18</v>
      </c>
      <c r="G89" s="36">
        <v>1207.24</v>
      </c>
      <c r="H89" s="78">
        <f>SUM(F89*G89/1000)</f>
        <v>0.2173032</v>
      </c>
      <c r="I89" s="85">
        <v>0</v>
      </c>
    </row>
    <row r="90" spans="1:9" ht="30">
      <c r="A90" s="32">
        <v>26</v>
      </c>
      <c r="B90" s="121" t="s">
        <v>163</v>
      </c>
      <c r="C90" s="122" t="s">
        <v>105</v>
      </c>
      <c r="D90" s="146"/>
      <c r="E90" s="36"/>
      <c r="F90" s="36">
        <v>1</v>
      </c>
      <c r="G90" s="36">
        <v>94.76</v>
      </c>
      <c r="H90" s="60"/>
      <c r="I90" s="85">
        <f>G90*1</f>
        <v>94.76</v>
      </c>
    </row>
    <row r="91" spans="1:9" ht="30">
      <c r="A91" s="160">
        <v>27</v>
      </c>
      <c r="B91" s="121" t="s">
        <v>175</v>
      </c>
      <c r="C91" s="122" t="s">
        <v>39</v>
      </c>
      <c r="D91" s="146" t="s">
        <v>200</v>
      </c>
      <c r="E91" s="36"/>
      <c r="F91" s="36">
        <v>0.03</v>
      </c>
      <c r="G91" s="36">
        <v>4070.89</v>
      </c>
      <c r="H91" s="60"/>
      <c r="I91" s="85">
        <v>0</v>
      </c>
    </row>
    <row r="92" spans="1:9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SUM(I89:I91)</f>
        <v>94.76</v>
      </c>
    </row>
    <row r="93" spans="1:9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I87+I92</f>
        <v>66013.363859333316</v>
      </c>
    </row>
    <row r="95" spans="1:9" ht="15.75">
      <c r="A95" s="231" t="s">
        <v>296</v>
      </c>
      <c r="B95" s="231"/>
      <c r="C95" s="231"/>
      <c r="D95" s="231"/>
      <c r="E95" s="231"/>
      <c r="F95" s="231"/>
      <c r="G95" s="231"/>
      <c r="H95" s="231"/>
      <c r="I95" s="231"/>
    </row>
    <row r="96" spans="1:9" ht="15.75">
      <c r="A96" s="59"/>
      <c r="B96" s="232" t="s">
        <v>297</v>
      </c>
      <c r="C96" s="232"/>
      <c r="D96" s="232"/>
      <c r="E96" s="232"/>
      <c r="F96" s="232"/>
      <c r="G96" s="232"/>
      <c r="H96" s="64"/>
      <c r="I96" s="3"/>
    </row>
    <row r="97" spans="1:9">
      <c r="A97" s="153"/>
      <c r="B97" s="233" t="s">
        <v>6</v>
      </c>
      <c r="C97" s="233"/>
      <c r="D97" s="233"/>
      <c r="E97" s="233"/>
      <c r="F97" s="233"/>
      <c r="G97" s="233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4" t="s">
        <v>7</v>
      </c>
      <c r="B99" s="234"/>
      <c r="C99" s="234"/>
      <c r="D99" s="234"/>
      <c r="E99" s="234"/>
      <c r="F99" s="234"/>
      <c r="G99" s="234"/>
      <c r="H99" s="234"/>
      <c r="I99" s="234"/>
    </row>
    <row r="100" spans="1:9" ht="15.75">
      <c r="A100" s="234" t="s">
        <v>8</v>
      </c>
      <c r="B100" s="234"/>
      <c r="C100" s="234"/>
      <c r="D100" s="234"/>
      <c r="E100" s="234"/>
      <c r="F100" s="234"/>
      <c r="G100" s="234"/>
      <c r="H100" s="234"/>
      <c r="I100" s="234"/>
    </row>
    <row r="101" spans="1:9" ht="15.75">
      <c r="A101" s="235" t="s">
        <v>61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>
      <c r="A102" s="11"/>
    </row>
    <row r="103" spans="1:9" ht="15.75">
      <c r="A103" s="236" t="s">
        <v>9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4"/>
    </row>
    <row r="105" spans="1:9" ht="15.75">
      <c r="B105" s="151" t="s">
        <v>10</v>
      </c>
      <c r="C105" s="237" t="s">
        <v>131</v>
      </c>
      <c r="D105" s="237"/>
      <c r="E105" s="237"/>
      <c r="F105" s="62"/>
      <c r="I105" s="152"/>
    </row>
    <row r="106" spans="1:9">
      <c r="A106" s="149"/>
      <c r="C106" s="233" t="s">
        <v>11</v>
      </c>
      <c r="D106" s="233"/>
      <c r="E106" s="233"/>
      <c r="F106" s="27"/>
      <c r="I106" s="150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51" t="s">
        <v>13</v>
      </c>
      <c r="C108" s="238"/>
      <c r="D108" s="238"/>
      <c r="E108" s="238"/>
      <c r="F108" s="63"/>
      <c r="I108" s="152"/>
    </row>
    <row r="109" spans="1:9">
      <c r="A109" s="149"/>
      <c r="C109" s="227" t="s">
        <v>11</v>
      </c>
      <c r="D109" s="227"/>
      <c r="E109" s="227"/>
      <c r="F109" s="149"/>
      <c r="I109" s="150" t="s">
        <v>12</v>
      </c>
    </row>
    <row r="110" spans="1:9" ht="15.75">
      <c r="A110" s="4" t="s">
        <v>14</v>
      </c>
    </row>
    <row r="111" spans="1:9">
      <c r="A111" s="239" t="s">
        <v>15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48" customHeight="1">
      <c r="A112" s="240" t="s">
        <v>16</v>
      </c>
      <c r="B112" s="240"/>
      <c r="C112" s="240"/>
      <c r="D112" s="240"/>
      <c r="E112" s="240"/>
      <c r="F112" s="240"/>
      <c r="G112" s="240"/>
      <c r="H112" s="240"/>
      <c r="I112" s="240"/>
    </row>
    <row r="113" spans="1:9" ht="34.5" customHeight="1">
      <c r="A113" s="240" t="s">
        <v>17</v>
      </c>
      <c r="B113" s="240"/>
      <c r="C113" s="240"/>
      <c r="D113" s="240"/>
      <c r="E113" s="240"/>
      <c r="F113" s="240"/>
      <c r="G113" s="240"/>
      <c r="H113" s="240"/>
      <c r="I113" s="240"/>
    </row>
    <row r="114" spans="1:9" ht="34.5" customHeight="1">
      <c r="A114" s="240" t="s">
        <v>21</v>
      </c>
      <c r="B114" s="240"/>
      <c r="C114" s="240"/>
      <c r="D114" s="240"/>
      <c r="E114" s="240"/>
      <c r="F114" s="240"/>
      <c r="G114" s="240"/>
      <c r="H114" s="240"/>
      <c r="I114" s="240"/>
    </row>
    <row r="115" spans="1:9" ht="15.75">
      <c r="A115" s="240" t="s">
        <v>20</v>
      </c>
      <c r="B115" s="240"/>
      <c r="C115" s="240"/>
      <c r="D115" s="240"/>
      <c r="E115" s="240"/>
      <c r="F115" s="240"/>
      <c r="G115" s="240"/>
      <c r="H115" s="240"/>
      <c r="I115" s="240"/>
    </row>
  </sheetData>
  <mergeCells count="28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5:I45"/>
    <mergeCell ref="A56:I56"/>
    <mergeCell ref="A84:I84"/>
    <mergeCell ref="A88:I88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" right="0.7" top="0.75" bottom="0.75" header="0.3" footer="0.3"/>
  <pageSetup paperSize="9" scale="6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5"/>
  <sheetViews>
    <sheetView topLeftCell="A96" workbookViewId="0">
      <selection activeCell="J108" sqref="J108"/>
    </sheetView>
  </sheetViews>
  <sheetFormatPr defaultRowHeight="15"/>
  <cols>
    <col min="1" max="1" width="10.5703125" customWidth="1"/>
    <col min="2" max="2" width="50.85546875" customWidth="1"/>
    <col min="3" max="3" width="18.140625" customWidth="1"/>
    <col min="4" max="4" width="17.85546875" customWidth="1"/>
    <col min="5" max="5" width="0" hidden="1" customWidth="1"/>
    <col min="6" max="6" width="12.140625" hidden="1" customWidth="1"/>
    <col min="7" max="7" width="17.7109375" customWidth="1"/>
    <col min="8" max="8" width="0" hidden="1" customWidth="1"/>
    <col min="9" max="9" width="17.42578125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165</v>
      </c>
      <c r="B3" s="218"/>
      <c r="C3" s="218"/>
      <c r="D3" s="218"/>
      <c r="E3" s="218"/>
      <c r="F3" s="218"/>
      <c r="G3" s="218"/>
      <c r="H3" s="218"/>
      <c r="I3" s="218"/>
    </row>
    <row r="4" spans="1:9" ht="15.75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230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58"/>
      <c r="C6" s="158"/>
      <c r="D6" s="158"/>
      <c r="E6" s="158"/>
      <c r="F6" s="158"/>
      <c r="G6" s="158"/>
      <c r="H6" s="158"/>
      <c r="I6" s="33">
        <v>44012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83.2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72.7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6.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6.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6.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t="13.5" customHeight="1">
      <c r="A19" s="32">
        <v>4</v>
      </c>
      <c r="B19" s="104" t="s">
        <v>91</v>
      </c>
      <c r="C19" s="105" t="s">
        <v>92</v>
      </c>
      <c r="D19" s="104" t="s">
        <v>231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f>G19*F19</f>
        <v>653.59359999999992</v>
      </c>
    </row>
    <row r="20" spans="1:9" ht="15.75" customHeight="1">
      <c r="A20" s="32">
        <v>5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>
      <c r="A21" s="32">
        <v>6</v>
      </c>
      <c r="B21" s="104" t="s">
        <v>95</v>
      </c>
      <c r="C21" s="105" t="s">
        <v>84</v>
      </c>
      <c r="D21" s="104" t="s">
        <v>231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F21/2*G21</f>
        <v>10.612080000000001</v>
      </c>
    </row>
    <row r="22" spans="1:9">
      <c r="A22" s="32">
        <v>7</v>
      </c>
      <c r="B22" s="104" t="s">
        <v>96</v>
      </c>
      <c r="C22" s="105" t="s">
        <v>53</v>
      </c>
      <c r="D22" s="104" t="s">
        <v>232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f>G22*F22</f>
        <v>1311.1538999999998</v>
      </c>
    </row>
    <row r="23" spans="1:9">
      <c r="A23" s="32">
        <v>8</v>
      </c>
      <c r="B23" s="104" t="s">
        <v>97</v>
      </c>
      <c r="C23" s="105" t="s">
        <v>53</v>
      </c>
      <c r="D23" s="104" t="s">
        <v>233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f>G23*F23</f>
        <v>29.178029999999996</v>
      </c>
    </row>
    <row r="24" spans="1:9">
      <c r="A24" s="32">
        <v>9</v>
      </c>
      <c r="B24" s="104" t="s">
        <v>98</v>
      </c>
      <c r="C24" s="105" t="s">
        <v>53</v>
      </c>
      <c r="D24" s="104" t="s">
        <v>234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f>G24*F24</f>
        <v>106.312</v>
      </c>
    </row>
    <row r="25" spans="1:9">
      <c r="A25" s="32">
        <v>10</v>
      </c>
      <c r="B25" s="104" t="s">
        <v>99</v>
      </c>
      <c r="C25" s="105" t="s">
        <v>53</v>
      </c>
      <c r="D25" s="104" t="s">
        <v>232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f>G25*F25</f>
        <v>60.381450000000008</v>
      </c>
    </row>
    <row r="26" spans="1:9">
      <c r="A26" s="32">
        <v>11</v>
      </c>
      <c r="B26" s="104" t="s">
        <v>140</v>
      </c>
      <c r="C26" s="105" t="s">
        <v>53</v>
      </c>
      <c r="D26" s="104" t="s">
        <v>186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F26*G26</f>
        <v>39.681600000000003</v>
      </c>
    </row>
    <row r="27" spans="1:9" ht="16.5" customHeight="1">
      <c r="A27" s="32">
        <v>12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 ht="15.7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5" customHeight="1">
      <c r="A30" s="32">
        <v>13</v>
      </c>
      <c r="B30" s="104" t="s">
        <v>103</v>
      </c>
      <c r="C30" s="105" t="s">
        <v>86</v>
      </c>
      <c r="D30" s="104" t="s">
        <v>180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1">SUM(F30*G30/1000)</f>
        <v>7.3756177040000015</v>
      </c>
      <c r="I30" s="13">
        <f t="shared" ref="I30:I33" si="2">F30/6*G30</f>
        <v>1229.2696173333336</v>
      </c>
    </row>
    <row r="31" spans="1:9" ht="43.5" customHeight="1">
      <c r="A31" s="32">
        <v>14</v>
      </c>
      <c r="B31" s="104" t="s">
        <v>115</v>
      </c>
      <c r="C31" s="105" t="s">
        <v>86</v>
      </c>
      <c r="D31" s="104" t="s">
        <v>179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t="15.75" hidden="1" customHeight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7.25" customHeight="1">
      <c r="A33" s="32">
        <v>15</v>
      </c>
      <c r="B33" s="104" t="s">
        <v>120</v>
      </c>
      <c r="C33" s="105" t="s">
        <v>41</v>
      </c>
      <c r="D33" s="104" t="s">
        <v>188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1"/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1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3">SUM(F37*G37/1000)</f>
        <v>10.414999999999999</v>
      </c>
      <c r="I37" s="13">
        <f t="shared" ref="I37:I44" si="4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3"/>
        <v>9.2409859800000014</v>
      </c>
      <c r="I38" s="13">
        <f t="shared" si="4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3"/>
        <v>7.964257739999999</v>
      </c>
      <c r="I39" s="13">
        <f t="shared" si="4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3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3"/>
        <v>14.628028800000003</v>
      </c>
      <c r="I41" s="13">
        <f t="shared" si="4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3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3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3"/>
        <v>1.3638744000000003E-2</v>
      </c>
      <c r="I44" s="13">
        <f t="shared" si="4"/>
        <v>2.2731240000000006</v>
      </c>
    </row>
    <row r="45" spans="1:9">
      <c r="A45" s="224" t="s">
        <v>128</v>
      </c>
      <c r="B45" s="225"/>
      <c r="C45" s="225"/>
      <c r="D45" s="225"/>
      <c r="E45" s="225"/>
      <c r="F45" s="225"/>
      <c r="G45" s="225"/>
      <c r="H45" s="225"/>
      <c r="I45" s="226"/>
    </row>
    <row r="46" spans="1:9" hidden="1">
      <c r="A46" s="32">
        <v>19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5">SUM(F46*G46/1000)</f>
        <v>2.6457818400000002</v>
      </c>
      <c r="I46" s="13">
        <f>2.3955/2*G46</f>
        <v>1322.8909200000001</v>
      </c>
    </row>
    <row r="47" spans="1:9" hidden="1">
      <c r="A47" s="32">
        <v>20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5"/>
        <v>8.2199519999999998E-2</v>
      </c>
      <c r="I47" s="13">
        <f>0.104/2*G47</f>
        <v>41.099759999999996</v>
      </c>
    </row>
    <row r="48" spans="1:9" hidden="1">
      <c r="A48" s="32">
        <v>21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5"/>
        <v>1.670231016</v>
      </c>
      <c r="I48" s="13">
        <f>2.1132/2*G48</f>
        <v>835.11550799999998</v>
      </c>
    </row>
    <row r="49" spans="1:9" hidden="1">
      <c r="A49" s="32">
        <v>22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5"/>
        <v>4.2739845999999995</v>
      </c>
      <c r="I49" s="13">
        <f>5.164/2*G49</f>
        <v>2136.9922999999999</v>
      </c>
    </row>
    <row r="50" spans="1:9" hidden="1">
      <c r="A50" s="32">
        <v>23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5"/>
        <v>0.18461728999999999</v>
      </c>
      <c r="I50" s="13">
        <f>1.859/2*G50</f>
        <v>92.308644999999999</v>
      </c>
    </row>
    <row r="51" spans="1:9" hidden="1">
      <c r="A51" s="32">
        <v>24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5"/>
        <v>15.860797140000001</v>
      </c>
      <c r="I51" s="13">
        <f>9.582/5*G51</f>
        <v>3172.1594279999999</v>
      </c>
    </row>
    <row r="52" spans="1:9" ht="45" hidden="1">
      <c r="A52" s="32">
        <v>25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5"/>
        <v>11.198563657999999</v>
      </c>
      <c r="I52" s="13">
        <f>6.7654/2*G52</f>
        <v>5599.2818289999996</v>
      </c>
    </row>
    <row r="53" spans="1:9" ht="30" hidden="1">
      <c r="A53" s="32">
        <v>26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5"/>
        <v>1.4897480000000001</v>
      </c>
      <c r="I53" s="13">
        <f>0.4/2*G53</f>
        <v>744.87400000000002</v>
      </c>
    </row>
    <row r="54" spans="1:9" hidden="1">
      <c r="A54" s="32">
        <v>27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5"/>
        <v>0.15418879999999999</v>
      </c>
      <c r="I54" s="13">
        <f>G54*0.01</f>
        <v>77.094399999999993</v>
      </c>
    </row>
    <row r="55" spans="1:9">
      <c r="A55" s="32">
        <v>16</v>
      </c>
      <c r="B55" s="104" t="s">
        <v>42</v>
      </c>
      <c r="C55" s="105" t="s">
        <v>105</v>
      </c>
      <c r="D55" s="207">
        <v>43997</v>
      </c>
      <c r="E55" s="106">
        <v>118</v>
      </c>
      <c r="F55" s="107">
        <f>SUM(E55)*3</f>
        <v>354</v>
      </c>
      <c r="G55" s="123">
        <v>89.59</v>
      </c>
      <c r="H55" s="108">
        <f t="shared" si="5"/>
        <v>31.714860000000002</v>
      </c>
      <c r="I55" s="13">
        <f>G55*118</f>
        <v>10571.62</v>
      </c>
    </row>
    <row r="56" spans="1:9">
      <c r="A56" s="224" t="s">
        <v>129</v>
      </c>
      <c r="B56" s="225"/>
      <c r="C56" s="225"/>
      <c r="D56" s="225"/>
      <c r="E56" s="225"/>
      <c r="F56" s="225"/>
      <c r="G56" s="225"/>
      <c r="H56" s="225"/>
      <c r="I56" s="226"/>
    </row>
    <row r="57" spans="1:9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30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6">F58/6*G58</f>
        <v>1553.3059199999996</v>
      </c>
    </row>
    <row r="59" spans="1:9">
      <c r="A59" s="32">
        <v>17</v>
      </c>
      <c r="B59" s="104" t="s">
        <v>149</v>
      </c>
      <c r="C59" s="105" t="s">
        <v>150</v>
      </c>
      <c r="D59" s="104" t="s">
        <v>192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G59*3</f>
        <v>4935</v>
      </c>
    </row>
    <row r="60" spans="1:9" ht="21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21" customHeight="1">
      <c r="A62" s="32">
        <v>18</v>
      </c>
      <c r="B62" s="52" t="s">
        <v>116</v>
      </c>
      <c r="C62" s="94" t="s">
        <v>25</v>
      </c>
      <c r="D62" s="52" t="s">
        <v>182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5.75" hidden="1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idden="1">
      <c r="A64" s="32"/>
      <c r="B64" s="126" t="s">
        <v>47</v>
      </c>
      <c r="C64" s="127" t="s">
        <v>105</v>
      </c>
      <c r="D64" s="38" t="s">
        <v>66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7">SUM(F64*G64/1000)</f>
        <v>3.6402000000000001</v>
      </c>
      <c r="I64" s="13">
        <v>0</v>
      </c>
    </row>
    <row r="65" spans="1:9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7"/>
        <v>0.62406000000000006</v>
      </c>
      <c r="I65" s="13">
        <v>0</v>
      </c>
    </row>
    <row r="66" spans="1:9" hidden="1">
      <c r="A66" s="32">
        <v>11</v>
      </c>
      <c r="B66" s="126" t="s">
        <v>49</v>
      </c>
      <c r="C66" s="129" t="s">
        <v>107</v>
      </c>
      <c r="D66" s="38" t="s">
        <v>182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7"/>
        <v>41.148413999999995</v>
      </c>
      <c r="I66" s="13">
        <f>142.2*G66</f>
        <v>41148.413999999997</v>
      </c>
    </row>
    <row r="67" spans="1:9" hidden="1">
      <c r="A67" s="32">
        <v>12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7"/>
        <v>3.2044769999999998</v>
      </c>
      <c r="I67" s="13">
        <f>14.22*G67</f>
        <v>3204.4769999999999</v>
      </c>
    </row>
    <row r="68" spans="1:9" hidden="1">
      <c r="A68" s="32">
        <v>13</v>
      </c>
      <c r="B68" s="126" t="s">
        <v>51</v>
      </c>
      <c r="C68" s="127" t="s">
        <v>76</v>
      </c>
      <c r="D68" s="38" t="s">
        <v>186</v>
      </c>
      <c r="E68" s="106">
        <v>2260</v>
      </c>
      <c r="F68" s="36">
        <f>SUM(E68/100)</f>
        <v>22.6</v>
      </c>
      <c r="G68" s="36">
        <v>2829.78</v>
      </c>
      <c r="H68" s="128">
        <f t="shared" si="7"/>
        <v>63.953028000000003</v>
      </c>
      <c r="I68" s="13">
        <f>22.6*G68</f>
        <v>63953.028000000006</v>
      </c>
    </row>
    <row r="69" spans="1:9" hidden="1">
      <c r="A69" s="32">
        <v>14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7"/>
        <v>0.46968600000000005</v>
      </c>
      <c r="I69" s="13">
        <f>10.6*G69</f>
        <v>469.68600000000004</v>
      </c>
    </row>
    <row r="70" spans="1:9" hidden="1">
      <c r="A70" s="32">
        <v>15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7"/>
        <v>0.50657399999999997</v>
      </c>
      <c r="I70" s="13">
        <f>10.6*G70</f>
        <v>506.57399999999996</v>
      </c>
    </row>
    <row r="71" spans="1:9" hidden="1">
      <c r="A71" s="32"/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7"/>
        <v>0.20412</v>
      </c>
      <c r="I71" s="13">
        <v>0</v>
      </c>
    </row>
    <row r="72" spans="1:9" ht="18.7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8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8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8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27.75" customHeight="1">
      <c r="A77" s="32">
        <v>19</v>
      </c>
      <c r="B77" s="121" t="s">
        <v>155</v>
      </c>
      <c r="C77" s="122" t="s">
        <v>105</v>
      </c>
      <c r="D77" s="38" t="s">
        <v>182</v>
      </c>
      <c r="E77" s="131">
        <v>2</v>
      </c>
      <c r="F77" s="92">
        <f>E77*12</f>
        <v>24</v>
      </c>
      <c r="G77" s="132">
        <v>55.55</v>
      </c>
      <c r="H77" s="128">
        <f t="shared" ref="H77" si="9">SUM(F77*G77/1000)</f>
        <v>1.3331999999999997</v>
      </c>
      <c r="I77" s="13">
        <f>F77/12*G77</f>
        <v>111.1</v>
      </c>
    </row>
    <row r="78" spans="1:9" ht="20.25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9.5" customHeight="1">
      <c r="A79" s="32">
        <v>20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0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7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8" t="s">
        <v>130</v>
      </c>
      <c r="B84" s="229"/>
      <c r="C84" s="229"/>
      <c r="D84" s="229"/>
      <c r="E84" s="229"/>
      <c r="F84" s="229"/>
      <c r="G84" s="229"/>
      <c r="H84" s="229"/>
      <c r="I84" s="230"/>
    </row>
    <row r="85" spans="1:9" ht="18.75" customHeight="1">
      <c r="A85" s="32">
        <v>21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1.5" customHeight="1">
      <c r="A86" s="32">
        <v>22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I86+I85+I79+I77+I62+I59+I55+I33+I31+I30+I27+I26+I25+I24+I23+I22+I21+I20+I19+I18+I17+I16</f>
        <v>65221.081201333327</v>
      </c>
    </row>
    <row r="88" spans="1:9">
      <c r="A88" s="215" t="s">
        <v>60</v>
      </c>
      <c r="B88" s="216"/>
      <c r="C88" s="216"/>
      <c r="D88" s="216"/>
      <c r="E88" s="216"/>
      <c r="F88" s="216"/>
      <c r="G88" s="216"/>
      <c r="H88" s="216"/>
      <c r="I88" s="217"/>
    </row>
    <row r="89" spans="1:9" ht="18.75" customHeight="1">
      <c r="A89" s="32">
        <v>23</v>
      </c>
      <c r="B89" s="121" t="s">
        <v>195</v>
      </c>
      <c r="C89" s="122" t="s">
        <v>81</v>
      </c>
      <c r="D89" s="146" t="s">
        <v>240</v>
      </c>
      <c r="E89" s="36"/>
      <c r="F89" s="36">
        <v>2</v>
      </c>
      <c r="G89" s="36">
        <v>222.63</v>
      </c>
      <c r="H89" s="78">
        <f>SUM(F89*G89/1000)</f>
        <v>0.44525999999999999</v>
      </c>
      <c r="I89" s="85">
        <f>G89*1</f>
        <v>222.63</v>
      </c>
    </row>
    <row r="90" spans="1:9" ht="31.5" customHeight="1">
      <c r="A90" s="32">
        <v>24</v>
      </c>
      <c r="B90" s="121" t="s">
        <v>218</v>
      </c>
      <c r="C90" s="122" t="s">
        <v>164</v>
      </c>
      <c r="D90" s="146" t="s">
        <v>242</v>
      </c>
      <c r="E90" s="36"/>
      <c r="F90" s="36">
        <v>1.5</v>
      </c>
      <c r="G90" s="36">
        <v>1523.6</v>
      </c>
      <c r="H90" s="60"/>
      <c r="I90" s="85">
        <f>G90*0.5</f>
        <v>761.8</v>
      </c>
    </row>
    <row r="91" spans="1:9" ht="31.5" customHeight="1">
      <c r="A91" s="32">
        <v>25</v>
      </c>
      <c r="B91" s="121" t="s">
        <v>220</v>
      </c>
      <c r="C91" s="122" t="s">
        <v>221</v>
      </c>
      <c r="D91" s="146" t="s">
        <v>239</v>
      </c>
      <c r="E91" s="36"/>
      <c r="F91" s="36">
        <v>1</v>
      </c>
      <c r="G91" s="36">
        <v>1032.48</v>
      </c>
      <c r="H91" s="60"/>
      <c r="I91" s="85">
        <f>G91*0.5</f>
        <v>516.24</v>
      </c>
    </row>
    <row r="92" spans="1:9" ht="31.5" customHeight="1">
      <c r="A92" s="32">
        <v>26</v>
      </c>
      <c r="B92" s="121" t="s">
        <v>198</v>
      </c>
      <c r="C92" s="122" t="s">
        <v>127</v>
      </c>
      <c r="D92" s="146" t="s">
        <v>238</v>
      </c>
      <c r="E92" s="36"/>
      <c r="F92" s="36">
        <v>2</v>
      </c>
      <c r="G92" s="36">
        <v>670.51</v>
      </c>
      <c r="H92" s="60"/>
      <c r="I92" s="85">
        <f>G92*1</f>
        <v>670.51</v>
      </c>
    </row>
    <row r="93" spans="1:9" ht="19.5" customHeight="1">
      <c r="A93" s="32">
        <v>27</v>
      </c>
      <c r="B93" s="121" t="s">
        <v>235</v>
      </c>
      <c r="C93" s="122" t="s">
        <v>127</v>
      </c>
      <c r="D93" s="146" t="s">
        <v>241</v>
      </c>
      <c r="E93" s="36"/>
      <c r="F93" s="36">
        <v>1</v>
      </c>
      <c r="G93" s="36">
        <v>587.65</v>
      </c>
      <c r="H93" s="60"/>
      <c r="I93" s="85">
        <f>G93*1</f>
        <v>587.65</v>
      </c>
    </row>
    <row r="94" spans="1:9" ht="31.5" customHeight="1">
      <c r="A94" s="32">
        <v>28</v>
      </c>
      <c r="B94" s="121" t="s">
        <v>222</v>
      </c>
      <c r="C94" s="122" t="s">
        <v>127</v>
      </c>
      <c r="D94" s="146" t="s">
        <v>238</v>
      </c>
      <c r="E94" s="36"/>
      <c r="F94" s="36">
        <v>2</v>
      </c>
      <c r="G94" s="36">
        <v>913.43</v>
      </c>
      <c r="H94" s="60"/>
      <c r="I94" s="85">
        <f>G94*1</f>
        <v>913.43</v>
      </c>
    </row>
    <row r="95" spans="1:9" ht="31.5" customHeight="1">
      <c r="A95" s="32">
        <v>29</v>
      </c>
      <c r="B95" s="121" t="s">
        <v>163</v>
      </c>
      <c r="C95" s="122" t="s">
        <v>105</v>
      </c>
      <c r="D95" s="146"/>
      <c r="E95" s="36"/>
      <c r="F95" s="36">
        <v>2</v>
      </c>
      <c r="G95" s="36">
        <v>94.76</v>
      </c>
      <c r="H95" s="60"/>
      <c r="I95" s="85">
        <f>G95*1</f>
        <v>94.76</v>
      </c>
    </row>
    <row r="96" spans="1:9" ht="31.5" customHeight="1">
      <c r="A96" s="32">
        <v>30</v>
      </c>
      <c r="B96" s="121" t="s">
        <v>193</v>
      </c>
      <c r="C96" s="122" t="s">
        <v>121</v>
      </c>
      <c r="D96" s="146" t="s">
        <v>243</v>
      </c>
      <c r="E96" s="36"/>
      <c r="F96" s="36">
        <v>0.45</v>
      </c>
      <c r="G96" s="36">
        <v>5002.7299999999996</v>
      </c>
      <c r="H96" s="60"/>
      <c r="I96" s="85">
        <f>G96*0.45</f>
        <v>2251.2284999999997</v>
      </c>
    </row>
    <row r="97" spans="1:9" ht="31.5" customHeight="1">
      <c r="A97" s="32">
        <v>31</v>
      </c>
      <c r="B97" s="121" t="s">
        <v>194</v>
      </c>
      <c r="C97" s="122" t="s">
        <v>105</v>
      </c>
      <c r="D97" s="146" t="s">
        <v>244</v>
      </c>
      <c r="E97" s="36"/>
      <c r="F97" s="36">
        <v>3</v>
      </c>
      <c r="G97" s="36">
        <v>330</v>
      </c>
      <c r="H97" s="60"/>
      <c r="I97" s="85">
        <f>G97*3</f>
        <v>990</v>
      </c>
    </row>
    <row r="98" spans="1:9" ht="31.5" customHeight="1">
      <c r="A98" s="32">
        <v>32</v>
      </c>
      <c r="B98" s="121" t="s">
        <v>298</v>
      </c>
      <c r="C98" s="208" t="s">
        <v>236</v>
      </c>
      <c r="D98" s="146"/>
      <c r="E98" s="36"/>
      <c r="F98" s="36">
        <v>0.1</v>
      </c>
      <c r="G98" s="36">
        <v>4629.21</v>
      </c>
      <c r="H98" s="60"/>
      <c r="I98" s="85">
        <f>G98*0.1</f>
        <v>462.92100000000005</v>
      </c>
    </row>
    <row r="99" spans="1:9" ht="31.5" customHeight="1">
      <c r="A99" s="32">
        <v>33</v>
      </c>
      <c r="B99" s="121" t="s">
        <v>175</v>
      </c>
      <c r="C99" s="122" t="s">
        <v>39</v>
      </c>
      <c r="D99" s="146" t="s">
        <v>186</v>
      </c>
      <c r="E99" s="36"/>
      <c r="F99" s="36">
        <v>0.04</v>
      </c>
      <c r="G99" s="36">
        <v>4070.89</v>
      </c>
      <c r="H99" s="60"/>
      <c r="I99" s="85">
        <v>0</v>
      </c>
    </row>
    <row r="100" spans="1:9" ht="30.75" customHeight="1">
      <c r="A100" s="32">
        <v>34</v>
      </c>
      <c r="B100" s="121" t="s">
        <v>237</v>
      </c>
      <c r="C100" s="122" t="s">
        <v>53</v>
      </c>
      <c r="D100" s="38" t="s">
        <v>245</v>
      </c>
      <c r="E100" s="36"/>
      <c r="F100" s="36">
        <v>0.01</v>
      </c>
      <c r="G100" s="36">
        <v>82201.5</v>
      </c>
      <c r="H100" s="60"/>
      <c r="I100" s="85">
        <f>G100*0.01</f>
        <v>822.01499999999999</v>
      </c>
    </row>
    <row r="101" spans="1:9" ht="18" customHeight="1">
      <c r="A101" s="32">
        <v>35</v>
      </c>
      <c r="B101" s="121" t="s">
        <v>169</v>
      </c>
      <c r="C101" s="122" t="s">
        <v>105</v>
      </c>
      <c r="D101" s="146"/>
      <c r="E101" s="36"/>
      <c r="F101" s="36">
        <v>2</v>
      </c>
      <c r="G101" s="36">
        <v>215.85</v>
      </c>
      <c r="H101" s="60"/>
      <c r="I101" s="85">
        <f>G101*1</f>
        <v>215.85</v>
      </c>
    </row>
    <row r="102" spans="1:9" ht="16.5" customHeight="1">
      <c r="A102" s="32"/>
      <c r="B102" s="44" t="s">
        <v>52</v>
      </c>
      <c r="C102" s="40"/>
      <c r="D102" s="47"/>
      <c r="E102" s="40">
        <v>1</v>
      </c>
      <c r="F102" s="40"/>
      <c r="G102" s="40"/>
      <c r="H102" s="40"/>
      <c r="I102" s="34">
        <f>SUM(I89:I101)</f>
        <v>8509.0344999999998</v>
      </c>
    </row>
    <row r="103" spans="1:9">
      <c r="A103" s="32"/>
      <c r="B103" s="46" t="s">
        <v>78</v>
      </c>
      <c r="C103" s="15"/>
      <c r="D103" s="15"/>
      <c r="E103" s="41"/>
      <c r="F103" s="41"/>
      <c r="G103" s="42"/>
      <c r="H103" s="42"/>
      <c r="I103" s="17">
        <v>0</v>
      </c>
    </row>
    <row r="104" spans="1:9">
      <c r="A104" s="48"/>
      <c r="B104" s="45" t="s">
        <v>138</v>
      </c>
      <c r="C104" s="35"/>
      <c r="D104" s="35"/>
      <c r="E104" s="35"/>
      <c r="F104" s="35"/>
      <c r="G104" s="35"/>
      <c r="H104" s="35"/>
      <c r="I104" s="43">
        <f>I87+I102</f>
        <v>73730.115701333329</v>
      </c>
    </row>
    <row r="105" spans="1:9" ht="15.75">
      <c r="A105" s="231" t="s">
        <v>299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>
      <c r="A106" s="59"/>
      <c r="B106" s="232" t="s">
        <v>300</v>
      </c>
      <c r="C106" s="232"/>
      <c r="D106" s="232"/>
      <c r="E106" s="232"/>
      <c r="F106" s="232"/>
      <c r="G106" s="232"/>
      <c r="H106" s="64"/>
      <c r="I106" s="3"/>
    </row>
    <row r="107" spans="1:9">
      <c r="A107" s="159"/>
      <c r="B107" s="233" t="s">
        <v>6</v>
      </c>
      <c r="C107" s="233"/>
      <c r="D107" s="233"/>
      <c r="E107" s="233"/>
      <c r="F107" s="233"/>
      <c r="G107" s="233"/>
      <c r="H107" s="27"/>
      <c r="I107" s="50"/>
    </row>
    <row r="108" spans="1:9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 ht="15.75">
      <c r="A109" s="234" t="s">
        <v>7</v>
      </c>
      <c r="B109" s="234"/>
      <c r="C109" s="234"/>
      <c r="D109" s="234"/>
      <c r="E109" s="234"/>
      <c r="F109" s="234"/>
      <c r="G109" s="234"/>
      <c r="H109" s="234"/>
      <c r="I109" s="234"/>
    </row>
    <row r="110" spans="1:9" ht="15.75">
      <c r="A110" s="234" t="s">
        <v>8</v>
      </c>
      <c r="B110" s="234"/>
      <c r="C110" s="234"/>
      <c r="D110" s="234"/>
      <c r="E110" s="234"/>
      <c r="F110" s="234"/>
      <c r="G110" s="234"/>
      <c r="H110" s="234"/>
      <c r="I110" s="234"/>
    </row>
    <row r="111" spans="1:9" ht="15.75">
      <c r="A111" s="235" t="s">
        <v>61</v>
      </c>
      <c r="B111" s="235"/>
      <c r="C111" s="235"/>
      <c r="D111" s="235"/>
      <c r="E111" s="235"/>
      <c r="F111" s="235"/>
      <c r="G111" s="235"/>
      <c r="H111" s="235"/>
      <c r="I111" s="235"/>
    </row>
    <row r="112" spans="1:9" ht="15.75">
      <c r="A112" s="11"/>
    </row>
    <row r="113" spans="1:9" ht="15.75">
      <c r="A113" s="236" t="s">
        <v>9</v>
      </c>
      <c r="B113" s="236"/>
      <c r="C113" s="236"/>
      <c r="D113" s="236"/>
      <c r="E113" s="236"/>
      <c r="F113" s="236"/>
      <c r="G113" s="236"/>
      <c r="H113" s="236"/>
      <c r="I113" s="236"/>
    </row>
    <row r="114" spans="1:9" ht="15.75">
      <c r="A114" s="4"/>
    </row>
    <row r="115" spans="1:9" ht="15.75">
      <c r="B115" s="156" t="s">
        <v>10</v>
      </c>
      <c r="C115" s="237" t="s">
        <v>131</v>
      </c>
      <c r="D115" s="237"/>
      <c r="E115" s="237"/>
      <c r="F115" s="62"/>
      <c r="I115" s="157"/>
    </row>
    <row r="116" spans="1:9">
      <c r="A116" s="154"/>
      <c r="C116" s="233" t="s">
        <v>11</v>
      </c>
      <c r="D116" s="233"/>
      <c r="E116" s="233"/>
      <c r="F116" s="27"/>
      <c r="I116" s="155" t="s">
        <v>12</v>
      </c>
    </row>
    <row r="117" spans="1:9" ht="15.75">
      <c r="A117" s="28"/>
      <c r="C117" s="12"/>
      <c r="D117" s="12"/>
      <c r="G117" s="12"/>
      <c r="H117" s="12"/>
    </row>
    <row r="118" spans="1:9" ht="15.75">
      <c r="B118" s="156" t="s">
        <v>13</v>
      </c>
      <c r="C118" s="238"/>
      <c r="D118" s="238"/>
      <c r="E118" s="238"/>
      <c r="F118" s="63"/>
      <c r="I118" s="157"/>
    </row>
    <row r="119" spans="1:9">
      <c r="A119" s="154"/>
      <c r="C119" s="227" t="s">
        <v>11</v>
      </c>
      <c r="D119" s="227"/>
      <c r="E119" s="227"/>
      <c r="F119" s="154"/>
      <c r="I119" s="155" t="s">
        <v>12</v>
      </c>
    </row>
    <row r="120" spans="1:9" ht="15.75">
      <c r="A120" s="4" t="s">
        <v>14</v>
      </c>
    </row>
    <row r="121" spans="1:9">
      <c r="A121" s="239" t="s">
        <v>15</v>
      </c>
      <c r="B121" s="239"/>
      <c r="C121" s="239"/>
      <c r="D121" s="239"/>
      <c r="E121" s="239"/>
      <c r="F121" s="239"/>
      <c r="G121" s="239"/>
      <c r="H121" s="239"/>
      <c r="I121" s="239"/>
    </row>
    <row r="122" spans="1:9" ht="33.75" customHeight="1">
      <c r="A122" s="240" t="s">
        <v>16</v>
      </c>
      <c r="B122" s="240"/>
      <c r="C122" s="240"/>
      <c r="D122" s="240"/>
      <c r="E122" s="240"/>
      <c r="F122" s="240"/>
      <c r="G122" s="240"/>
      <c r="H122" s="240"/>
      <c r="I122" s="240"/>
    </row>
    <row r="123" spans="1:9" ht="31.5" customHeight="1">
      <c r="A123" s="240" t="s">
        <v>17</v>
      </c>
      <c r="B123" s="240"/>
      <c r="C123" s="240"/>
      <c r="D123" s="240"/>
      <c r="E123" s="240"/>
      <c r="F123" s="240"/>
      <c r="G123" s="240"/>
      <c r="H123" s="240"/>
      <c r="I123" s="240"/>
    </row>
    <row r="124" spans="1:9" ht="27" customHeight="1">
      <c r="A124" s="240" t="s">
        <v>21</v>
      </c>
      <c r="B124" s="240"/>
      <c r="C124" s="240"/>
      <c r="D124" s="240"/>
      <c r="E124" s="240"/>
      <c r="F124" s="240"/>
      <c r="G124" s="240"/>
      <c r="H124" s="240"/>
      <c r="I124" s="240"/>
    </row>
    <row r="125" spans="1:9" ht="26.25" customHeight="1">
      <c r="A125" s="240" t="s">
        <v>20</v>
      </c>
      <c r="B125" s="240"/>
      <c r="C125" s="240"/>
      <c r="D125" s="240"/>
      <c r="E125" s="240"/>
      <c r="F125" s="240"/>
      <c r="G125" s="240"/>
      <c r="H125" s="240"/>
      <c r="I125" s="240"/>
    </row>
  </sheetData>
  <mergeCells count="28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8:I28"/>
    <mergeCell ref="A45:I45"/>
    <mergeCell ref="A56:I56"/>
    <mergeCell ref="A84:I84"/>
    <mergeCell ref="A88:I88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5"/>
  <sheetViews>
    <sheetView view="pageBreakPreview" topLeftCell="A91" zoomScale="60" workbookViewId="0">
      <selection activeCell="J102" sqref="J102"/>
    </sheetView>
  </sheetViews>
  <sheetFormatPr defaultRowHeight="15"/>
  <cols>
    <col min="1" max="1" width="11.140625" customWidth="1"/>
    <col min="2" max="2" width="48.85546875" customWidth="1"/>
    <col min="3" max="3" width="17.5703125" customWidth="1"/>
    <col min="4" max="4" width="17.42578125" customWidth="1"/>
    <col min="5" max="6" width="0" hidden="1" customWidth="1"/>
    <col min="7" max="7" width="15.85546875" customWidth="1"/>
    <col min="8" max="8" width="0" hidden="1" customWidth="1"/>
    <col min="9" max="9" width="18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167</v>
      </c>
      <c r="B3" s="218"/>
      <c r="C3" s="218"/>
      <c r="D3" s="218"/>
      <c r="E3" s="218"/>
      <c r="F3" s="218"/>
      <c r="G3" s="218"/>
      <c r="H3" s="218"/>
      <c r="I3" s="218"/>
    </row>
    <row r="4" spans="1:9" ht="15.75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246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61"/>
      <c r="C6" s="161"/>
      <c r="D6" s="161"/>
      <c r="E6" s="161"/>
      <c r="F6" s="161"/>
      <c r="G6" s="161"/>
      <c r="H6" s="161"/>
      <c r="I6" s="33">
        <v>44043</v>
      </c>
    </row>
    <row r="7" spans="1:9" ht="0.75" customHeight="1">
      <c r="B7" s="164"/>
      <c r="C7" s="164"/>
      <c r="D7" s="164"/>
      <c r="E7" s="3"/>
      <c r="F7" s="3"/>
      <c r="G7" s="3"/>
      <c r="H7" s="3"/>
    </row>
    <row r="8" spans="1:9" ht="105.7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56.2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63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6.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8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7.2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20.2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6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30" hidden="1">
      <c r="A26" s="32">
        <v>11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6.5" customHeight="1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 ht="18.7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7.25" customHeight="1">
      <c r="A30" s="32">
        <v>6</v>
      </c>
      <c r="B30" s="104" t="s">
        <v>103</v>
      </c>
      <c r="C30" s="105" t="s">
        <v>86</v>
      </c>
      <c r="D30" s="104" t="s">
        <v>180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1">SUM(F30*G30/1000)</f>
        <v>7.3756177040000015</v>
      </c>
      <c r="I30" s="13">
        <f t="shared" ref="I30:I33" si="2">F30/6*G30</f>
        <v>1229.2696173333336</v>
      </c>
    </row>
    <row r="31" spans="1:9" ht="36" customHeight="1">
      <c r="A31" s="32">
        <v>7</v>
      </c>
      <c r="B31" s="104" t="s">
        <v>115</v>
      </c>
      <c r="C31" s="105" t="s">
        <v>86</v>
      </c>
      <c r="D31" s="104" t="s">
        <v>179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8" customHeight="1">
      <c r="A33" s="32">
        <v>8</v>
      </c>
      <c r="B33" s="104" t="s">
        <v>120</v>
      </c>
      <c r="C33" s="105" t="s">
        <v>41</v>
      </c>
      <c r="D33" s="104" t="s">
        <v>188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t="30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1"/>
        <v>0.26095000000000002</v>
      </c>
      <c r="I34" s="13">
        <v>0</v>
      </c>
    </row>
    <row r="35" spans="1:9" ht="30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1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3">SUM(F37*G37/1000)</f>
        <v>10.414999999999999</v>
      </c>
      <c r="I37" s="13">
        <f t="shared" ref="I37:I44" si="4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3"/>
        <v>9.2409859800000014</v>
      </c>
      <c r="I38" s="13">
        <f t="shared" si="4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3"/>
        <v>7.964257739999999</v>
      </c>
      <c r="I39" s="13">
        <f t="shared" si="4"/>
        <v>1327.3762899999999</v>
      </c>
    </row>
    <row r="40" spans="1:9" ht="30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3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3"/>
        <v>14.628028800000003</v>
      </c>
      <c r="I41" s="13">
        <f t="shared" si="4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3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3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3"/>
        <v>1.3638744000000003E-2</v>
      </c>
      <c r="I44" s="13">
        <f t="shared" si="4"/>
        <v>2.2731240000000006</v>
      </c>
    </row>
    <row r="45" spans="1:9" hidden="1">
      <c r="A45" s="224" t="s">
        <v>128</v>
      </c>
      <c r="B45" s="225"/>
      <c r="C45" s="225"/>
      <c r="D45" s="225"/>
      <c r="E45" s="225"/>
      <c r="F45" s="225"/>
      <c r="G45" s="225"/>
      <c r="H45" s="225"/>
      <c r="I45" s="226"/>
    </row>
    <row r="46" spans="1:9" hidden="1">
      <c r="A46" s="32">
        <v>19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5">SUM(F46*G46/1000)</f>
        <v>2.6457818400000002</v>
      </c>
      <c r="I46" s="13">
        <f>2.3955/2*G46</f>
        <v>1322.8909200000001</v>
      </c>
    </row>
    <row r="47" spans="1:9" hidden="1">
      <c r="A47" s="32">
        <v>20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5"/>
        <v>8.2199519999999998E-2</v>
      </c>
      <c r="I47" s="13">
        <f>0.104/2*G47</f>
        <v>41.099759999999996</v>
      </c>
    </row>
    <row r="48" spans="1:9" hidden="1">
      <c r="A48" s="32">
        <v>21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5"/>
        <v>1.670231016</v>
      </c>
      <c r="I48" s="13">
        <f>2.1132/2*G48</f>
        <v>835.11550799999998</v>
      </c>
    </row>
    <row r="49" spans="1:9" hidden="1">
      <c r="A49" s="32">
        <v>22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5"/>
        <v>4.2739845999999995</v>
      </c>
      <c r="I49" s="13">
        <f>5.164/2*G49</f>
        <v>2136.9922999999999</v>
      </c>
    </row>
    <row r="50" spans="1:9" hidden="1">
      <c r="A50" s="32">
        <v>23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5"/>
        <v>0.18461728999999999</v>
      </c>
      <c r="I50" s="13">
        <f>1.859/2*G50</f>
        <v>92.308644999999999</v>
      </c>
    </row>
    <row r="51" spans="1:9" hidden="1">
      <c r="A51" s="32">
        <v>24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5"/>
        <v>15.860797140000001</v>
      </c>
      <c r="I51" s="13">
        <f>9.582/5*G51</f>
        <v>3172.1594279999999</v>
      </c>
    </row>
    <row r="52" spans="1:9" ht="45" hidden="1">
      <c r="A52" s="32">
        <v>25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5"/>
        <v>11.198563657999999</v>
      </c>
      <c r="I52" s="13">
        <f>6.7654/2*G52</f>
        <v>5599.2818289999996</v>
      </c>
    </row>
    <row r="53" spans="1:9" ht="30" hidden="1">
      <c r="A53" s="32">
        <v>26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5"/>
        <v>1.4897480000000001</v>
      </c>
      <c r="I53" s="13">
        <f>0.4/2*G53</f>
        <v>744.87400000000002</v>
      </c>
    </row>
    <row r="54" spans="1:9" hidden="1">
      <c r="A54" s="32">
        <v>27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5"/>
        <v>0.15418879999999999</v>
      </c>
      <c r="I54" s="13">
        <f>G54*0.01</f>
        <v>77.094399999999993</v>
      </c>
    </row>
    <row r="55" spans="1:9" hidden="1">
      <c r="A55" s="32">
        <v>14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5"/>
        <v>31.714860000000002</v>
      </c>
      <c r="I55" s="13">
        <f>G55*118</f>
        <v>10571.62</v>
      </c>
    </row>
    <row r="56" spans="1:9">
      <c r="A56" s="224" t="s">
        <v>159</v>
      </c>
      <c r="B56" s="225"/>
      <c r="C56" s="225"/>
      <c r="D56" s="225"/>
      <c r="E56" s="225"/>
      <c r="F56" s="225"/>
      <c r="G56" s="225"/>
      <c r="H56" s="225"/>
      <c r="I56" s="226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45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6">F58/6*G58</f>
        <v>1553.3059199999996</v>
      </c>
    </row>
    <row r="59" spans="1:9" ht="30" hidden="1">
      <c r="A59" s="32"/>
      <c r="B59" s="104" t="s">
        <v>149</v>
      </c>
      <c r="C59" s="105" t="s">
        <v>150</v>
      </c>
      <c r="D59" s="104" t="s">
        <v>66</v>
      </c>
      <c r="E59" s="106"/>
      <c r="F59" s="107">
        <v>4</v>
      </c>
      <c r="G59" s="36">
        <v>1645</v>
      </c>
      <c r="H59" s="108">
        <f>SUM(F59*G59/1000)</f>
        <v>6.58</v>
      </c>
      <c r="I59" s="13">
        <v>0</v>
      </c>
    </row>
    <row r="60" spans="1:9" ht="15.75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5.75" customHeight="1">
      <c r="A62" s="32">
        <v>9</v>
      </c>
      <c r="B62" s="52" t="s">
        <v>116</v>
      </c>
      <c r="C62" s="94" t="s">
        <v>25</v>
      </c>
      <c r="D62" s="52" t="s">
        <v>182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7.2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t="19.5" hidden="1" customHeight="1">
      <c r="A64" s="32">
        <v>10</v>
      </c>
      <c r="B64" s="126" t="s">
        <v>47</v>
      </c>
      <c r="C64" s="127" t="s">
        <v>105</v>
      </c>
      <c r="D64" s="38" t="s">
        <v>191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7">SUM(F64*G64/1000)</f>
        <v>3.6402000000000001</v>
      </c>
      <c r="I64" s="13">
        <f>G64*4</f>
        <v>1213.4000000000001</v>
      </c>
    </row>
    <row r="65" spans="1:9" ht="30" hidden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7"/>
        <v>0.62406000000000006</v>
      </c>
      <c r="I65" s="13">
        <v>0</v>
      </c>
    </row>
    <row r="66" spans="1:9">
      <c r="A66" s="32">
        <v>10</v>
      </c>
      <c r="B66" s="126" t="s">
        <v>49</v>
      </c>
      <c r="C66" s="129" t="s">
        <v>107</v>
      </c>
      <c r="D66" s="38"/>
      <c r="E66" s="106">
        <v>14220</v>
      </c>
      <c r="F66" s="123">
        <f>SUM(E66/100)</f>
        <v>142.19999999999999</v>
      </c>
      <c r="G66" s="36">
        <v>289.37</v>
      </c>
      <c r="H66" s="128">
        <f t="shared" si="7"/>
        <v>41.148413999999995</v>
      </c>
      <c r="I66" s="13">
        <f>142.2*G66</f>
        <v>41148.413999999997</v>
      </c>
    </row>
    <row r="67" spans="1:9">
      <c r="A67" s="32">
        <v>11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7"/>
        <v>3.2044769999999998</v>
      </c>
      <c r="I67" s="13">
        <f>14.22*G67</f>
        <v>3204.4769999999999</v>
      </c>
    </row>
    <row r="68" spans="1:9">
      <c r="A68" s="32">
        <v>12</v>
      </c>
      <c r="B68" s="126" t="s">
        <v>51</v>
      </c>
      <c r="C68" s="127" t="s">
        <v>76</v>
      </c>
      <c r="D68" s="38"/>
      <c r="E68" s="106">
        <v>2260</v>
      </c>
      <c r="F68" s="36">
        <f>SUM(E68/100)</f>
        <v>22.6</v>
      </c>
      <c r="G68" s="36">
        <v>2829.78</v>
      </c>
      <c r="H68" s="128">
        <f t="shared" si="7"/>
        <v>63.953028000000003</v>
      </c>
      <c r="I68" s="13">
        <f>22.6*G68</f>
        <v>63953.028000000006</v>
      </c>
    </row>
    <row r="69" spans="1:9">
      <c r="A69" s="32">
        <v>13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7"/>
        <v>0.46968600000000005</v>
      </c>
      <c r="I69" s="13">
        <f>10.6*G69</f>
        <v>469.68600000000004</v>
      </c>
    </row>
    <row r="70" spans="1:9">
      <c r="A70" s="32">
        <v>14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7"/>
        <v>0.50657399999999997</v>
      </c>
      <c r="I70" s="13">
        <f>10.6*G70</f>
        <v>506.57399999999996</v>
      </c>
    </row>
    <row r="71" spans="1:9" hidden="1">
      <c r="A71" s="32"/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7"/>
        <v>0.20412</v>
      </c>
      <c r="I71" s="13">
        <v>0</v>
      </c>
    </row>
    <row r="72" spans="1:9" ht="17.2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8">SUM(F73*G73/1000)</f>
        <v>2.1122800000000002</v>
      </c>
      <c r="I73" s="72"/>
    </row>
    <row r="74" spans="1:9">
      <c r="A74" s="32">
        <v>17</v>
      </c>
      <c r="B74" s="38" t="s">
        <v>72</v>
      </c>
      <c r="C74" s="127" t="s">
        <v>74</v>
      </c>
      <c r="D74" s="38" t="s">
        <v>251</v>
      </c>
      <c r="E74" s="17">
        <v>3</v>
      </c>
      <c r="F74" s="36">
        <f>E74/10</f>
        <v>0.3</v>
      </c>
      <c r="G74" s="36">
        <v>684.19</v>
      </c>
      <c r="H74" s="128">
        <f t="shared" si="8"/>
        <v>0.205257</v>
      </c>
      <c r="I74" s="13">
        <f>G74*0.2</f>
        <v>136.83800000000002</v>
      </c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8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1.5" customHeight="1">
      <c r="A77" s="32">
        <v>18</v>
      </c>
      <c r="B77" s="121" t="s">
        <v>155</v>
      </c>
      <c r="C77" s="122" t="s">
        <v>105</v>
      </c>
      <c r="D77" s="38" t="s">
        <v>182</v>
      </c>
      <c r="E77" s="131">
        <v>2</v>
      </c>
      <c r="F77" s="92">
        <f>E77*12</f>
        <v>24</v>
      </c>
      <c r="G77" s="132">
        <v>55.55</v>
      </c>
      <c r="H77" s="128">
        <f t="shared" ref="H77" si="9">SUM(F77*G77/1000)</f>
        <v>1.3331999999999997</v>
      </c>
      <c r="I77" s="13">
        <f>F77/12*G77</f>
        <v>111.1</v>
      </c>
    </row>
    <row r="78" spans="1:9" ht="18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8.75" customHeight="1">
      <c r="A79" s="32">
        <v>19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0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7"/>
        <v>0.41442800000000002</v>
      </c>
      <c r="I81" s="13">
        <f>G81</f>
        <v>4144.28</v>
      </c>
    </row>
    <row r="82" spans="1:9" ht="28.5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>
      <c r="A83" s="32">
        <v>20</v>
      </c>
      <c r="B83" s="104" t="s">
        <v>111</v>
      </c>
      <c r="C83" s="143"/>
      <c r="D83" s="144"/>
      <c r="E83" s="145"/>
      <c r="F83" s="37">
        <v>1</v>
      </c>
      <c r="G83" s="37">
        <v>1313.5</v>
      </c>
      <c r="H83" s="128">
        <f>G83*F83/1000</f>
        <v>1.3134999999999999</v>
      </c>
      <c r="I83" s="13">
        <f>G83*1</f>
        <v>1313.5</v>
      </c>
    </row>
    <row r="84" spans="1:9">
      <c r="A84" s="228" t="s">
        <v>160</v>
      </c>
      <c r="B84" s="229"/>
      <c r="C84" s="229"/>
      <c r="D84" s="229"/>
      <c r="E84" s="229"/>
      <c r="F84" s="229"/>
      <c r="G84" s="229"/>
      <c r="H84" s="229"/>
      <c r="I84" s="230"/>
    </row>
    <row r="85" spans="1:9" ht="18" customHeight="1">
      <c r="A85" s="32">
        <v>21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0.75" customHeight="1">
      <c r="A86" s="32">
        <v>22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I86+I85+I79+I77+I74+I70+I69+I68+I67+I66+I62+I33+I31+I30+I27+I20+I18+I17+I16+I83</f>
        <v>158236.06554133334</v>
      </c>
    </row>
    <row r="88" spans="1:9">
      <c r="A88" s="215" t="s">
        <v>60</v>
      </c>
      <c r="B88" s="216"/>
      <c r="C88" s="216"/>
      <c r="D88" s="216"/>
      <c r="E88" s="216"/>
      <c r="F88" s="216"/>
      <c r="G88" s="216"/>
      <c r="H88" s="216"/>
      <c r="I88" s="217"/>
    </row>
    <row r="89" spans="1:9" ht="15.75" customHeight="1">
      <c r="A89" s="32">
        <v>23</v>
      </c>
      <c r="B89" s="121" t="s">
        <v>247</v>
      </c>
      <c r="C89" s="122" t="s">
        <v>41</v>
      </c>
      <c r="D89" s="146" t="s">
        <v>186</v>
      </c>
      <c r="E89" s="36"/>
      <c r="F89" s="36">
        <v>0.01</v>
      </c>
      <c r="G89" s="36">
        <v>27139.18</v>
      </c>
      <c r="H89" s="78">
        <f>SUM(F89*G89/1000)</f>
        <v>0.27139180000000002</v>
      </c>
      <c r="I89" s="85">
        <v>0</v>
      </c>
    </row>
    <row r="90" spans="1:9" ht="18.75" customHeight="1">
      <c r="A90" s="32">
        <v>24</v>
      </c>
      <c r="B90" s="121" t="s">
        <v>248</v>
      </c>
      <c r="C90" s="122" t="s">
        <v>164</v>
      </c>
      <c r="D90" s="146" t="s">
        <v>301</v>
      </c>
      <c r="E90" s="36"/>
      <c r="F90" s="36">
        <v>6</v>
      </c>
      <c r="G90" s="36">
        <v>284</v>
      </c>
      <c r="H90" s="60"/>
      <c r="I90" s="85">
        <v>0</v>
      </c>
    </row>
    <row r="91" spans="1:9">
      <c r="A91" s="160">
        <v>25</v>
      </c>
      <c r="B91" s="121" t="s">
        <v>249</v>
      </c>
      <c r="C91" s="122" t="s">
        <v>250</v>
      </c>
      <c r="D91" s="146"/>
      <c r="E91" s="36"/>
      <c r="F91" s="36">
        <v>1</v>
      </c>
      <c r="G91" s="36">
        <v>227</v>
      </c>
      <c r="H91" s="60"/>
      <c r="I91" s="85">
        <f>G91*1</f>
        <v>227</v>
      </c>
    </row>
    <row r="92" spans="1:9" ht="16.5" customHeight="1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SUM(I89:I91)</f>
        <v>227</v>
      </c>
    </row>
    <row r="93" spans="1:9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I87+I92</f>
        <v>158463.06554133334</v>
      </c>
    </row>
    <row r="95" spans="1:9" ht="15.75">
      <c r="A95" s="231" t="s">
        <v>302</v>
      </c>
      <c r="B95" s="231"/>
      <c r="C95" s="231"/>
      <c r="D95" s="231"/>
      <c r="E95" s="231"/>
      <c r="F95" s="231"/>
      <c r="G95" s="231"/>
      <c r="H95" s="231"/>
      <c r="I95" s="231"/>
    </row>
    <row r="96" spans="1:9" ht="15.75">
      <c r="A96" s="59"/>
      <c r="B96" s="232" t="s">
        <v>303</v>
      </c>
      <c r="C96" s="232"/>
      <c r="D96" s="232"/>
      <c r="E96" s="232"/>
      <c r="F96" s="232"/>
      <c r="G96" s="232"/>
      <c r="H96" s="64"/>
      <c r="I96" s="3"/>
    </row>
    <row r="97" spans="1:9">
      <c r="A97" s="166"/>
      <c r="B97" s="233" t="s">
        <v>6</v>
      </c>
      <c r="C97" s="233"/>
      <c r="D97" s="233"/>
      <c r="E97" s="233"/>
      <c r="F97" s="233"/>
      <c r="G97" s="233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4" t="s">
        <v>7</v>
      </c>
      <c r="B99" s="234"/>
      <c r="C99" s="234"/>
      <c r="D99" s="234"/>
      <c r="E99" s="234"/>
      <c r="F99" s="234"/>
      <c r="G99" s="234"/>
      <c r="H99" s="234"/>
      <c r="I99" s="234"/>
    </row>
    <row r="100" spans="1:9" ht="15.75">
      <c r="A100" s="234" t="s">
        <v>8</v>
      </c>
      <c r="B100" s="234"/>
      <c r="C100" s="234"/>
      <c r="D100" s="234"/>
      <c r="E100" s="234"/>
      <c r="F100" s="234"/>
      <c r="G100" s="234"/>
      <c r="H100" s="234"/>
      <c r="I100" s="234"/>
    </row>
    <row r="101" spans="1:9" ht="15.75">
      <c r="A101" s="235" t="s">
        <v>61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>
      <c r="A102" s="11"/>
    </row>
    <row r="103" spans="1:9" ht="15.75">
      <c r="A103" s="236" t="s">
        <v>9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4"/>
    </row>
    <row r="105" spans="1:9" ht="15.75">
      <c r="B105" s="164" t="s">
        <v>10</v>
      </c>
      <c r="C105" s="237" t="s">
        <v>131</v>
      </c>
      <c r="D105" s="237"/>
      <c r="E105" s="237"/>
      <c r="F105" s="62"/>
      <c r="I105" s="165"/>
    </row>
    <row r="106" spans="1:9">
      <c r="A106" s="162"/>
      <c r="C106" s="233" t="s">
        <v>11</v>
      </c>
      <c r="D106" s="233"/>
      <c r="E106" s="233"/>
      <c r="F106" s="27"/>
      <c r="I106" s="163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64" t="s">
        <v>13</v>
      </c>
      <c r="C108" s="238"/>
      <c r="D108" s="238"/>
      <c r="E108" s="238"/>
      <c r="F108" s="63"/>
      <c r="I108" s="165"/>
    </row>
    <row r="109" spans="1:9">
      <c r="A109" s="162"/>
      <c r="C109" s="227" t="s">
        <v>11</v>
      </c>
      <c r="D109" s="227"/>
      <c r="E109" s="227"/>
      <c r="F109" s="162"/>
      <c r="I109" s="163" t="s">
        <v>12</v>
      </c>
    </row>
    <row r="110" spans="1:9" ht="15.75">
      <c r="A110" s="4" t="s">
        <v>14</v>
      </c>
    </row>
    <row r="111" spans="1:9">
      <c r="A111" s="239" t="s">
        <v>15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48.75" customHeight="1">
      <c r="A112" s="240" t="s">
        <v>16</v>
      </c>
      <c r="B112" s="240"/>
      <c r="C112" s="240"/>
      <c r="D112" s="240"/>
      <c r="E112" s="240"/>
      <c r="F112" s="240"/>
      <c r="G112" s="240"/>
      <c r="H112" s="240"/>
      <c r="I112" s="240"/>
    </row>
    <row r="113" spans="1:9" ht="44.25" customHeight="1">
      <c r="A113" s="240" t="s">
        <v>17</v>
      </c>
      <c r="B113" s="240"/>
      <c r="C113" s="240"/>
      <c r="D113" s="240"/>
      <c r="E113" s="240"/>
      <c r="F113" s="240"/>
      <c r="G113" s="240"/>
      <c r="H113" s="240"/>
      <c r="I113" s="240"/>
    </row>
    <row r="114" spans="1:9" ht="27.75" customHeight="1">
      <c r="A114" s="240" t="s">
        <v>21</v>
      </c>
      <c r="B114" s="240"/>
      <c r="C114" s="240"/>
      <c r="D114" s="240"/>
      <c r="E114" s="240"/>
      <c r="F114" s="240"/>
      <c r="G114" s="240"/>
      <c r="H114" s="240"/>
      <c r="I114" s="240"/>
    </row>
    <row r="115" spans="1:9" ht="15.75">
      <c r="A115" s="240" t="s">
        <v>20</v>
      </c>
      <c r="B115" s="240"/>
      <c r="C115" s="240"/>
      <c r="D115" s="240"/>
      <c r="E115" s="240"/>
      <c r="F115" s="240"/>
      <c r="G115" s="240"/>
      <c r="H115" s="240"/>
      <c r="I115" s="240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  <mergeCell ref="C109:E10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111:I111"/>
    <mergeCell ref="A112:I112"/>
    <mergeCell ref="A113:I113"/>
    <mergeCell ref="A114:I114"/>
    <mergeCell ref="A115:I115"/>
  </mergeCells>
  <pageMargins left="0.7" right="0.7" top="0.75" bottom="0.75" header="0.3" footer="0.3"/>
  <pageSetup paperSize="9" scale="63" orientation="portrait" horizontalDpi="0" verticalDpi="0" r:id="rId1"/>
  <rowBreaks count="1" manualBreakCount="1">
    <brk id="10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5"/>
  <sheetViews>
    <sheetView view="pageBreakPreview" topLeftCell="A96" zoomScale="60" workbookViewId="0">
      <selection activeCell="I96" sqref="I96"/>
    </sheetView>
  </sheetViews>
  <sheetFormatPr defaultRowHeight="15"/>
  <cols>
    <col min="1" max="1" width="12.85546875" customWidth="1"/>
    <col min="2" max="2" width="50.28515625" customWidth="1"/>
    <col min="3" max="3" width="18" customWidth="1"/>
    <col min="4" max="4" width="25.28515625" customWidth="1"/>
    <col min="5" max="6" width="0" hidden="1" customWidth="1"/>
    <col min="7" max="7" width="18.28515625" customWidth="1"/>
    <col min="8" max="8" width="0" hidden="1" customWidth="1"/>
    <col min="9" max="9" width="17.42578125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170</v>
      </c>
      <c r="B3" s="218"/>
      <c r="C3" s="218"/>
      <c r="D3" s="218"/>
      <c r="E3" s="218"/>
      <c r="F3" s="218"/>
      <c r="G3" s="218"/>
      <c r="H3" s="218"/>
      <c r="I3" s="218"/>
    </row>
    <row r="4" spans="1:9" ht="33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252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71"/>
      <c r="C6" s="171"/>
      <c r="D6" s="171"/>
      <c r="E6" s="171"/>
      <c r="F6" s="171"/>
      <c r="G6" s="171"/>
      <c r="H6" s="171"/>
      <c r="I6" s="33">
        <v>44074</v>
      </c>
    </row>
    <row r="7" spans="1:9" ht="15.75">
      <c r="B7" s="169"/>
      <c r="C7" s="169"/>
      <c r="D7" s="169"/>
      <c r="E7" s="3"/>
      <c r="F7" s="3"/>
      <c r="G7" s="3"/>
      <c r="H7" s="3"/>
    </row>
    <row r="8" spans="1:9" ht="97.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</row>
    <row r="9" spans="1:9" ht="15.75">
      <c r="A9" s="4"/>
    </row>
    <row r="10" spans="1:9" ht="56.2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66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5.7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25" si="0">SUM(F16*G16/1000)</f>
        <v>24.628031999999994</v>
      </c>
      <c r="I16" s="13">
        <f>F16/12*G16</f>
        <v>2052.3359999999998</v>
      </c>
    </row>
    <row r="17" spans="1:9" ht="19.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5.7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66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si="0"/>
        <v>0.65359359999999989</v>
      </c>
      <c r="I19" s="13">
        <v>0</v>
      </c>
    </row>
    <row r="20" spans="1:9" ht="16.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si="0"/>
        <v>0.49927919999999998</v>
      </c>
      <c r="I20" s="13">
        <f>F20/12*G20</f>
        <v>41.606599999999993</v>
      </c>
    </row>
    <row r="21" spans="1:9" hidden="1">
      <c r="A21" s="32">
        <v>6</v>
      </c>
      <c r="B21" s="104" t="s">
        <v>95</v>
      </c>
      <c r="C21" s="105" t="s">
        <v>84</v>
      </c>
      <c r="D21" s="66" t="s">
        <v>30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0"/>
        <v>2.1224160000000002E-2</v>
      </c>
      <c r="I21" s="13">
        <f>F21/12*G21</f>
        <v>1.76868</v>
      </c>
    </row>
    <row r="22" spans="1:9" hidden="1">
      <c r="A22" s="32">
        <v>7</v>
      </c>
      <c r="B22" s="104" t="s">
        <v>96</v>
      </c>
      <c r="C22" s="105" t="s">
        <v>53</v>
      </c>
      <c r="D22" s="66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0"/>
        <v>1.3111538999999999</v>
      </c>
      <c r="I22" s="13">
        <v>0</v>
      </c>
    </row>
    <row r="23" spans="1:9" hidden="1">
      <c r="A23" s="32">
        <v>8</v>
      </c>
      <c r="B23" s="104" t="s">
        <v>97</v>
      </c>
      <c r="C23" s="105" t="s">
        <v>53</v>
      </c>
      <c r="D23" s="66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0"/>
        <v>2.9178029999999997E-2</v>
      </c>
      <c r="I23" s="13">
        <v>0</v>
      </c>
    </row>
    <row r="24" spans="1:9" hidden="1">
      <c r="A24" s="32">
        <v>9</v>
      </c>
      <c r="B24" s="104" t="s">
        <v>98</v>
      </c>
      <c r="C24" s="105" t="s">
        <v>53</v>
      </c>
      <c r="D24" s="66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0"/>
        <v>0.106312</v>
      </c>
      <c r="I24" s="13">
        <v>0</v>
      </c>
    </row>
    <row r="25" spans="1:9" hidden="1">
      <c r="A25" s="32">
        <v>10</v>
      </c>
      <c r="B25" s="104" t="s">
        <v>99</v>
      </c>
      <c r="C25" s="105" t="s">
        <v>53</v>
      </c>
      <c r="D25" s="66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0"/>
        <v>6.038145000000001E-2</v>
      </c>
      <c r="I25" s="13">
        <v>0</v>
      </c>
    </row>
    <row r="26" spans="1:9" ht="30" hidden="1">
      <c r="A26" s="32">
        <v>11</v>
      </c>
      <c r="B26" s="104" t="s">
        <v>140</v>
      </c>
      <c r="C26" s="105" t="s">
        <v>53</v>
      </c>
      <c r="D26" s="104" t="s">
        <v>187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F26/12*G26</f>
        <v>3.3068</v>
      </c>
    </row>
    <row r="27" spans="1:9" ht="18" customHeight="1">
      <c r="A27" s="32">
        <v>5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 ht="20.2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7.25" customHeight="1">
      <c r="A30" s="32">
        <v>6</v>
      </c>
      <c r="B30" s="104" t="s">
        <v>103</v>
      </c>
      <c r="C30" s="105" t="s">
        <v>86</v>
      </c>
      <c r="D30" s="104" t="s">
        <v>180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2" si="1">SUM(F30*G30/1000)</f>
        <v>7.3756177040000015</v>
      </c>
      <c r="I30" s="13">
        <f t="shared" ref="I30:I33" si="2">F30/6*G30</f>
        <v>1229.2696173333336</v>
      </c>
    </row>
    <row r="31" spans="1:9" ht="36.75" customHeight="1">
      <c r="A31" s="32">
        <v>7</v>
      </c>
      <c r="B31" s="104" t="s">
        <v>115</v>
      </c>
      <c r="C31" s="105" t="s">
        <v>86</v>
      </c>
      <c r="D31" s="104" t="s">
        <v>179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1"/>
        <v>2.955224844</v>
      </c>
      <c r="I31" s="13">
        <f t="shared" si="2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1"/>
        <v>2.7482385280000003</v>
      </c>
      <c r="I32" s="13">
        <f>F32*G32</f>
        <v>2748.2385280000003</v>
      </c>
    </row>
    <row r="33" spans="1:9" ht="18.75" customHeight="1">
      <c r="A33" s="32">
        <v>8</v>
      </c>
      <c r="B33" s="104" t="s">
        <v>120</v>
      </c>
      <c r="C33" s="105" t="s">
        <v>41</v>
      </c>
      <c r="D33" s="104" t="s">
        <v>188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2"/>
        <v>1376.3535000000002</v>
      </c>
    </row>
    <row r="34" spans="1:9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ref="H34:H35" si="3">SUM(F34*G34/1000)</f>
        <v>0.26095000000000002</v>
      </c>
      <c r="I34" s="13">
        <v>0</v>
      </c>
    </row>
    <row r="35" spans="1:9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4">SUM(F37*G37/1000)</f>
        <v>10.414999999999999</v>
      </c>
      <c r="I37" s="13">
        <f t="shared" ref="I37:I44" si="5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4"/>
        <v>9.2409859800000014</v>
      </c>
      <c r="I38" s="13">
        <f t="shared" si="5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4"/>
        <v>7.964257739999999</v>
      </c>
      <c r="I39" s="13">
        <f t="shared" si="5"/>
        <v>1327.3762899999999</v>
      </c>
    </row>
    <row r="40" spans="1:9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4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4"/>
        <v>14.628028800000003</v>
      </c>
      <c r="I41" s="13">
        <f t="shared" si="5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4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4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4"/>
        <v>1.3638744000000003E-2</v>
      </c>
      <c r="I44" s="13">
        <f t="shared" si="5"/>
        <v>2.2731240000000006</v>
      </c>
    </row>
    <row r="45" spans="1:9" hidden="1">
      <c r="A45" s="224" t="s">
        <v>128</v>
      </c>
      <c r="B45" s="225"/>
      <c r="C45" s="225"/>
      <c r="D45" s="225"/>
      <c r="E45" s="225"/>
      <c r="F45" s="225"/>
      <c r="G45" s="225"/>
      <c r="H45" s="225"/>
      <c r="I45" s="226"/>
    </row>
    <row r="46" spans="1:9" hidden="1">
      <c r="A46" s="32">
        <v>19</v>
      </c>
      <c r="B46" s="104" t="s">
        <v>123</v>
      </c>
      <c r="C46" s="105" t="s">
        <v>86</v>
      </c>
      <c r="D46" s="104" t="s">
        <v>43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6">SUM(F46*G46/1000)</f>
        <v>2.6457818400000002</v>
      </c>
      <c r="I46" s="13">
        <f>2.3955/2*G46</f>
        <v>1322.8909200000001</v>
      </c>
    </row>
    <row r="47" spans="1:9" hidden="1">
      <c r="A47" s="32">
        <v>20</v>
      </c>
      <c r="B47" s="104" t="s">
        <v>36</v>
      </c>
      <c r="C47" s="105" t="s">
        <v>86</v>
      </c>
      <c r="D47" s="104" t="s">
        <v>43</v>
      </c>
      <c r="E47" s="106">
        <v>52</v>
      </c>
      <c r="F47" s="107">
        <f>E47*2/1000</f>
        <v>0.104</v>
      </c>
      <c r="G47" s="36">
        <v>790.38</v>
      </c>
      <c r="H47" s="108">
        <f t="shared" si="6"/>
        <v>8.2199519999999998E-2</v>
      </c>
      <c r="I47" s="13">
        <f>0.104/2*G47</f>
        <v>41.099759999999996</v>
      </c>
    </row>
    <row r="48" spans="1:9" hidden="1">
      <c r="A48" s="32">
        <v>21</v>
      </c>
      <c r="B48" s="104" t="s">
        <v>37</v>
      </c>
      <c r="C48" s="105" t="s">
        <v>86</v>
      </c>
      <c r="D48" s="104" t="s">
        <v>43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6"/>
        <v>1.670231016</v>
      </c>
      <c r="I48" s="13">
        <f>2.1132/2*G48</f>
        <v>835.11550799999998</v>
      </c>
    </row>
    <row r="49" spans="1:9" hidden="1">
      <c r="A49" s="32">
        <v>22</v>
      </c>
      <c r="B49" s="104" t="s">
        <v>38</v>
      </c>
      <c r="C49" s="105" t="s">
        <v>86</v>
      </c>
      <c r="D49" s="104" t="s">
        <v>43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6"/>
        <v>4.2739845999999995</v>
      </c>
      <c r="I49" s="13">
        <f>5.164/2*G49</f>
        <v>2136.9922999999999</v>
      </c>
    </row>
    <row r="50" spans="1:9" hidden="1">
      <c r="A50" s="32">
        <v>23</v>
      </c>
      <c r="B50" s="104" t="s">
        <v>34</v>
      </c>
      <c r="C50" s="105" t="s">
        <v>35</v>
      </c>
      <c r="D50" s="104" t="s">
        <v>43</v>
      </c>
      <c r="E50" s="106">
        <v>92.95</v>
      </c>
      <c r="F50" s="107">
        <f>SUM(E50*2/100)</f>
        <v>1.859</v>
      </c>
      <c r="G50" s="36">
        <v>99.31</v>
      </c>
      <c r="H50" s="108">
        <f t="shared" si="6"/>
        <v>0.18461728999999999</v>
      </c>
      <c r="I50" s="13">
        <f>1.859/2*G50</f>
        <v>92.308644999999999</v>
      </c>
    </row>
    <row r="51" spans="1:9" hidden="1">
      <c r="A51" s="32">
        <v>24</v>
      </c>
      <c r="B51" s="104" t="s">
        <v>56</v>
      </c>
      <c r="C51" s="105" t="s">
        <v>86</v>
      </c>
      <c r="D51" s="104" t="s">
        <v>134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6"/>
        <v>15.860797140000001</v>
      </c>
      <c r="I51" s="13">
        <f>9.582/5*G51</f>
        <v>3172.1594279999999</v>
      </c>
    </row>
    <row r="52" spans="1:9" ht="45" hidden="1">
      <c r="A52" s="32">
        <v>25</v>
      </c>
      <c r="B52" s="104" t="s">
        <v>88</v>
      </c>
      <c r="C52" s="105" t="s">
        <v>86</v>
      </c>
      <c r="D52" s="104" t="s">
        <v>43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6"/>
        <v>11.198563657999999</v>
      </c>
      <c r="I52" s="13">
        <f>6.7654/2*G52</f>
        <v>5599.2818289999996</v>
      </c>
    </row>
    <row r="53" spans="1:9" ht="30" hidden="1">
      <c r="A53" s="32">
        <v>26</v>
      </c>
      <c r="B53" s="104" t="s">
        <v>89</v>
      </c>
      <c r="C53" s="105" t="s">
        <v>39</v>
      </c>
      <c r="D53" s="104" t="s">
        <v>43</v>
      </c>
      <c r="E53" s="106">
        <v>20</v>
      </c>
      <c r="F53" s="107">
        <f>SUM(E53*2/100)</f>
        <v>0.4</v>
      </c>
      <c r="G53" s="36">
        <v>3724.37</v>
      </c>
      <c r="H53" s="108">
        <f t="shared" si="6"/>
        <v>1.4897480000000001</v>
      </c>
      <c r="I53" s="13">
        <f>0.4/2*G53</f>
        <v>744.87400000000002</v>
      </c>
    </row>
    <row r="54" spans="1:9" hidden="1">
      <c r="A54" s="32">
        <v>27</v>
      </c>
      <c r="B54" s="104" t="s">
        <v>40</v>
      </c>
      <c r="C54" s="105" t="s">
        <v>41</v>
      </c>
      <c r="D54" s="104" t="s">
        <v>43</v>
      </c>
      <c r="E54" s="106">
        <v>1</v>
      </c>
      <c r="F54" s="107">
        <v>0.02</v>
      </c>
      <c r="G54" s="36">
        <v>7709.44</v>
      </c>
      <c r="H54" s="108">
        <f t="shared" si="6"/>
        <v>0.15418879999999999</v>
      </c>
      <c r="I54" s="13">
        <f>G54*0.01</f>
        <v>77.094399999999993</v>
      </c>
    </row>
    <row r="55" spans="1:9" ht="18.75" hidden="1" customHeight="1">
      <c r="A55" s="32">
        <v>11</v>
      </c>
      <c r="B55" s="104" t="s">
        <v>42</v>
      </c>
      <c r="C55" s="105" t="s">
        <v>105</v>
      </c>
      <c r="D55" s="104" t="s">
        <v>70</v>
      </c>
      <c r="E55" s="106">
        <v>118</v>
      </c>
      <c r="F55" s="107">
        <f>SUM(E55)*3</f>
        <v>354</v>
      </c>
      <c r="G55" s="123">
        <v>89.59</v>
      </c>
      <c r="H55" s="108">
        <f t="shared" si="6"/>
        <v>31.714860000000002</v>
      </c>
      <c r="I55" s="13">
        <f>G55*118</f>
        <v>10571.62</v>
      </c>
    </row>
    <row r="56" spans="1:9">
      <c r="A56" s="224" t="s">
        <v>159</v>
      </c>
      <c r="B56" s="225"/>
      <c r="C56" s="225"/>
      <c r="D56" s="225"/>
      <c r="E56" s="225"/>
      <c r="F56" s="225"/>
      <c r="G56" s="225"/>
      <c r="H56" s="225"/>
      <c r="I56" s="226"/>
    </row>
    <row r="57" spans="1:9" hidden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30" hidden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7">F58/6*G58</f>
        <v>1553.3059199999996</v>
      </c>
    </row>
    <row r="59" spans="1:9" ht="15.75" hidden="1" customHeight="1">
      <c r="A59" s="32">
        <v>9</v>
      </c>
      <c r="B59" s="104" t="s">
        <v>149</v>
      </c>
      <c r="C59" s="105" t="s">
        <v>150</v>
      </c>
      <c r="D59" s="104" t="s">
        <v>192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G59*3</f>
        <v>4935</v>
      </c>
    </row>
    <row r="60" spans="1:9" ht="18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5.75" customHeight="1">
      <c r="A62" s="32">
        <v>9</v>
      </c>
      <c r="B62" s="52" t="s">
        <v>116</v>
      </c>
      <c r="C62" s="94" t="s">
        <v>25</v>
      </c>
      <c r="D62" s="52" t="s">
        <v>186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3.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t="18.75" customHeight="1">
      <c r="A64" s="32">
        <v>10</v>
      </c>
      <c r="B64" s="126" t="s">
        <v>47</v>
      </c>
      <c r="C64" s="127" t="s">
        <v>105</v>
      </c>
      <c r="D64" s="38"/>
      <c r="E64" s="17">
        <v>12</v>
      </c>
      <c r="F64" s="107">
        <f>SUM(E64)</f>
        <v>12</v>
      </c>
      <c r="G64" s="36">
        <v>303.35000000000002</v>
      </c>
      <c r="H64" s="128">
        <f t="shared" ref="H64:H81" si="8">SUM(F64*G64/1000)</f>
        <v>3.6402000000000001</v>
      </c>
      <c r="I64" s="13">
        <f>G64*1</f>
        <v>303.35000000000002</v>
      </c>
    </row>
    <row r="65" spans="1:9" ht="22.5" hidden="1" customHeight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8"/>
        <v>0.62406000000000006</v>
      </c>
      <c r="I65" s="13">
        <v>0</v>
      </c>
    </row>
    <row r="66" spans="1:9" ht="24" hidden="1" customHeight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8"/>
        <v>41.148413999999995</v>
      </c>
      <c r="I66" s="13">
        <f>142.2*G66</f>
        <v>41148.413999999997</v>
      </c>
    </row>
    <row r="67" spans="1:9" ht="22.5" hidden="1" customHeight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8"/>
        <v>3.2044769999999998</v>
      </c>
      <c r="I67" s="13">
        <f>14.22*G67</f>
        <v>3204.4769999999999</v>
      </c>
    </row>
    <row r="68" spans="1:9" ht="21.75" hidden="1" customHeight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8"/>
        <v>63.953028000000003</v>
      </c>
      <c r="I68" s="13">
        <f>22.6*G68</f>
        <v>63953.028000000006</v>
      </c>
    </row>
    <row r="69" spans="1:9" ht="24.75" hidden="1" customHeight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8"/>
        <v>0.46968600000000005</v>
      </c>
      <c r="I69" s="13">
        <f>10.6*G69</f>
        <v>469.68600000000004</v>
      </c>
    </row>
    <row r="70" spans="1:9" ht="23.25" hidden="1" customHeight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8"/>
        <v>0.50657399999999997</v>
      </c>
      <c r="I70" s="13">
        <f>10.6*G70</f>
        <v>506.57399999999996</v>
      </c>
    </row>
    <row r="71" spans="1:9" ht="21" hidden="1" customHeight="1">
      <c r="A71" s="32">
        <v>14</v>
      </c>
      <c r="B71" s="38" t="s">
        <v>57</v>
      </c>
      <c r="C71" s="127" t="s">
        <v>58</v>
      </c>
      <c r="D71" s="38" t="s">
        <v>54</v>
      </c>
      <c r="E71" s="17">
        <v>3</v>
      </c>
      <c r="F71" s="36">
        <f>SUM(E71)</f>
        <v>3</v>
      </c>
      <c r="G71" s="36">
        <v>68.040000000000006</v>
      </c>
      <c r="H71" s="128">
        <f t="shared" si="8"/>
        <v>0.20412</v>
      </c>
      <c r="I71" s="13">
        <v>0</v>
      </c>
    </row>
    <row r="72" spans="1:9" ht="1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9">SUM(F73*G73/1000)</f>
        <v>2.1122800000000002</v>
      </c>
      <c r="I73" s="72"/>
    </row>
    <row r="74" spans="1:9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9"/>
        <v>0.205257</v>
      </c>
      <c r="I74" s="72"/>
    </row>
    <row r="75" spans="1:9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9"/>
        <v>1.16347</v>
      </c>
      <c r="I75" s="72"/>
    </row>
    <row r="76" spans="1:9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0.75" customHeight="1">
      <c r="A77" s="32">
        <v>11</v>
      </c>
      <c r="B77" s="121" t="s">
        <v>155</v>
      </c>
      <c r="C77" s="122" t="s">
        <v>105</v>
      </c>
      <c r="D77" s="38" t="s">
        <v>182</v>
      </c>
      <c r="E77" s="131">
        <v>2</v>
      </c>
      <c r="F77" s="92">
        <f>E77*12</f>
        <v>24</v>
      </c>
      <c r="G77" s="132">
        <v>55.55</v>
      </c>
      <c r="H77" s="128">
        <f t="shared" ref="H77" si="10">SUM(F77*G77/1000)</f>
        <v>1.3331999999999997</v>
      </c>
      <c r="I77" s="13">
        <f>F77/12*G77</f>
        <v>111.1</v>
      </c>
    </row>
    <row r="78" spans="1:9" ht="17.25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8" customHeight="1">
      <c r="A79" s="32">
        <v>12</v>
      </c>
      <c r="B79" s="38" t="s">
        <v>157</v>
      </c>
      <c r="C79" s="133" t="s">
        <v>158</v>
      </c>
      <c r="D79" s="38"/>
      <c r="E79" s="17">
        <v>3382.7</v>
      </c>
      <c r="F79" s="36">
        <f>SUM(E79*12)</f>
        <v>40592.399999999994</v>
      </c>
      <c r="G79" s="36">
        <v>2.37</v>
      </c>
      <c r="H79" s="128">
        <f t="shared" ref="H79" si="11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8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8" t="s">
        <v>160</v>
      </c>
      <c r="B84" s="229"/>
      <c r="C84" s="229"/>
      <c r="D84" s="229"/>
      <c r="E84" s="229"/>
      <c r="F84" s="229"/>
      <c r="G84" s="229"/>
      <c r="H84" s="229"/>
      <c r="I84" s="230"/>
    </row>
    <row r="85" spans="1:9" ht="19.5" customHeight="1">
      <c r="A85" s="32">
        <v>13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3.75" customHeight="1">
      <c r="A86" s="32">
        <v>14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I86+I85+I79+I77+I64+I62+I33+I31+I30+I27+I20+I18+I17+I16</f>
        <v>47806.898541333321</v>
      </c>
    </row>
    <row r="88" spans="1:9">
      <c r="A88" s="215" t="s">
        <v>60</v>
      </c>
      <c r="B88" s="216"/>
      <c r="C88" s="216"/>
      <c r="D88" s="216"/>
      <c r="E88" s="216"/>
      <c r="F88" s="216"/>
      <c r="G88" s="216"/>
      <c r="H88" s="216"/>
      <c r="I88" s="217"/>
    </row>
    <row r="89" spans="1:9" ht="30.75" customHeight="1">
      <c r="A89" s="32">
        <v>15</v>
      </c>
      <c r="B89" s="121" t="s">
        <v>175</v>
      </c>
      <c r="C89" s="122" t="s">
        <v>39</v>
      </c>
      <c r="D89" s="146" t="s">
        <v>186</v>
      </c>
      <c r="E89" s="36"/>
      <c r="F89" s="36">
        <v>0.05</v>
      </c>
      <c r="G89" s="36">
        <v>4070.89</v>
      </c>
      <c r="H89" s="78">
        <f>SUM(F89*G89/1000)</f>
        <v>0.20354449999999999</v>
      </c>
      <c r="I89" s="85">
        <v>0</v>
      </c>
    </row>
    <row r="90" spans="1:9" hidden="1">
      <c r="A90" s="32">
        <v>16</v>
      </c>
      <c r="B90" s="121"/>
      <c r="C90" s="122"/>
      <c r="D90" s="14"/>
      <c r="E90" s="61"/>
      <c r="F90" s="60"/>
      <c r="G90" s="132"/>
      <c r="H90" s="60"/>
      <c r="I90" s="85"/>
    </row>
    <row r="91" spans="1:9" hidden="1">
      <c r="A91" s="160">
        <v>17</v>
      </c>
      <c r="B91" s="121"/>
      <c r="C91" s="122"/>
      <c r="D91" s="19"/>
      <c r="E91" s="61"/>
      <c r="F91" s="60"/>
      <c r="G91" s="132"/>
      <c r="H91" s="60"/>
      <c r="I91" s="85"/>
    </row>
    <row r="92" spans="1:9" ht="18" customHeight="1">
      <c r="A92" s="32"/>
      <c r="B92" s="44" t="s">
        <v>52</v>
      </c>
      <c r="C92" s="40"/>
      <c r="D92" s="47"/>
      <c r="E92" s="40">
        <v>1</v>
      </c>
      <c r="F92" s="40"/>
      <c r="G92" s="40"/>
      <c r="H92" s="40"/>
      <c r="I92" s="34">
        <f>SUM(I89:I91)</f>
        <v>0</v>
      </c>
    </row>
    <row r="93" spans="1:9" ht="18" customHeight="1">
      <c r="A93" s="32"/>
      <c r="B93" s="46" t="s">
        <v>78</v>
      </c>
      <c r="C93" s="15"/>
      <c r="D93" s="15"/>
      <c r="E93" s="41"/>
      <c r="F93" s="41"/>
      <c r="G93" s="42"/>
      <c r="H93" s="42"/>
      <c r="I93" s="17">
        <v>0</v>
      </c>
    </row>
    <row r="94" spans="1:9" ht="18" customHeight="1">
      <c r="A94" s="48"/>
      <c r="B94" s="45" t="s">
        <v>138</v>
      </c>
      <c r="C94" s="35"/>
      <c r="D94" s="35"/>
      <c r="E94" s="35"/>
      <c r="F94" s="35"/>
      <c r="G94" s="35"/>
      <c r="H94" s="35"/>
      <c r="I94" s="43">
        <f>I87+I92</f>
        <v>47806.898541333321</v>
      </c>
    </row>
    <row r="95" spans="1:9" ht="18" customHeight="1">
      <c r="A95" s="231" t="s">
        <v>304</v>
      </c>
      <c r="B95" s="231"/>
      <c r="C95" s="231"/>
      <c r="D95" s="231"/>
      <c r="E95" s="231"/>
      <c r="F95" s="231"/>
      <c r="G95" s="231"/>
      <c r="H95" s="231"/>
      <c r="I95" s="231"/>
    </row>
    <row r="96" spans="1:9" ht="18" customHeight="1">
      <c r="A96" s="59"/>
      <c r="B96" s="232" t="s">
        <v>305</v>
      </c>
      <c r="C96" s="232"/>
      <c r="D96" s="232"/>
      <c r="E96" s="232"/>
      <c r="F96" s="232"/>
      <c r="G96" s="232"/>
      <c r="H96" s="64"/>
      <c r="I96" s="3"/>
    </row>
    <row r="97" spans="1:9" ht="18" customHeight="1">
      <c r="A97" s="172"/>
      <c r="B97" s="233" t="s">
        <v>6</v>
      </c>
      <c r="C97" s="233"/>
      <c r="D97" s="233"/>
      <c r="E97" s="233"/>
      <c r="F97" s="233"/>
      <c r="G97" s="233"/>
      <c r="H97" s="27"/>
      <c r="I97" s="50"/>
    </row>
    <row r="98" spans="1:9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5.75">
      <c r="A99" s="234" t="s">
        <v>7</v>
      </c>
      <c r="B99" s="234"/>
      <c r="C99" s="234"/>
      <c r="D99" s="234"/>
      <c r="E99" s="234"/>
      <c r="F99" s="234"/>
      <c r="G99" s="234"/>
      <c r="H99" s="234"/>
      <c r="I99" s="234"/>
    </row>
    <row r="100" spans="1:9" ht="15.75">
      <c r="A100" s="234" t="s">
        <v>8</v>
      </c>
      <c r="B100" s="234"/>
      <c r="C100" s="234"/>
      <c r="D100" s="234"/>
      <c r="E100" s="234"/>
      <c r="F100" s="234"/>
      <c r="G100" s="234"/>
      <c r="H100" s="234"/>
      <c r="I100" s="234"/>
    </row>
    <row r="101" spans="1:9" ht="15.75">
      <c r="A101" s="235" t="s">
        <v>61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>
      <c r="A102" s="11"/>
    </row>
    <row r="103" spans="1:9" ht="15.75">
      <c r="A103" s="236" t="s">
        <v>9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4"/>
    </row>
    <row r="105" spans="1:9" ht="15.75">
      <c r="B105" s="169" t="s">
        <v>10</v>
      </c>
      <c r="C105" s="237" t="s">
        <v>131</v>
      </c>
      <c r="D105" s="237"/>
      <c r="E105" s="237"/>
      <c r="F105" s="62"/>
      <c r="I105" s="170"/>
    </row>
    <row r="106" spans="1:9">
      <c r="A106" s="167"/>
      <c r="C106" s="233" t="s">
        <v>11</v>
      </c>
      <c r="D106" s="233"/>
      <c r="E106" s="233"/>
      <c r="F106" s="27"/>
      <c r="I106" s="168" t="s">
        <v>12</v>
      </c>
    </row>
    <row r="107" spans="1:9" ht="15.75">
      <c r="A107" s="28"/>
      <c r="C107" s="12"/>
      <c r="D107" s="12"/>
      <c r="G107" s="12"/>
      <c r="H107" s="12"/>
    </row>
    <row r="108" spans="1:9" ht="15.75">
      <c r="B108" s="169" t="s">
        <v>13</v>
      </c>
      <c r="C108" s="238"/>
      <c r="D108" s="238"/>
      <c r="E108" s="238"/>
      <c r="F108" s="63"/>
      <c r="I108" s="170"/>
    </row>
    <row r="109" spans="1:9">
      <c r="A109" s="167"/>
      <c r="C109" s="227" t="s">
        <v>11</v>
      </c>
      <c r="D109" s="227"/>
      <c r="E109" s="227"/>
      <c r="F109" s="167"/>
      <c r="I109" s="168" t="s">
        <v>12</v>
      </c>
    </row>
    <row r="110" spans="1:9" ht="15.75">
      <c r="A110" s="4" t="s">
        <v>14</v>
      </c>
    </row>
    <row r="111" spans="1:9">
      <c r="A111" s="239" t="s">
        <v>15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44.25" customHeight="1">
      <c r="A112" s="240" t="s">
        <v>16</v>
      </c>
      <c r="B112" s="240"/>
      <c r="C112" s="240"/>
      <c r="D112" s="240"/>
      <c r="E112" s="240"/>
      <c r="F112" s="240"/>
      <c r="G112" s="240"/>
      <c r="H112" s="240"/>
      <c r="I112" s="240"/>
    </row>
    <row r="113" spans="1:9" ht="32.25" customHeight="1">
      <c r="A113" s="240" t="s">
        <v>17</v>
      </c>
      <c r="B113" s="240"/>
      <c r="C113" s="240"/>
      <c r="D113" s="240"/>
      <c r="E113" s="240"/>
      <c r="F113" s="240"/>
      <c r="G113" s="240"/>
      <c r="H113" s="240"/>
      <c r="I113" s="240"/>
    </row>
    <row r="114" spans="1:9" ht="39" customHeight="1">
      <c r="A114" s="240" t="s">
        <v>21</v>
      </c>
      <c r="B114" s="240"/>
      <c r="C114" s="240"/>
      <c r="D114" s="240"/>
      <c r="E114" s="240"/>
      <c r="F114" s="240"/>
      <c r="G114" s="240"/>
      <c r="H114" s="240"/>
      <c r="I114" s="240"/>
    </row>
    <row r="115" spans="1:9" ht="15.75">
      <c r="A115" s="240" t="s">
        <v>20</v>
      </c>
      <c r="B115" s="240"/>
      <c r="C115" s="240"/>
      <c r="D115" s="240"/>
      <c r="E115" s="240"/>
      <c r="F115" s="240"/>
      <c r="G115" s="240"/>
      <c r="H115" s="240"/>
      <c r="I115" s="240"/>
    </row>
  </sheetData>
  <mergeCells count="28">
    <mergeCell ref="A111:I111"/>
    <mergeCell ref="A112:I112"/>
    <mergeCell ref="A113:I113"/>
    <mergeCell ref="A114:I114"/>
    <mergeCell ref="A115:I115"/>
    <mergeCell ref="C109:E10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</mergeCells>
  <pageMargins left="0.70866141732283472" right="0.31496062992125984" top="0.35433070866141736" bottom="0.35433070866141736" header="0.31496062992125984" footer="0.31496062992125984"/>
  <pageSetup paperSize="9" scale="5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6"/>
  <sheetViews>
    <sheetView topLeftCell="A93" workbookViewId="0">
      <selection activeCell="L92" sqref="L92"/>
    </sheetView>
  </sheetViews>
  <sheetFormatPr defaultRowHeight="15"/>
  <cols>
    <col min="1" max="1" width="13.140625" customWidth="1"/>
    <col min="2" max="2" width="48.28515625" customWidth="1"/>
    <col min="3" max="3" width="17.5703125" customWidth="1"/>
    <col min="4" max="4" width="17.42578125" customWidth="1"/>
    <col min="5" max="6" width="0" hidden="1" customWidth="1"/>
    <col min="7" max="7" width="16.42578125" customWidth="1"/>
    <col min="8" max="8" width="0" hidden="1" customWidth="1"/>
    <col min="9" max="9" width="17.140625" customWidth="1"/>
  </cols>
  <sheetData>
    <row r="1" spans="1:9" ht="15.75">
      <c r="A1" s="30" t="s">
        <v>166</v>
      </c>
      <c r="I1" s="29"/>
    </row>
    <row r="2" spans="1:9" ht="15.75">
      <c r="A2" s="31" t="s">
        <v>62</v>
      </c>
    </row>
    <row r="3" spans="1:9" ht="15.75">
      <c r="A3" s="218" t="s">
        <v>171</v>
      </c>
      <c r="B3" s="218"/>
      <c r="C3" s="218"/>
      <c r="D3" s="218"/>
      <c r="E3" s="218"/>
      <c r="F3" s="218"/>
      <c r="G3" s="218"/>
      <c r="H3" s="218"/>
      <c r="I3" s="218"/>
    </row>
    <row r="4" spans="1:9" ht="35.25" customHeight="1">
      <c r="A4" s="219" t="s">
        <v>126</v>
      </c>
      <c r="B4" s="219"/>
      <c r="C4" s="219"/>
      <c r="D4" s="219"/>
      <c r="E4" s="219"/>
      <c r="F4" s="219"/>
      <c r="G4" s="219"/>
      <c r="H4" s="219"/>
      <c r="I4" s="219"/>
    </row>
    <row r="5" spans="1:9" ht="15.75">
      <c r="A5" s="218" t="s">
        <v>253</v>
      </c>
      <c r="B5" s="220"/>
      <c r="C5" s="220"/>
      <c r="D5" s="220"/>
      <c r="E5" s="220"/>
      <c r="F5" s="220"/>
      <c r="G5" s="220"/>
      <c r="H5" s="220"/>
      <c r="I5" s="220"/>
    </row>
    <row r="6" spans="1:9" ht="15.75">
      <c r="A6" s="2"/>
      <c r="B6" s="175"/>
      <c r="C6" s="175"/>
      <c r="D6" s="175"/>
      <c r="E6" s="175"/>
      <c r="F6" s="175"/>
      <c r="G6" s="175"/>
      <c r="H6" s="175"/>
      <c r="I6" s="33">
        <v>44104</v>
      </c>
    </row>
    <row r="7" spans="1:9" ht="15.75">
      <c r="B7" s="178"/>
      <c r="C7" s="178"/>
      <c r="D7" s="178"/>
      <c r="E7" s="3"/>
      <c r="F7" s="3"/>
      <c r="G7" s="3"/>
      <c r="H7" s="3"/>
    </row>
    <row r="8" spans="1:9" ht="102.75" customHeight="1">
      <c r="A8" s="221" t="s">
        <v>168</v>
      </c>
      <c r="B8" s="221"/>
      <c r="C8" s="221"/>
      <c r="D8" s="221"/>
      <c r="E8" s="221"/>
      <c r="F8" s="221"/>
      <c r="G8" s="221"/>
      <c r="H8" s="221"/>
      <c r="I8" s="221"/>
    </row>
    <row r="9" spans="1:9" ht="2.25" hidden="1" customHeight="1">
      <c r="A9" s="4"/>
    </row>
    <row r="10" spans="1:9" ht="63.75" customHeight="1">
      <c r="A10" s="222" t="s">
        <v>137</v>
      </c>
      <c r="B10" s="222"/>
      <c r="C10" s="222"/>
      <c r="D10" s="222"/>
      <c r="E10" s="222"/>
      <c r="F10" s="222"/>
      <c r="G10" s="222"/>
      <c r="H10" s="222"/>
      <c r="I10" s="222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59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3" t="s">
        <v>4</v>
      </c>
      <c r="B15" s="223"/>
      <c r="C15" s="223"/>
      <c r="D15" s="223"/>
      <c r="E15" s="223"/>
      <c r="F15" s="223"/>
      <c r="G15" s="223"/>
      <c r="H15" s="223"/>
      <c r="I15" s="223"/>
    </row>
    <row r="16" spans="1:9" ht="15.75" customHeight="1">
      <c r="A16" s="32">
        <v>1</v>
      </c>
      <c r="B16" s="104" t="s">
        <v>83</v>
      </c>
      <c r="C16" s="105" t="s">
        <v>84</v>
      </c>
      <c r="D16" s="104" t="s">
        <v>179</v>
      </c>
      <c r="E16" s="106">
        <v>66</v>
      </c>
      <c r="F16" s="107">
        <f>SUM(E16*156/100)</f>
        <v>102.96</v>
      </c>
      <c r="G16" s="107">
        <v>239.2</v>
      </c>
      <c r="H16" s="108">
        <f t="shared" ref="H16:H18" si="0">SUM(F16*G16/1000)</f>
        <v>24.628031999999994</v>
      </c>
      <c r="I16" s="13">
        <f>F16/12*G16</f>
        <v>2052.3359999999998</v>
      </c>
    </row>
    <row r="17" spans="1:9" ht="16.5" customHeight="1">
      <c r="A17" s="32">
        <v>2</v>
      </c>
      <c r="B17" s="104" t="s">
        <v>114</v>
      </c>
      <c r="C17" s="105" t="s">
        <v>84</v>
      </c>
      <c r="D17" s="104" t="s">
        <v>180</v>
      </c>
      <c r="E17" s="106">
        <v>264</v>
      </c>
      <c r="F17" s="107">
        <f>SUM(E17*104/100)</f>
        <v>274.56</v>
      </c>
      <c r="G17" s="107">
        <v>239.2</v>
      </c>
      <c r="H17" s="108">
        <f t="shared" si="0"/>
        <v>65.674751999999998</v>
      </c>
      <c r="I17" s="13">
        <f>F17/12*G17</f>
        <v>5472.8959999999997</v>
      </c>
    </row>
    <row r="18" spans="1:9" ht="17.25" customHeight="1">
      <c r="A18" s="32">
        <v>3</v>
      </c>
      <c r="B18" s="104" t="s">
        <v>139</v>
      </c>
      <c r="C18" s="105" t="s">
        <v>84</v>
      </c>
      <c r="D18" s="104" t="s">
        <v>181</v>
      </c>
      <c r="E18" s="106">
        <f>SUM(E16+E17)</f>
        <v>330</v>
      </c>
      <c r="F18" s="107">
        <f>SUM(E18*24/100)</f>
        <v>79.2</v>
      </c>
      <c r="G18" s="107">
        <v>688.14</v>
      </c>
      <c r="H18" s="108">
        <f t="shared" si="0"/>
        <v>54.500688000000004</v>
      </c>
      <c r="I18" s="13">
        <f>F18/12*G18</f>
        <v>4541.7240000000002</v>
      </c>
    </row>
    <row r="19" spans="1:9" hidden="1">
      <c r="A19" s="32">
        <v>4</v>
      </c>
      <c r="B19" s="104" t="s">
        <v>91</v>
      </c>
      <c r="C19" s="105" t="s">
        <v>92</v>
      </c>
      <c r="D19" s="104" t="s">
        <v>93</v>
      </c>
      <c r="E19" s="106">
        <v>28.16</v>
      </c>
      <c r="F19" s="107">
        <f>SUM(E19/10)</f>
        <v>2.8159999999999998</v>
      </c>
      <c r="G19" s="107">
        <v>232.1</v>
      </c>
      <c r="H19" s="108">
        <f t="shared" ref="H19:H25" si="1">SUM(F19*G19/1000)</f>
        <v>0.65359359999999989</v>
      </c>
      <c r="I19" s="13">
        <f>2.816*G19</f>
        <v>653.59359999999992</v>
      </c>
    </row>
    <row r="20" spans="1:9" ht="18.75" customHeight="1">
      <c r="A20" s="32">
        <v>4</v>
      </c>
      <c r="B20" s="104" t="s">
        <v>94</v>
      </c>
      <c r="C20" s="105" t="s">
        <v>84</v>
      </c>
      <c r="D20" s="104" t="s">
        <v>182</v>
      </c>
      <c r="E20" s="106">
        <v>14</v>
      </c>
      <c r="F20" s="107">
        <f>SUM(E20*12/100)</f>
        <v>1.68</v>
      </c>
      <c r="G20" s="107">
        <v>297.19</v>
      </c>
      <c r="H20" s="108">
        <f t="shared" ref="H20" si="2">SUM(F20*G20/1000)</f>
        <v>0.49927919999999998</v>
      </c>
      <c r="I20" s="13">
        <f>F20/12*G20</f>
        <v>41.606599999999993</v>
      </c>
    </row>
    <row r="21" spans="1:9" ht="18" customHeight="1">
      <c r="A21" s="32">
        <v>5</v>
      </c>
      <c r="B21" s="104" t="s">
        <v>95</v>
      </c>
      <c r="C21" s="105" t="s">
        <v>84</v>
      </c>
      <c r="D21" s="104" t="s">
        <v>186</v>
      </c>
      <c r="E21" s="106">
        <v>3.6</v>
      </c>
      <c r="F21" s="107">
        <f>SUM(E21*2/100)</f>
        <v>7.2000000000000008E-2</v>
      </c>
      <c r="G21" s="107">
        <v>294.77999999999997</v>
      </c>
      <c r="H21" s="108">
        <f t="shared" si="1"/>
        <v>2.1224160000000002E-2</v>
      </c>
      <c r="I21" s="13">
        <f>F21/2*G21</f>
        <v>10.612080000000001</v>
      </c>
    </row>
    <row r="22" spans="1:9" hidden="1">
      <c r="A22" s="32">
        <v>7</v>
      </c>
      <c r="B22" s="104" t="s">
        <v>96</v>
      </c>
      <c r="C22" s="105" t="s">
        <v>53</v>
      </c>
      <c r="D22" s="104" t="s">
        <v>93</v>
      </c>
      <c r="E22" s="106">
        <v>357</v>
      </c>
      <c r="F22" s="107">
        <f>SUM(E22/100)</f>
        <v>3.57</v>
      </c>
      <c r="G22" s="107">
        <v>367.27</v>
      </c>
      <c r="H22" s="108">
        <f t="shared" si="1"/>
        <v>1.3111538999999999</v>
      </c>
      <c r="I22" s="13">
        <f>3.57*G22</f>
        <v>1311.1538999999998</v>
      </c>
    </row>
    <row r="23" spans="1:9" hidden="1">
      <c r="A23" s="32">
        <v>8</v>
      </c>
      <c r="B23" s="104" t="s">
        <v>97</v>
      </c>
      <c r="C23" s="105" t="s">
        <v>53</v>
      </c>
      <c r="D23" s="104" t="s">
        <v>93</v>
      </c>
      <c r="E23" s="113">
        <v>48.3</v>
      </c>
      <c r="F23" s="107">
        <f>SUM(E23/100)</f>
        <v>0.48299999999999998</v>
      </c>
      <c r="G23" s="107">
        <v>60.41</v>
      </c>
      <c r="H23" s="108">
        <f t="shared" si="1"/>
        <v>2.9178029999999997E-2</v>
      </c>
      <c r="I23" s="13">
        <f>0.483*G23</f>
        <v>29.178029999999996</v>
      </c>
    </row>
    <row r="24" spans="1:9" hidden="1">
      <c r="A24" s="32">
        <v>9</v>
      </c>
      <c r="B24" s="104" t="s">
        <v>98</v>
      </c>
      <c r="C24" s="105" t="s">
        <v>53</v>
      </c>
      <c r="D24" s="104" t="s">
        <v>122</v>
      </c>
      <c r="E24" s="106">
        <v>20</v>
      </c>
      <c r="F24" s="107">
        <f>E24/100</f>
        <v>0.2</v>
      </c>
      <c r="G24" s="107">
        <v>531.55999999999995</v>
      </c>
      <c r="H24" s="108">
        <f t="shared" si="1"/>
        <v>0.106312</v>
      </c>
      <c r="I24" s="13">
        <f>0.2*G24</f>
        <v>106.312</v>
      </c>
    </row>
    <row r="25" spans="1:9" hidden="1">
      <c r="A25" s="32">
        <v>10</v>
      </c>
      <c r="B25" s="104" t="s">
        <v>99</v>
      </c>
      <c r="C25" s="105" t="s">
        <v>53</v>
      </c>
      <c r="D25" s="104" t="s">
        <v>93</v>
      </c>
      <c r="E25" s="106">
        <v>8.5</v>
      </c>
      <c r="F25" s="107">
        <f>SUM(E25/100)</f>
        <v>8.5000000000000006E-2</v>
      </c>
      <c r="G25" s="107">
        <v>710.37</v>
      </c>
      <c r="H25" s="108">
        <f t="shared" si="1"/>
        <v>6.038145000000001E-2</v>
      </c>
      <c r="I25" s="13">
        <f>0.085*G25</f>
        <v>60.381450000000008</v>
      </c>
    </row>
    <row r="26" spans="1:9" ht="30" hidden="1">
      <c r="A26" s="32">
        <v>11</v>
      </c>
      <c r="B26" s="104" t="s">
        <v>140</v>
      </c>
      <c r="C26" s="105" t="s">
        <v>53</v>
      </c>
      <c r="D26" s="104" t="s">
        <v>54</v>
      </c>
      <c r="E26" s="106">
        <v>14.25</v>
      </c>
      <c r="F26" s="107">
        <v>0.14000000000000001</v>
      </c>
      <c r="G26" s="107">
        <v>283.44</v>
      </c>
      <c r="H26" s="108">
        <f>G26*F26/1000</f>
        <v>3.9681600000000004E-2</v>
      </c>
      <c r="I26" s="13">
        <f>0.14*G26</f>
        <v>39.681600000000003</v>
      </c>
    </row>
    <row r="27" spans="1:9" ht="18" customHeight="1">
      <c r="A27" s="32">
        <v>6</v>
      </c>
      <c r="B27" s="104" t="s">
        <v>178</v>
      </c>
      <c r="C27" s="105" t="s">
        <v>25</v>
      </c>
      <c r="D27" s="104" t="s">
        <v>187</v>
      </c>
      <c r="E27" s="115">
        <v>3.31</v>
      </c>
      <c r="F27" s="107">
        <f>E27*258</f>
        <v>853.98</v>
      </c>
      <c r="G27" s="107">
        <v>10.39</v>
      </c>
      <c r="H27" s="70">
        <f>SUM(F27*G27/1000)</f>
        <v>8.8728522000000005</v>
      </c>
      <c r="I27" s="13">
        <f>F27/12*G27</f>
        <v>739.40435000000014</v>
      </c>
    </row>
    <row r="28" spans="1:9">
      <c r="A28" s="223" t="s">
        <v>82</v>
      </c>
      <c r="B28" s="223"/>
      <c r="C28" s="223"/>
      <c r="D28" s="223"/>
      <c r="E28" s="223"/>
      <c r="F28" s="223"/>
      <c r="G28" s="223"/>
      <c r="H28" s="223"/>
      <c r="I28" s="223"/>
    </row>
    <row r="29" spans="1:9" ht="20.25" customHeight="1">
      <c r="A29" s="32"/>
      <c r="B29" s="136" t="s">
        <v>28</v>
      </c>
      <c r="C29" s="105"/>
      <c r="D29" s="104"/>
      <c r="E29" s="106"/>
      <c r="F29" s="107"/>
      <c r="G29" s="107"/>
      <c r="H29" s="108"/>
      <c r="I29" s="13"/>
    </row>
    <row r="30" spans="1:9" ht="18" customHeight="1">
      <c r="A30" s="32">
        <v>7</v>
      </c>
      <c r="B30" s="104" t="s">
        <v>103</v>
      </c>
      <c r="C30" s="105" t="s">
        <v>86</v>
      </c>
      <c r="D30" s="104" t="s">
        <v>180</v>
      </c>
      <c r="E30" s="107">
        <v>667.1</v>
      </c>
      <c r="F30" s="107">
        <f>SUM(E30*52/1000)</f>
        <v>34.689200000000007</v>
      </c>
      <c r="G30" s="107">
        <v>212.62</v>
      </c>
      <c r="H30" s="108">
        <f t="shared" ref="H30:H35" si="3">SUM(F30*G30/1000)</f>
        <v>7.3756177040000015</v>
      </c>
      <c r="I30" s="13">
        <f t="shared" ref="I30:I33" si="4">F30/6*G30</f>
        <v>1229.2696173333336</v>
      </c>
    </row>
    <row r="31" spans="1:9" ht="43.5" customHeight="1">
      <c r="A31" s="32">
        <v>8</v>
      </c>
      <c r="B31" s="104" t="s">
        <v>115</v>
      </c>
      <c r="C31" s="105" t="s">
        <v>86</v>
      </c>
      <c r="D31" s="104" t="s">
        <v>179</v>
      </c>
      <c r="E31" s="107">
        <v>107.4</v>
      </c>
      <c r="F31" s="107">
        <f>SUM(E31*78/1000)</f>
        <v>8.3772000000000002</v>
      </c>
      <c r="G31" s="107">
        <v>352.77</v>
      </c>
      <c r="H31" s="108">
        <f t="shared" si="3"/>
        <v>2.955224844</v>
      </c>
      <c r="I31" s="13">
        <f t="shared" si="4"/>
        <v>492.53747400000003</v>
      </c>
    </row>
    <row r="32" spans="1:9" hidden="1">
      <c r="A32" s="32">
        <v>16</v>
      </c>
      <c r="B32" s="104" t="s">
        <v>27</v>
      </c>
      <c r="C32" s="105" t="s">
        <v>86</v>
      </c>
      <c r="D32" s="104" t="s">
        <v>54</v>
      </c>
      <c r="E32" s="107">
        <v>667.1</v>
      </c>
      <c r="F32" s="107">
        <f>SUM(E32/1000)</f>
        <v>0.66710000000000003</v>
      </c>
      <c r="G32" s="107">
        <v>4119.68</v>
      </c>
      <c r="H32" s="108">
        <f t="shared" si="3"/>
        <v>2.7482385280000003</v>
      </c>
      <c r="I32" s="13">
        <f>F32*G32</f>
        <v>2748.2385280000003</v>
      </c>
    </row>
    <row r="33" spans="1:9" ht="16.5" customHeight="1">
      <c r="A33" s="32">
        <v>9</v>
      </c>
      <c r="B33" s="104" t="s">
        <v>120</v>
      </c>
      <c r="C33" s="105" t="s">
        <v>41</v>
      </c>
      <c r="D33" s="104" t="s">
        <v>188</v>
      </c>
      <c r="E33" s="107">
        <v>3</v>
      </c>
      <c r="F33" s="107">
        <f>SUM(E33*155/100)</f>
        <v>4.6500000000000004</v>
      </c>
      <c r="G33" s="107">
        <v>1775.94</v>
      </c>
      <c r="H33" s="108">
        <f>G33*F33/1000</f>
        <v>8.2581210000000009</v>
      </c>
      <c r="I33" s="13">
        <f t="shared" si="4"/>
        <v>1376.3535000000002</v>
      </c>
    </row>
    <row r="34" spans="1:9" ht="30" hidden="1">
      <c r="A34" s="32"/>
      <c r="B34" s="104" t="s">
        <v>64</v>
      </c>
      <c r="C34" s="105" t="s">
        <v>33</v>
      </c>
      <c r="D34" s="104" t="s">
        <v>66</v>
      </c>
      <c r="E34" s="106"/>
      <c r="F34" s="107">
        <v>1</v>
      </c>
      <c r="G34" s="107">
        <v>260.95</v>
      </c>
      <c r="H34" s="108">
        <f t="shared" si="3"/>
        <v>0.26095000000000002</v>
      </c>
      <c r="I34" s="13">
        <v>0</v>
      </c>
    </row>
    <row r="35" spans="1:9" ht="30" hidden="1">
      <c r="A35" s="32"/>
      <c r="B35" s="104" t="s">
        <v>65</v>
      </c>
      <c r="C35" s="105" t="s">
        <v>32</v>
      </c>
      <c r="D35" s="104" t="s">
        <v>66</v>
      </c>
      <c r="E35" s="106"/>
      <c r="F35" s="107">
        <v>1</v>
      </c>
      <c r="G35" s="107">
        <v>1549.92</v>
      </c>
      <c r="H35" s="108">
        <f t="shared" si="3"/>
        <v>1.54992</v>
      </c>
      <c r="I35" s="13">
        <v>0</v>
      </c>
    </row>
    <row r="36" spans="1:9" hidden="1">
      <c r="A36" s="32"/>
      <c r="B36" s="136" t="s">
        <v>5</v>
      </c>
      <c r="C36" s="105"/>
      <c r="D36" s="104"/>
      <c r="E36" s="106"/>
      <c r="F36" s="107"/>
      <c r="G36" s="107"/>
      <c r="H36" s="108" t="s">
        <v>119</v>
      </c>
      <c r="I36" s="13"/>
    </row>
    <row r="37" spans="1:9" hidden="1">
      <c r="A37" s="32">
        <v>7</v>
      </c>
      <c r="B37" s="118" t="s">
        <v>26</v>
      </c>
      <c r="C37" s="105" t="s">
        <v>32</v>
      </c>
      <c r="D37" s="104"/>
      <c r="E37" s="106"/>
      <c r="F37" s="107">
        <v>5</v>
      </c>
      <c r="G37" s="107">
        <v>2083</v>
      </c>
      <c r="H37" s="108">
        <f t="shared" ref="H37:H44" si="5">SUM(F37*G37/1000)</f>
        <v>10.414999999999999</v>
      </c>
      <c r="I37" s="13">
        <f t="shared" ref="I37:I44" si="6">F37/6*G37</f>
        <v>1735.8333333333335</v>
      </c>
    </row>
    <row r="38" spans="1:9" ht="30" hidden="1">
      <c r="A38" s="32">
        <v>8</v>
      </c>
      <c r="B38" s="118" t="s">
        <v>104</v>
      </c>
      <c r="C38" s="119" t="s">
        <v>29</v>
      </c>
      <c r="D38" s="104" t="s">
        <v>143</v>
      </c>
      <c r="E38" s="106">
        <v>107.4</v>
      </c>
      <c r="F38" s="120">
        <f>E38*30/1000</f>
        <v>3.222</v>
      </c>
      <c r="G38" s="107">
        <v>2868.09</v>
      </c>
      <c r="H38" s="108">
        <f t="shared" si="5"/>
        <v>9.2409859800000014</v>
      </c>
      <c r="I38" s="13">
        <f t="shared" si="6"/>
        <v>1540.1643300000001</v>
      </c>
    </row>
    <row r="39" spans="1:9" ht="30" hidden="1">
      <c r="A39" s="32">
        <v>9</v>
      </c>
      <c r="B39" s="104" t="s">
        <v>67</v>
      </c>
      <c r="C39" s="105" t="s">
        <v>29</v>
      </c>
      <c r="D39" s="104" t="s">
        <v>85</v>
      </c>
      <c r="E39" s="107">
        <v>107.4</v>
      </c>
      <c r="F39" s="120">
        <f>SUM(E39*155/1000)</f>
        <v>16.646999999999998</v>
      </c>
      <c r="G39" s="107">
        <v>478.42</v>
      </c>
      <c r="H39" s="108">
        <f t="shared" si="5"/>
        <v>7.964257739999999</v>
      </c>
      <c r="I39" s="13">
        <f t="shared" si="6"/>
        <v>1327.3762899999999</v>
      </c>
    </row>
    <row r="40" spans="1:9" ht="30" hidden="1">
      <c r="A40" s="32"/>
      <c r="B40" s="104" t="s">
        <v>144</v>
      </c>
      <c r="C40" s="105" t="s">
        <v>145</v>
      </c>
      <c r="D40" s="104" t="s">
        <v>66</v>
      </c>
      <c r="E40" s="106"/>
      <c r="F40" s="120">
        <v>39</v>
      </c>
      <c r="G40" s="107">
        <v>314</v>
      </c>
      <c r="H40" s="108">
        <f t="shared" si="5"/>
        <v>12.246</v>
      </c>
      <c r="I40" s="13">
        <v>0</v>
      </c>
    </row>
    <row r="41" spans="1:9" ht="60" hidden="1">
      <c r="A41" s="32">
        <v>10</v>
      </c>
      <c r="B41" s="104" t="s">
        <v>80</v>
      </c>
      <c r="C41" s="105" t="s">
        <v>86</v>
      </c>
      <c r="D41" s="104" t="s">
        <v>146</v>
      </c>
      <c r="E41" s="107">
        <v>52.8</v>
      </c>
      <c r="F41" s="120">
        <f>SUM(E41*35/1000)</f>
        <v>1.8480000000000001</v>
      </c>
      <c r="G41" s="107">
        <v>7915.6</v>
      </c>
      <c r="H41" s="108">
        <f t="shared" si="5"/>
        <v>14.628028800000003</v>
      </c>
      <c r="I41" s="13">
        <f t="shared" si="6"/>
        <v>2438.0048000000002</v>
      </c>
    </row>
    <row r="42" spans="1:9" hidden="1">
      <c r="A42" s="32">
        <v>11</v>
      </c>
      <c r="B42" s="104" t="s">
        <v>87</v>
      </c>
      <c r="C42" s="105" t="s">
        <v>86</v>
      </c>
      <c r="D42" s="104" t="s">
        <v>68</v>
      </c>
      <c r="E42" s="107">
        <v>107.4</v>
      </c>
      <c r="F42" s="120">
        <f>SUM(E42*45/1000)</f>
        <v>4.8330000000000002</v>
      </c>
      <c r="G42" s="107">
        <v>584.74</v>
      </c>
      <c r="H42" s="108">
        <f t="shared" si="5"/>
        <v>2.8260484200000002</v>
      </c>
      <c r="I42" s="13">
        <f>(F42/7.5*1.5)*G42</f>
        <v>565.20968399999992</v>
      </c>
    </row>
    <row r="43" spans="1:9" hidden="1">
      <c r="A43" s="32">
        <v>12</v>
      </c>
      <c r="B43" s="118" t="s">
        <v>69</v>
      </c>
      <c r="C43" s="119" t="s">
        <v>33</v>
      </c>
      <c r="D43" s="118"/>
      <c r="E43" s="116"/>
      <c r="F43" s="120">
        <v>0.9</v>
      </c>
      <c r="G43" s="120">
        <v>800</v>
      </c>
      <c r="H43" s="108">
        <f t="shared" si="5"/>
        <v>0.72</v>
      </c>
      <c r="I43" s="13">
        <f>(F43/7.5*1.5)*G43</f>
        <v>144.00000000000003</v>
      </c>
    </row>
    <row r="44" spans="1:9" ht="30" hidden="1">
      <c r="A44" s="32">
        <v>13</v>
      </c>
      <c r="B44" s="121" t="s">
        <v>147</v>
      </c>
      <c r="C44" s="122" t="s">
        <v>29</v>
      </c>
      <c r="D44" s="118" t="s">
        <v>148</v>
      </c>
      <c r="E44" s="116">
        <v>4.2</v>
      </c>
      <c r="F44" s="120">
        <f>SUM(E44*12/1000)</f>
        <v>5.0400000000000007E-2</v>
      </c>
      <c r="G44" s="120">
        <v>270.61</v>
      </c>
      <c r="H44" s="108">
        <f t="shared" si="5"/>
        <v>1.3638744000000003E-2</v>
      </c>
      <c r="I44" s="13">
        <f t="shared" si="6"/>
        <v>2.2731240000000006</v>
      </c>
    </row>
    <row r="45" spans="1:9">
      <c r="A45" s="224" t="s">
        <v>128</v>
      </c>
      <c r="B45" s="225"/>
      <c r="C45" s="225"/>
      <c r="D45" s="225"/>
      <c r="E45" s="225"/>
      <c r="F45" s="225"/>
      <c r="G45" s="225"/>
      <c r="H45" s="225"/>
      <c r="I45" s="226"/>
    </row>
    <row r="46" spans="1:9" ht="15.75" customHeight="1">
      <c r="A46" s="32">
        <v>10</v>
      </c>
      <c r="B46" s="104" t="s">
        <v>123</v>
      </c>
      <c r="C46" s="105" t="s">
        <v>86</v>
      </c>
      <c r="D46" s="104" t="s">
        <v>186</v>
      </c>
      <c r="E46" s="106">
        <v>1197.75</v>
      </c>
      <c r="F46" s="107">
        <f>SUM(E46*2/1000)</f>
        <v>2.3955000000000002</v>
      </c>
      <c r="G46" s="36">
        <v>1104.48</v>
      </c>
      <c r="H46" s="108">
        <f t="shared" ref="H46:H55" si="7">SUM(F46*G46/1000)</f>
        <v>2.6457818400000002</v>
      </c>
      <c r="I46" s="13">
        <f>2.3955/2*G46</f>
        <v>1322.8909200000001</v>
      </c>
    </row>
    <row r="47" spans="1:9" ht="15.75" customHeight="1">
      <c r="A47" s="32">
        <v>11</v>
      </c>
      <c r="B47" s="104" t="s">
        <v>36</v>
      </c>
      <c r="C47" s="105" t="s">
        <v>86</v>
      </c>
      <c r="D47" s="104" t="s">
        <v>186</v>
      </c>
      <c r="E47" s="106">
        <v>52</v>
      </c>
      <c r="F47" s="107">
        <f>E47*2/1000</f>
        <v>0.104</v>
      </c>
      <c r="G47" s="36">
        <v>790.38</v>
      </c>
      <c r="H47" s="108">
        <f t="shared" si="7"/>
        <v>8.2199519999999998E-2</v>
      </c>
      <c r="I47" s="13">
        <f>0.104/2*G47</f>
        <v>41.099759999999996</v>
      </c>
    </row>
    <row r="48" spans="1:9" ht="23.25" customHeight="1">
      <c r="A48" s="32">
        <v>12</v>
      </c>
      <c r="B48" s="104" t="s">
        <v>37</v>
      </c>
      <c r="C48" s="105" t="s">
        <v>86</v>
      </c>
      <c r="D48" s="104" t="s">
        <v>186</v>
      </c>
      <c r="E48" s="106">
        <v>1056.5999999999999</v>
      </c>
      <c r="F48" s="107">
        <f>SUM(E48*2/1000)</f>
        <v>2.1132</v>
      </c>
      <c r="G48" s="36">
        <v>790.38</v>
      </c>
      <c r="H48" s="108">
        <f t="shared" si="7"/>
        <v>1.670231016</v>
      </c>
      <c r="I48" s="13">
        <f>2.1132/2*G48</f>
        <v>835.11550799999998</v>
      </c>
    </row>
    <row r="49" spans="1:9" ht="21" customHeight="1">
      <c r="A49" s="32">
        <v>13</v>
      </c>
      <c r="B49" s="104" t="s">
        <v>38</v>
      </c>
      <c r="C49" s="105" t="s">
        <v>86</v>
      </c>
      <c r="D49" s="104" t="s">
        <v>186</v>
      </c>
      <c r="E49" s="106">
        <v>2582</v>
      </c>
      <c r="F49" s="107">
        <f>SUM(E49*2/1000)</f>
        <v>5.1639999999999997</v>
      </c>
      <c r="G49" s="36">
        <v>827.65</v>
      </c>
      <c r="H49" s="108">
        <f t="shared" si="7"/>
        <v>4.2739845999999995</v>
      </c>
      <c r="I49" s="13">
        <f>5.164/2*G49</f>
        <v>2136.9922999999999</v>
      </c>
    </row>
    <row r="50" spans="1:9" ht="21.75" customHeight="1">
      <c r="A50" s="32">
        <v>14</v>
      </c>
      <c r="B50" s="104" t="s">
        <v>34</v>
      </c>
      <c r="C50" s="105" t="s">
        <v>35</v>
      </c>
      <c r="D50" s="104" t="s">
        <v>186</v>
      </c>
      <c r="E50" s="106">
        <v>92.95</v>
      </c>
      <c r="F50" s="107">
        <f>SUM(E50*2/100)</f>
        <v>1.859</v>
      </c>
      <c r="G50" s="36">
        <v>99.31</v>
      </c>
      <c r="H50" s="108">
        <f t="shared" si="7"/>
        <v>0.18461728999999999</v>
      </c>
      <c r="I50" s="13">
        <f>1.859/2*G50</f>
        <v>92.308644999999999</v>
      </c>
    </row>
    <row r="51" spans="1:9" ht="19.5" customHeight="1">
      <c r="A51" s="32">
        <v>15</v>
      </c>
      <c r="B51" s="104" t="s">
        <v>56</v>
      </c>
      <c r="C51" s="105" t="s">
        <v>86</v>
      </c>
      <c r="D51" s="104" t="s">
        <v>186</v>
      </c>
      <c r="E51" s="106">
        <v>1916.4</v>
      </c>
      <c r="F51" s="107">
        <f>SUM(E51*5/1000)</f>
        <v>9.5820000000000007</v>
      </c>
      <c r="G51" s="36">
        <v>1655.27</v>
      </c>
      <c r="H51" s="108">
        <f t="shared" si="7"/>
        <v>15.860797140000001</v>
      </c>
      <c r="I51" s="13">
        <f>9.582/5*G51</f>
        <v>3172.1594279999999</v>
      </c>
    </row>
    <row r="52" spans="1:9" ht="45.75" customHeight="1">
      <c r="A52" s="32">
        <v>16</v>
      </c>
      <c r="B52" s="104" t="s">
        <v>88</v>
      </c>
      <c r="C52" s="105" t="s">
        <v>86</v>
      </c>
      <c r="D52" s="104" t="s">
        <v>186</v>
      </c>
      <c r="E52" s="106">
        <v>3382.7</v>
      </c>
      <c r="F52" s="107">
        <f>SUM(E52*2/1000)</f>
        <v>6.7653999999999996</v>
      </c>
      <c r="G52" s="36">
        <v>1655.27</v>
      </c>
      <c r="H52" s="108">
        <f t="shared" si="7"/>
        <v>11.198563657999999</v>
      </c>
      <c r="I52" s="13">
        <f>6.7654/2*G52</f>
        <v>5599.2818289999996</v>
      </c>
    </row>
    <row r="53" spans="1:9" ht="38.25" customHeight="1">
      <c r="A53" s="32">
        <v>17</v>
      </c>
      <c r="B53" s="104" t="s">
        <v>89</v>
      </c>
      <c r="C53" s="105" t="s">
        <v>39</v>
      </c>
      <c r="D53" s="104" t="s">
        <v>186</v>
      </c>
      <c r="E53" s="106">
        <v>20</v>
      </c>
      <c r="F53" s="107">
        <f>SUM(E53*2/100)</f>
        <v>0.4</v>
      </c>
      <c r="G53" s="36">
        <v>3724.37</v>
      </c>
      <c r="H53" s="108">
        <f t="shared" si="7"/>
        <v>1.4897480000000001</v>
      </c>
      <c r="I53" s="13">
        <f>0.4/2*G53</f>
        <v>744.87400000000002</v>
      </c>
    </row>
    <row r="54" spans="1:9" ht="16.5" customHeight="1">
      <c r="A54" s="32">
        <v>18</v>
      </c>
      <c r="B54" s="104" t="s">
        <v>40</v>
      </c>
      <c r="C54" s="105" t="s">
        <v>41</v>
      </c>
      <c r="D54" s="104" t="s">
        <v>186</v>
      </c>
      <c r="E54" s="106">
        <v>1</v>
      </c>
      <c r="F54" s="107">
        <v>0.02</v>
      </c>
      <c r="G54" s="36">
        <v>7709.44</v>
      </c>
      <c r="H54" s="108">
        <f t="shared" si="7"/>
        <v>0.15418879999999999</v>
      </c>
      <c r="I54" s="13">
        <f>G54*0.01</f>
        <v>77.094399999999993</v>
      </c>
    </row>
    <row r="55" spans="1:9" ht="19.5" customHeight="1">
      <c r="A55" s="32">
        <v>19</v>
      </c>
      <c r="B55" s="104" t="s">
        <v>42</v>
      </c>
      <c r="C55" s="105" t="s">
        <v>105</v>
      </c>
      <c r="D55" s="207">
        <v>44092</v>
      </c>
      <c r="E55" s="106">
        <v>118</v>
      </c>
      <c r="F55" s="107">
        <f>SUM(E55)*3</f>
        <v>354</v>
      </c>
      <c r="G55" s="123">
        <v>89.59</v>
      </c>
      <c r="H55" s="108">
        <f t="shared" si="7"/>
        <v>31.714860000000002</v>
      </c>
      <c r="I55" s="13">
        <f>G55*118</f>
        <v>10571.62</v>
      </c>
    </row>
    <row r="56" spans="1:9" ht="15.75" customHeight="1">
      <c r="A56" s="224" t="s">
        <v>129</v>
      </c>
      <c r="B56" s="225"/>
      <c r="C56" s="225"/>
      <c r="D56" s="225"/>
      <c r="E56" s="225"/>
      <c r="F56" s="225"/>
      <c r="G56" s="225"/>
      <c r="H56" s="225"/>
      <c r="I56" s="226"/>
    </row>
    <row r="57" spans="1:9" ht="15" hidden="1" customHeight="1">
      <c r="A57" s="32"/>
      <c r="B57" s="136" t="s">
        <v>44</v>
      </c>
      <c r="C57" s="105"/>
      <c r="D57" s="104"/>
      <c r="E57" s="106"/>
      <c r="F57" s="107"/>
      <c r="G57" s="107"/>
      <c r="H57" s="108"/>
      <c r="I57" s="13"/>
    </row>
    <row r="58" spans="1:9" ht="15" hidden="1" customHeight="1">
      <c r="A58" s="32">
        <v>15</v>
      </c>
      <c r="B58" s="104" t="s">
        <v>118</v>
      </c>
      <c r="C58" s="105" t="s">
        <v>84</v>
      </c>
      <c r="D58" s="104" t="s">
        <v>106</v>
      </c>
      <c r="E58" s="106">
        <v>73.599999999999994</v>
      </c>
      <c r="F58" s="107">
        <f>SUM(E58*6/100)</f>
        <v>4.4159999999999995</v>
      </c>
      <c r="G58" s="36">
        <v>2110.4699999999998</v>
      </c>
      <c r="H58" s="108">
        <f>SUM(F58*G58/1000)</f>
        <v>9.319835519999998</v>
      </c>
      <c r="I58" s="13">
        <f t="shared" ref="I58" si="8">F58/6*G58</f>
        <v>1553.3059199999996</v>
      </c>
    </row>
    <row r="59" spans="1:9" ht="17.25" hidden="1" customHeight="1">
      <c r="A59" s="32">
        <v>20</v>
      </c>
      <c r="B59" s="104" t="s">
        <v>149</v>
      </c>
      <c r="C59" s="105" t="s">
        <v>150</v>
      </c>
      <c r="D59" s="104" t="s">
        <v>196</v>
      </c>
      <c r="E59" s="106"/>
      <c r="F59" s="107">
        <v>4</v>
      </c>
      <c r="G59" s="36">
        <v>1645</v>
      </c>
      <c r="H59" s="108">
        <f>SUM(F59*G59/1000)</f>
        <v>6.58</v>
      </c>
      <c r="I59" s="13">
        <f>G59*10</f>
        <v>16450</v>
      </c>
    </row>
    <row r="60" spans="1:9" ht="17.25" customHeight="1">
      <c r="A60" s="32"/>
      <c r="B60" s="137" t="s">
        <v>45</v>
      </c>
      <c r="C60" s="94"/>
      <c r="D60" s="52"/>
      <c r="E60" s="91"/>
      <c r="F60" s="107"/>
      <c r="G60" s="139"/>
      <c r="H60" s="125"/>
      <c r="I60" s="13"/>
    </row>
    <row r="61" spans="1:9" hidden="1">
      <c r="A61" s="32"/>
      <c r="B61" s="52" t="s">
        <v>151</v>
      </c>
      <c r="C61" s="94" t="s">
        <v>53</v>
      </c>
      <c r="D61" s="52" t="s">
        <v>54</v>
      </c>
      <c r="E61" s="91">
        <v>158.19999999999999</v>
      </c>
      <c r="F61" s="107">
        <f>SUM(E61/100)</f>
        <v>1.5819999999999999</v>
      </c>
      <c r="G61" s="107">
        <v>1082.47</v>
      </c>
      <c r="H61" s="125">
        <f>F61*G61/1000</f>
        <v>1.7124675399999998</v>
      </c>
      <c r="I61" s="13">
        <v>0</v>
      </c>
    </row>
    <row r="62" spans="1:9" ht="18.75" customHeight="1">
      <c r="A62" s="32">
        <v>20</v>
      </c>
      <c r="B62" s="52" t="s">
        <v>116</v>
      </c>
      <c r="C62" s="94" t="s">
        <v>25</v>
      </c>
      <c r="D62" s="52" t="s">
        <v>186</v>
      </c>
      <c r="E62" s="91">
        <v>160</v>
      </c>
      <c r="F62" s="92">
        <f>E62*12</f>
        <v>1920</v>
      </c>
      <c r="G62" s="107">
        <v>1.4</v>
      </c>
      <c r="H62" s="125">
        <f>F62*G62/1000</f>
        <v>2.6880000000000002</v>
      </c>
      <c r="I62" s="13">
        <f>F62/12*G62</f>
        <v>224</v>
      </c>
    </row>
    <row r="63" spans="1:9" ht="19.5" customHeight="1">
      <c r="A63" s="32"/>
      <c r="B63" s="138" t="s">
        <v>46</v>
      </c>
      <c r="C63" s="94"/>
      <c r="D63" s="52"/>
      <c r="E63" s="91"/>
      <c r="F63" s="92"/>
      <c r="G63" s="92"/>
      <c r="H63" s="93" t="s">
        <v>119</v>
      </c>
      <c r="I63" s="13"/>
    </row>
    <row r="64" spans="1:9" ht="18" customHeight="1">
      <c r="A64" s="32">
        <v>21</v>
      </c>
      <c r="B64" s="126" t="s">
        <v>47</v>
      </c>
      <c r="C64" s="127" t="s">
        <v>105</v>
      </c>
      <c r="D64" s="38" t="s">
        <v>191</v>
      </c>
      <c r="E64" s="17">
        <v>12</v>
      </c>
      <c r="F64" s="107">
        <f>SUM(E64)</f>
        <v>12</v>
      </c>
      <c r="G64" s="36">
        <v>303.35000000000002</v>
      </c>
      <c r="H64" s="128">
        <f t="shared" ref="H64:H81" si="9">SUM(F64*G64/1000)</f>
        <v>3.6402000000000001</v>
      </c>
      <c r="I64" s="13">
        <f>G64*4</f>
        <v>1213.4000000000001</v>
      </c>
    </row>
    <row r="65" spans="1:9" ht="17.25" hidden="1" customHeight="1">
      <c r="A65" s="32"/>
      <c r="B65" s="126" t="s">
        <v>48</v>
      </c>
      <c r="C65" s="127" t="s">
        <v>105</v>
      </c>
      <c r="D65" s="38" t="s">
        <v>66</v>
      </c>
      <c r="E65" s="17">
        <v>6</v>
      </c>
      <c r="F65" s="107">
        <f>SUM(E65)</f>
        <v>6</v>
      </c>
      <c r="G65" s="36">
        <v>104.01</v>
      </c>
      <c r="H65" s="128">
        <f t="shared" si="9"/>
        <v>0.62406000000000006</v>
      </c>
      <c r="I65" s="13">
        <v>0</v>
      </c>
    </row>
    <row r="66" spans="1:9" ht="15.75" hidden="1" customHeight="1">
      <c r="A66" s="32">
        <v>29</v>
      </c>
      <c r="B66" s="126" t="s">
        <v>49</v>
      </c>
      <c r="C66" s="129" t="s">
        <v>107</v>
      </c>
      <c r="D66" s="38" t="s">
        <v>54</v>
      </c>
      <c r="E66" s="106">
        <v>14220</v>
      </c>
      <c r="F66" s="123">
        <f>SUM(E66/100)</f>
        <v>142.19999999999999</v>
      </c>
      <c r="G66" s="36">
        <v>289.37</v>
      </c>
      <c r="H66" s="128">
        <f t="shared" si="9"/>
        <v>41.148413999999995</v>
      </c>
      <c r="I66" s="13">
        <f>142.2*G66</f>
        <v>41148.413999999997</v>
      </c>
    </row>
    <row r="67" spans="1:9" ht="21.75" hidden="1" customHeight="1">
      <c r="A67" s="32">
        <v>30</v>
      </c>
      <c r="B67" s="126" t="s">
        <v>50</v>
      </c>
      <c r="C67" s="127" t="s">
        <v>108</v>
      </c>
      <c r="D67" s="38"/>
      <c r="E67" s="106">
        <v>14220</v>
      </c>
      <c r="F67" s="36">
        <f>SUM(E67/1000)</f>
        <v>14.22</v>
      </c>
      <c r="G67" s="36">
        <v>225.35</v>
      </c>
      <c r="H67" s="128">
        <f t="shared" si="9"/>
        <v>3.2044769999999998</v>
      </c>
      <c r="I67" s="13">
        <f>14.22*G67</f>
        <v>3204.4769999999999</v>
      </c>
    </row>
    <row r="68" spans="1:9" ht="21.75" hidden="1" customHeight="1">
      <c r="A68" s="32">
        <v>31</v>
      </c>
      <c r="B68" s="126" t="s">
        <v>51</v>
      </c>
      <c r="C68" s="127" t="s">
        <v>76</v>
      </c>
      <c r="D68" s="38" t="s">
        <v>54</v>
      </c>
      <c r="E68" s="106">
        <v>2260</v>
      </c>
      <c r="F68" s="36">
        <f>SUM(E68/100)</f>
        <v>22.6</v>
      </c>
      <c r="G68" s="36">
        <v>2829.78</v>
      </c>
      <c r="H68" s="128">
        <f t="shared" si="9"/>
        <v>63.953028000000003</v>
      </c>
      <c r="I68" s="13">
        <f>22.6*G68</f>
        <v>63953.028000000006</v>
      </c>
    </row>
    <row r="69" spans="1:9" ht="19.5" hidden="1" customHeight="1">
      <c r="A69" s="32">
        <v>32</v>
      </c>
      <c r="B69" s="130" t="s">
        <v>109</v>
      </c>
      <c r="C69" s="127" t="s">
        <v>33</v>
      </c>
      <c r="D69" s="38"/>
      <c r="E69" s="106">
        <v>10.6</v>
      </c>
      <c r="F69" s="36">
        <f>SUM(E69)</f>
        <v>10.6</v>
      </c>
      <c r="G69" s="36">
        <v>44.31</v>
      </c>
      <c r="H69" s="128">
        <f t="shared" si="9"/>
        <v>0.46968600000000005</v>
      </c>
      <c r="I69" s="13">
        <f>10.6*G69</f>
        <v>469.68600000000004</v>
      </c>
    </row>
    <row r="70" spans="1:9" ht="19.5" hidden="1" customHeight="1">
      <c r="A70" s="32">
        <v>33</v>
      </c>
      <c r="B70" s="130" t="s">
        <v>110</v>
      </c>
      <c r="C70" s="127" t="s">
        <v>33</v>
      </c>
      <c r="D70" s="38"/>
      <c r="E70" s="106">
        <v>10.6</v>
      </c>
      <c r="F70" s="36">
        <f>SUM(E70)</f>
        <v>10.6</v>
      </c>
      <c r="G70" s="36">
        <v>47.79</v>
      </c>
      <c r="H70" s="128">
        <f t="shared" si="9"/>
        <v>0.50657399999999997</v>
      </c>
      <c r="I70" s="13">
        <f>10.6*G70</f>
        <v>506.57399999999996</v>
      </c>
    </row>
    <row r="71" spans="1:9" ht="18.75" customHeight="1">
      <c r="A71" s="32">
        <v>22</v>
      </c>
      <c r="B71" s="38" t="s">
        <v>57</v>
      </c>
      <c r="C71" s="127" t="s">
        <v>58</v>
      </c>
      <c r="D71" s="38" t="s">
        <v>182</v>
      </c>
      <c r="E71" s="17">
        <v>3</v>
      </c>
      <c r="F71" s="36">
        <f>SUM(E71)</f>
        <v>3</v>
      </c>
      <c r="G71" s="36">
        <v>68.040000000000006</v>
      </c>
      <c r="H71" s="128">
        <f t="shared" si="9"/>
        <v>0.20412</v>
      </c>
      <c r="I71" s="13">
        <f>G71*3</f>
        <v>204.12</v>
      </c>
    </row>
    <row r="72" spans="1:9" ht="15" customHeight="1">
      <c r="A72" s="32"/>
      <c r="B72" s="140" t="s">
        <v>71</v>
      </c>
      <c r="C72" s="127"/>
      <c r="D72" s="38"/>
      <c r="E72" s="17"/>
      <c r="F72" s="36"/>
      <c r="G72" s="36"/>
      <c r="H72" s="128" t="s">
        <v>119</v>
      </c>
      <c r="I72" s="72"/>
    </row>
    <row r="73" spans="1:9" ht="30" hidden="1">
      <c r="A73" s="32"/>
      <c r="B73" s="38" t="s">
        <v>152</v>
      </c>
      <c r="C73" s="127" t="s">
        <v>105</v>
      </c>
      <c r="D73" s="38" t="s">
        <v>133</v>
      </c>
      <c r="E73" s="17">
        <v>1</v>
      </c>
      <c r="F73" s="36">
        <v>1</v>
      </c>
      <c r="G73" s="36">
        <v>2112.2800000000002</v>
      </c>
      <c r="H73" s="128">
        <f t="shared" ref="H73:H75" si="10">SUM(F73*G73/1000)</f>
        <v>2.1122800000000002</v>
      </c>
      <c r="I73" s="72"/>
    </row>
    <row r="74" spans="1:9" ht="30" hidden="1">
      <c r="A74" s="32"/>
      <c r="B74" s="38" t="s">
        <v>72</v>
      </c>
      <c r="C74" s="127" t="s">
        <v>74</v>
      </c>
      <c r="D74" s="38" t="s">
        <v>133</v>
      </c>
      <c r="E74" s="17">
        <v>3</v>
      </c>
      <c r="F74" s="36">
        <f>E74/10</f>
        <v>0.3</v>
      </c>
      <c r="G74" s="36">
        <v>684.19</v>
      </c>
      <c r="H74" s="128">
        <f t="shared" si="10"/>
        <v>0.205257</v>
      </c>
      <c r="I74" s="72"/>
    </row>
    <row r="75" spans="1:9" ht="30" hidden="1">
      <c r="A75" s="32"/>
      <c r="B75" s="38" t="s">
        <v>153</v>
      </c>
      <c r="C75" s="127" t="s">
        <v>105</v>
      </c>
      <c r="D75" s="38" t="s">
        <v>133</v>
      </c>
      <c r="E75" s="17">
        <v>1</v>
      </c>
      <c r="F75" s="107">
        <f>SUM(E75)</f>
        <v>1</v>
      </c>
      <c r="G75" s="36">
        <v>1163.47</v>
      </c>
      <c r="H75" s="128">
        <f t="shared" si="10"/>
        <v>1.16347</v>
      </c>
      <c r="I75" s="72"/>
    </row>
    <row r="76" spans="1:9" ht="30" hidden="1">
      <c r="A76" s="32"/>
      <c r="B76" s="121" t="s">
        <v>154</v>
      </c>
      <c r="C76" s="122" t="s">
        <v>105</v>
      </c>
      <c r="D76" s="38" t="s">
        <v>133</v>
      </c>
      <c r="E76" s="17">
        <v>1</v>
      </c>
      <c r="F76" s="95">
        <v>1</v>
      </c>
      <c r="G76" s="36">
        <v>1670.07</v>
      </c>
      <c r="H76" s="128">
        <f>SUM(F76*G76/1000)</f>
        <v>1.6700699999999999</v>
      </c>
      <c r="I76" s="72"/>
    </row>
    <row r="77" spans="1:9" ht="30.75" customHeight="1">
      <c r="A77" s="32">
        <v>23</v>
      </c>
      <c r="B77" s="121" t="s">
        <v>155</v>
      </c>
      <c r="C77" s="122" t="s">
        <v>105</v>
      </c>
      <c r="D77" s="38" t="s">
        <v>182</v>
      </c>
      <c r="E77" s="131">
        <v>2</v>
      </c>
      <c r="F77" s="92">
        <f>E77*12</f>
        <v>24</v>
      </c>
      <c r="G77" s="132">
        <v>55.55</v>
      </c>
      <c r="H77" s="128">
        <f t="shared" ref="H77" si="11">SUM(F77*G77/1000)</f>
        <v>1.3331999999999997</v>
      </c>
      <c r="I77" s="13">
        <f>F77/12*G77</f>
        <v>111.1</v>
      </c>
    </row>
    <row r="78" spans="1:9" ht="18.75" customHeight="1">
      <c r="A78" s="32"/>
      <c r="B78" s="141" t="s">
        <v>156</v>
      </c>
      <c r="C78" s="122"/>
      <c r="D78" s="38"/>
      <c r="E78" s="17"/>
      <c r="F78" s="36"/>
      <c r="G78" s="36"/>
      <c r="H78" s="128"/>
      <c r="I78" s="72"/>
    </row>
    <row r="79" spans="1:9" ht="17.25" customHeight="1">
      <c r="A79" s="32">
        <v>24</v>
      </c>
      <c r="B79" s="38" t="s">
        <v>157</v>
      </c>
      <c r="C79" s="133" t="s">
        <v>158</v>
      </c>
      <c r="D79" s="38" t="s">
        <v>133</v>
      </c>
      <c r="E79" s="17">
        <v>3382.7</v>
      </c>
      <c r="F79" s="36">
        <f>SUM(E79*12)</f>
        <v>40592.399999999994</v>
      </c>
      <c r="G79" s="36">
        <v>2.37</v>
      </c>
      <c r="H79" s="128">
        <f t="shared" ref="H79" si="12">SUM(F79*G79/1000)</f>
        <v>96.203987999999995</v>
      </c>
      <c r="I79" s="13">
        <f>F79/12*G79</f>
        <v>8016.9989999999989</v>
      </c>
    </row>
    <row r="80" spans="1:9" hidden="1">
      <c r="A80" s="32"/>
      <c r="B80" s="142" t="s">
        <v>75</v>
      </c>
      <c r="C80" s="127"/>
      <c r="D80" s="38"/>
      <c r="E80" s="17"/>
      <c r="F80" s="36"/>
      <c r="G80" s="36" t="s">
        <v>119</v>
      </c>
      <c r="H80" s="128" t="s">
        <v>119</v>
      </c>
      <c r="I80" s="72"/>
    </row>
    <row r="81" spans="1:9" hidden="1">
      <c r="A81" s="32">
        <v>18</v>
      </c>
      <c r="B81" s="134" t="s">
        <v>117</v>
      </c>
      <c r="C81" s="129" t="s">
        <v>76</v>
      </c>
      <c r="D81" s="126"/>
      <c r="E81" s="135"/>
      <c r="F81" s="123">
        <v>0.1</v>
      </c>
      <c r="G81" s="123">
        <v>4144.28</v>
      </c>
      <c r="H81" s="128">
        <f t="shared" si="9"/>
        <v>0.41442800000000002</v>
      </c>
      <c r="I81" s="13">
        <f>G81</f>
        <v>4144.28</v>
      </c>
    </row>
    <row r="82" spans="1:9" ht="28.5" hidden="1">
      <c r="A82" s="32"/>
      <c r="B82" s="90" t="s">
        <v>90</v>
      </c>
      <c r="C82" s="129"/>
      <c r="D82" s="126"/>
      <c r="E82" s="135"/>
      <c r="F82" s="123"/>
      <c r="G82" s="123"/>
      <c r="H82" s="128"/>
      <c r="I82" s="13"/>
    </row>
    <row r="83" spans="1:9" hidden="1">
      <c r="A83" s="32"/>
      <c r="B83" s="104" t="s">
        <v>111</v>
      </c>
      <c r="C83" s="143"/>
      <c r="D83" s="144"/>
      <c r="E83" s="145"/>
      <c r="F83" s="37">
        <v>1</v>
      </c>
      <c r="G83" s="37">
        <v>12528</v>
      </c>
      <c r="H83" s="128">
        <f>G83*F83/1000</f>
        <v>12.528</v>
      </c>
      <c r="I83" s="13">
        <v>0</v>
      </c>
    </row>
    <row r="84" spans="1:9">
      <c r="A84" s="228" t="s">
        <v>130</v>
      </c>
      <c r="B84" s="229"/>
      <c r="C84" s="229"/>
      <c r="D84" s="229"/>
      <c r="E84" s="229"/>
      <c r="F84" s="229"/>
      <c r="G84" s="229"/>
      <c r="H84" s="229"/>
      <c r="I84" s="230"/>
    </row>
    <row r="85" spans="1:9" ht="18.75" customHeight="1">
      <c r="A85" s="32">
        <v>25</v>
      </c>
      <c r="B85" s="104" t="s">
        <v>113</v>
      </c>
      <c r="C85" s="127" t="s">
        <v>55</v>
      </c>
      <c r="D85" s="147"/>
      <c r="E85" s="36">
        <v>3382.7</v>
      </c>
      <c r="F85" s="36">
        <f>SUM(E85*12)</f>
        <v>40592.399999999994</v>
      </c>
      <c r="G85" s="36">
        <v>3.22</v>
      </c>
      <c r="H85" s="128">
        <f>SUM(F85*G85/1000)</f>
        <v>130.707528</v>
      </c>
      <c r="I85" s="13">
        <f>F85/12*G85</f>
        <v>10892.293999999998</v>
      </c>
    </row>
    <row r="86" spans="1:9" ht="36" customHeight="1">
      <c r="A86" s="32">
        <v>26</v>
      </c>
      <c r="B86" s="38" t="s">
        <v>77</v>
      </c>
      <c r="C86" s="127"/>
      <c r="D86" s="146"/>
      <c r="E86" s="106">
        <v>3382.7</v>
      </c>
      <c r="F86" s="36">
        <f>E86*12</f>
        <v>40592.399999999994</v>
      </c>
      <c r="G86" s="36">
        <v>3.64</v>
      </c>
      <c r="H86" s="128">
        <f>F86*G86/1000</f>
        <v>147.75633599999998</v>
      </c>
      <c r="I86" s="13">
        <f>F86/12*G86</f>
        <v>12313.027999999998</v>
      </c>
    </row>
    <row r="87" spans="1:9">
      <c r="A87" s="32"/>
      <c r="B87" s="39" t="s">
        <v>79</v>
      </c>
      <c r="C87" s="83"/>
      <c r="D87" s="82"/>
      <c r="E87" s="72"/>
      <c r="F87" s="72"/>
      <c r="G87" s="72"/>
      <c r="H87" s="84">
        <f>H86</f>
        <v>147.75633599999998</v>
      </c>
      <c r="I87" s="72">
        <f>I86+I85+I79+I77+I71+I64+I62+I55+I54+I53+I52+I51+I50+I49+I48+I47+I46+I33+I31+I30+I27+I21+I20+I18+I17+I16</f>
        <v>73525.117411333296</v>
      </c>
    </row>
    <row r="88" spans="1:9">
      <c r="A88" s="215" t="s">
        <v>60</v>
      </c>
      <c r="B88" s="216"/>
      <c r="C88" s="216"/>
      <c r="D88" s="216"/>
      <c r="E88" s="216"/>
      <c r="F88" s="216"/>
      <c r="G88" s="216"/>
      <c r="H88" s="216"/>
      <c r="I88" s="217"/>
    </row>
    <row r="89" spans="1:9" ht="33" customHeight="1">
      <c r="A89" s="32">
        <v>27</v>
      </c>
      <c r="B89" s="121" t="s">
        <v>195</v>
      </c>
      <c r="C89" s="122" t="s">
        <v>81</v>
      </c>
      <c r="D89" s="38" t="s">
        <v>257</v>
      </c>
      <c r="E89" s="36"/>
      <c r="F89" s="36">
        <v>4</v>
      </c>
      <c r="G89" s="36">
        <v>222.63</v>
      </c>
      <c r="H89" s="78">
        <f>SUM(F89*G89/1000)</f>
        <v>0.89051999999999998</v>
      </c>
      <c r="I89" s="85">
        <f>G89*2</f>
        <v>445.26</v>
      </c>
    </row>
    <row r="90" spans="1:9" ht="28.5" customHeight="1">
      <c r="A90" s="32">
        <v>28</v>
      </c>
      <c r="B90" s="121" t="s">
        <v>218</v>
      </c>
      <c r="C90" s="122" t="s">
        <v>164</v>
      </c>
      <c r="D90" s="146" t="s">
        <v>254</v>
      </c>
      <c r="E90" s="36"/>
      <c r="F90" s="36">
        <v>2.5</v>
      </c>
      <c r="G90" s="36">
        <v>1523.6</v>
      </c>
      <c r="H90" s="60"/>
      <c r="I90" s="85">
        <f>G90*1</f>
        <v>1523.6</v>
      </c>
    </row>
    <row r="91" spans="1:9" ht="30" customHeight="1">
      <c r="A91" s="32">
        <v>29</v>
      </c>
      <c r="B91" s="121" t="s">
        <v>198</v>
      </c>
      <c r="C91" s="122" t="s">
        <v>127</v>
      </c>
      <c r="D91" s="146" t="s">
        <v>255</v>
      </c>
      <c r="E91" s="36"/>
      <c r="F91" s="36">
        <v>4</v>
      </c>
      <c r="G91" s="36">
        <v>670.51</v>
      </c>
      <c r="H91" s="60"/>
      <c r="I91" s="85">
        <f>G91*2</f>
        <v>1341.02</v>
      </c>
    </row>
    <row r="92" spans="1:9" ht="28.5" customHeight="1">
      <c r="A92" s="32">
        <v>30</v>
      </c>
      <c r="B92" s="121" t="s">
        <v>222</v>
      </c>
      <c r="C92" s="122" t="s">
        <v>127</v>
      </c>
      <c r="D92" s="146" t="s">
        <v>256</v>
      </c>
      <c r="E92" s="36"/>
      <c r="F92" s="36">
        <v>3</v>
      </c>
      <c r="G92" s="36">
        <v>913.43</v>
      </c>
      <c r="H92" s="60"/>
      <c r="I92" s="85">
        <f>G92*1</f>
        <v>913.43</v>
      </c>
    </row>
    <row r="93" spans="1:9" ht="15.75" customHeight="1">
      <c r="A93" s="32"/>
      <c r="B93" s="44" t="s">
        <v>52</v>
      </c>
      <c r="C93" s="40"/>
      <c r="D93" s="47"/>
      <c r="E93" s="40">
        <v>1</v>
      </c>
      <c r="F93" s="40"/>
      <c r="G93" s="40"/>
      <c r="H93" s="40"/>
      <c r="I93" s="34">
        <f>SUM(I89:I92)</f>
        <v>4223.3100000000004</v>
      </c>
    </row>
    <row r="94" spans="1:9">
      <c r="A94" s="32"/>
      <c r="B94" s="46" t="s">
        <v>78</v>
      </c>
      <c r="C94" s="15"/>
      <c r="D94" s="15"/>
      <c r="E94" s="41"/>
      <c r="F94" s="41"/>
      <c r="G94" s="42"/>
      <c r="H94" s="42"/>
      <c r="I94" s="17">
        <v>0</v>
      </c>
    </row>
    <row r="95" spans="1:9">
      <c r="A95" s="48"/>
      <c r="B95" s="45" t="s">
        <v>138</v>
      </c>
      <c r="C95" s="35"/>
      <c r="D95" s="35"/>
      <c r="E95" s="35"/>
      <c r="F95" s="35"/>
      <c r="G95" s="35"/>
      <c r="H95" s="35"/>
      <c r="I95" s="43">
        <f>I87+I93</f>
        <v>77748.427411333294</v>
      </c>
    </row>
    <row r="96" spans="1:9" ht="15.75">
      <c r="A96" s="231" t="s">
        <v>258</v>
      </c>
      <c r="B96" s="231"/>
      <c r="C96" s="231"/>
      <c r="D96" s="231"/>
      <c r="E96" s="231"/>
      <c r="F96" s="231"/>
      <c r="G96" s="231"/>
      <c r="H96" s="231"/>
      <c r="I96" s="231"/>
    </row>
    <row r="97" spans="1:9" ht="15.75">
      <c r="A97" s="59"/>
      <c r="B97" s="232" t="s">
        <v>259</v>
      </c>
      <c r="C97" s="232"/>
      <c r="D97" s="232"/>
      <c r="E97" s="232"/>
      <c r="F97" s="232"/>
      <c r="G97" s="232"/>
      <c r="H97" s="64"/>
      <c r="I97" s="3"/>
    </row>
    <row r="98" spans="1:9">
      <c r="A98" s="180"/>
      <c r="B98" s="233" t="s">
        <v>6</v>
      </c>
      <c r="C98" s="233"/>
      <c r="D98" s="233"/>
      <c r="E98" s="233"/>
      <c r="F98" s="233"/>
      <c r="G98" s="233"/>
      <c r="H98" s="27"/>
      <c r="I98" s="50"/>
    </row>
    <row r="99" spans="1:9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5.75">
      <c r="A100" s="234" t="s">
        <v>7</v>
      </c>
      <c r="B100" s="234"/>
      <c r="C100" s="234"/>
      <c r="D100" s="234"/>
      <c r="E100" s="234"/>
      <c r="F100" s="234"/>
      <c r="G100" s="234"/>
      <c r="H100" s="234"/>
      <c r="I100" s="234"/>
    </row>
    <row r="101" spans="1:9" ht="15.75">
      <c r="A101" s="234" t="s">
        <v>8</v>
      </c>
      <c r="B101" s="234"/>
      <c r="C101" s="234"/>
      <c r="D101" s="234"/>
      <c r="E101" s="234"/>
      <c r="F101" s="234"/>
      <c r="G101" s="234"/>
      <c r="H101" s="234"/>
      <c r="I101" s="234"/>
    </row>
    <row r="102" spans="1:9" ht="15.75">
      <c r="A102" s="235" t="s">
        <v>61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>
      <c r="A103" s="11"/>
    </row>
    <row r="104" spans="1:9" ht="15.75">
      <c r="A104" s="236" t="s">
        <v>9</v>
      </c>
      <c r="B104" s="236"/>
      <c r="C104" s="236"/>
      <c r="D104" s="236"/>
      <c r="E104" s="236"/>
      <c r="F104" s="236"/>
      <c r="G104" s="236"/>
      <c r="H104" s="236"/>
      <c r="I104" s="236"/>
    </row>
    <row r="105" spans="1:9" ht="15.75">
      <c r="A105" s="4"/>
    </row>
    <row r="106" spans="1:9" ht="15.75">
      <c r="B106" s="178" t="s">
        <v>10</v>
      </c>
      <c r="C106" s="237" t="s">
        <v>131</v>
      </c>
      <c r="D106" s="237"/>
      <c r="E106" s="237"/>
      <c r="F106" s="62"/>
      <c r="I106" s="179"/>
    </row>
    <row r="107" spans="1:9">
      <c r="A107" s="176"/>
      <c r="C107" s="233" t="s">
        <v>11</v>
      </c>
      <c r="D107" s="233"/>
      <c r="E107" s="233"/>
      <c r="F107" s="27"/>
      <c r="I107" s="177" t="s">
        <v>12</v>
      </c>
    </row>
    <row r="108" spans="1:9" ht="15.75">
      <c r="A108" s="28"/>
      <c r="C108" s="12"/>
      <c r="D108" s="12"/>
      <c r="G108" s="12"/>
      <c r="H108" s="12"/>
    </row>
    <row r="109" spans="1:9" ht="15.75">
      <c r="B109" s="178" t="s">
        <v>13</v>
      </c>
      <c r="C109" s="238"/>
      <c r="D109" s="238"/>
      <c r="E109" s="238"/>
      <c r="F109" s="63"/>
      <c r="I109" s="179"/>
    </row>
    <row r="110" spans="1:9">
      <c r="A110" s="176"/>
      <c r="C110" s="227" t="s">
        <v>11</v>
      </c>
      <c r="D110" s="227"/>
      <c r="E110" s="227"/>
      <c r="F110" s="176"/>
      <c r="I110" s="177" t="s">
        <v>12</v>
      </c>
    </row>
    <row r="111" spans="1:9" ht="15.75">
      <c r="A111" s="4" t="s">
        <v>14</v>
      </c>
    </row>
    <row r="112" spans="1:9">
      <c r="A112" s="239" t="s">
        <v>15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41.25" customHeight="1">
      <c r="A113" s="240" t="s">
        <v>16</v>
      </c>
      <c r="B113" s="240"/>
      <c r="C113" s="240"/>
      <c r="D113" s="240"/>
      <c r="E113" s="240"/>
      <c r="F113" s="240"/>
      <c r="G113" s="240"/>
      <c r="H113" s="240"/>
      <c r="I113" s="240"/>
    </row>
    <row r="114" spans="1:9" ht="39.75" customHeight="1">
      <c r="A114" s="240" t="s">
        <v>17</v>
      </c>
      <c r="B114" s="240"/>
      <c r="C114" s="240"/>
      <c r="D114" s="240"/>
      <c r="E114" s="240"/>
      <c r="F114" s="240"/>
      <c r="G114" s="240"/>
      <c r="H114" s="240"/>
      <c r="I114" s="240"/>
    </row>
    <row r="115" spans="1:9" ht="36.75" customHeight="1">
      <c r="A115" s="240" t="s">
        <v>21</v>
      </c>
      <c r="B115" s="240"/>
      <c r="C115" s="240"/>
      <c r="D115" s="240"/>
      <c r="E115" s="240"/>
      <c r="F115" s="240"/>
      <c r="G115" s="240"/>
      <c r="H115" s="240"/>
      <c r="I115" s="240"/>
    </row>
    <row r="116" spans="1:9" ht="15.75">
      <c r="A116" s="240" t="s">
        <v>20</v>
      </c>
      <c r="B116" s="240"/>
      <c r="C116" s="240"/>
      <c r="D116" s="240"/>
      <c r="E116" s="240"/>
      <c r="F116" s="240"/>
      <c r="G116" s="240"/>
      <c r="H116" s="240"/>
      <c r="I116" s="240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6:I56"/>
    <mergeCell ref="A84:I84"/>
    <mergeCell ref="C110:E110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112:I112"/>
    <mergeCell ref="A113:I113"/>
    <mergeCell ref="A114:I114"/>
    <mergeCell ref="A115:I115"/>
    <mergeCell ref="A116:I11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2021-02-05T06:50:07Z</cp:lastPrinted>
  <dcterms:created xsi:type="dcterms:W3CDTF">2016-03-25T08:33:47Z</dcterms:created>
  <dcterms:modified xsi:type="dcterms:W3CDTF">2021-02-05T06:52:23Z</dcterms:modified>
</cp:coreProperties>
</file>