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8"/>
  </bookViews>
  <sheets>
    <sheet name="01.18" sheetId="17" r:id="rId1"/>
    <sheet name="02.18" sheetId="18" r:id="rId2"/>
    <sheet name="03.18" sheetId="19" r:id="rId3"/>
    <sheet name="04.18" sheetId="20" r:id="rId4"/>
    <sheet name="05.18" sheetId="21" r:id="rId5"/>
    <sheet name="06.18" sheetId="22" r:id="rId6"/>
    <sheet name="07.18" sheetId="23" r:id="rId7"/>
    <sheet name="08.18" sheetId="24" r:id="rId8"/>
    <sheet name="09.18" sheetId="25" r:id="rId9"/>
    <sheet name="10.18" sheetId="26" r:id="rId10"/>
    <sheet name="11.18" sheetId="28" r:id="rId11"/>
    <sheet name="12.18" sheetId="29" r:id="rId12"/>
  </sheets>
  <definedNames>
    <definedName name="_xlnm._FilterDatabase" localSheetId="0" hidden="1">'01.18'!$I$12:$I$62</definedName>
    <definedName name="_xlnm._FilterDatabase" localSheetId="1" hidden="1">'02.18'!$I$12:$I$62</definedName>
    <definedName name="_xlnm._FilterDatabase" localSheetId="2" hidden="1">'03.18'!$I$12:$I$63</definedName>
    <definedName name="_xlnm._FilterDatabase" localSheetId="3" hidden="1">'04.18'!$I$12:$I$63</definedName>
    <definedName name="_xlnm._FilterDatabase" localSheetId="4" hidden="1">'05.18'!$I$12:$I$63</definedName>
    <definedName name="_xlnm._FilterDatabase" localSheetId="5" hidden="1">'06.18'!$I$12:$I$62</definedName>
    <definedName name="_xlnm._FilterDatabase" localSheetId="6" hidden="1">'07.18'!$I$12:$I$62</definedName>
    <definedName name="_xlnm._FilterDatabase" localSheetId="7" hidden="1">'08.18'!$I$12:$I$62</definedName>
    <definedName name="_xlnm._FilterDatabase" localSheetId="8" hidden="1">'09.18'!$I$12:$I$62</definedName>
    <definedName name="_xlnm._FilterDatabase" localSheetId="9" hidden="1">'10.18'!$I$12:$I$63</definedName>
    <definedName name="_xlnm._FilterDatabase" localSheetId="10" hidden="1">'11.18'!$I$12:$I$63</definedName>
    <definedName name="_xlnm._FilterDatabase" localSheetId="11" hidden="1">'12.18'!$I$12:$I$63</definedName>
    <definedName name="_xlnm.Print_Area" localSheetId="0">'01.18'!$A$1:$I$116</definedName>
    <definedName name="_xlnm.Print_Area" localSheetId="1">'02.18'!$A$1:$I$120</definedName>
    <definedName name="_xlnm.Print_Area" localSheetId="2">'03.18'!$A$1:$I$116</definedName>
    <definedName name="_xlnm.Print_Area" localSheetId="3">'04.18'!$A$1:$I$139</definedName>
    <definedName name="_xlnm.Print_Area" localSheetId="4">'05.18'!$A$1:$I$153</definedName>
    <definedName name="_xlnm.Print_Area" localSheetId="5">'06.18'!$A$1:$I$129</definedName>
    <definedName name="_xlnm.Print_Area" localSheetId="6">'07.18'!$A$1:$I$111</definedName>
    <definedName name="_xlnm.Print_Area" localSheetId="7">'08.18'!$A$1:$I$126</definedName>
    <definedName name="_xlnm.Print_Area" localSheetId="8">'09.18'!$A$1:$I$115</definedName>
    <definedName name="_xlnm.Print_Area" localSheetId="9">'10.18'!$A$1:$I$123</definedName>
    <definedName name="_xlnm.Print_Area" localSheetId="10">'11.18'!$A$1:$I$131</definedName>
    <definedName name="_xlnm.Print_Area" localSheetId="11">'12.18'!$A$1:$I$116</definedName>
  </definedNames>
  <calcPr calcId="124519"/>
</workbook>
</file>

<file path=xl/calcChain.xml><?xml version="1.0" encoding="utf-8"?>
<calcChain xmlns="http://schemas.openxmlformats.org/spreadsheetml/2006/main">
  <c r="I85" i="29"/>
  <c r="I92"/>
  <c r="I91"/>
  <c r="I90"/>
  <c r="I89"/>
  <c r="I88"/>
  <c r="I87"/>
  <c r="F87"/>
  <c r="H87" s="1"/>
  <c r="I75"/>
  <c r="I59"/>
  <c r="I58"/>
  <c r="I44"/>
  <c r="I43"/>
  <c r="I107" i="28"/>
  <c r="I99"/>
  <c r="I106"/>
  <c r="I105"/>
  <c r="I85"/>
  <c r="I104"/>
  <c r="I103"/>
  <c r="I59"/>
  <c r="I102" l="1"/>
  <c r="I101"/>
  <c r="I100"/>
  <c r="I98"/>
  <c r="I97"/>
  <c r="I96"/>
  <c r="I95"/>
  <c r="I94"/>
  <c r="I93"/>
  <c r="I92"/>
  <c r="I91"/>
  <c r="I90"/>
  <c r="I89"/>
  <c r="I88"/>
  <c r="I87"/>
  <c r="I44"/>
  <c r="I100" i="26" l="1"/>
  <c r="I99"/>
  <c r="I85"/>
  <c r="I59"/>
  <c r="I98"/>
  <c r="I97"/>
  <c r="I96"/>
  <c r="I95"/>
  <c r="I94"/>
  <c r="I93"/>
  <c r="I92"/>
  <c r="I91"/>
  <c r="I90"/>
  <c r="I89"/>
  <c r="I88"/>
  <c r="I87"/>
  <c r="I64"/>
  <c r="I91" i="25"/>
  <c r="I90"/>
  <c r="I89"/>
  <c r="I88"/>
  <c r="I87"/>
  <c r="I86"/>
  <c r="F46"/>
  <c r="I65"/>
  <c r="I102" i="24"/>
  <c r="I101"/>
  <c r="I100"/>
  <c r="I99"/>
  <c r="I98"/>
  <c r="I97"/>
  <c r="I65"/>
  <c r="I96"/>
  <c r="I95"/>
  <c r="I92" l="1"/>
  <c r="I91"/>
  <c r="I90"/>
  <c r="I89"/>
  <c r="I88"/>
  <c r="I87"/>
  <c r="I86"/>
  <c r="I103" s="1"/>
  <c r="I74"/>
  <c r="I58" i="19" l="1"/>
  <c r="I84" i="18"/>
  <c r="I58" i="17"/>
  <c r="I87" i="23"/>
  <c r="I86"/>
  <c r="I109" i="21"/>
  <c r="I106" i="22" l="1"/>
  <c r="I94"/>
  <c r="I93"/>
  <c r="I84"/>
  <c r="I105"/>
  <c r="I104"/>
  <c r="I103"/>
  <c r="I102"/>
  <c r="I101"/>
  <c r="I100"/>
  <c r="I99"/>
  <c r="I98"/>
  <c r="I97"/>
  <c r="I96"/>
  <c r="I95"/>
  <c r="I92"/>
  <c r="I91"/>
  <c r="I90"/>
  <c r="I89"/>
  <c r="I88"/>
  <c r="I87"/>
  <c r="I86"/>
  <c r="I85" i="21"/>
  <c r="I40"/>
  <c r="I62"/>
  <c r="I130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8"/>
  <c r="I107"/>
  <c r="I106"/>
  <c r="I105"/>
  <c r="I89"/>
  <c r="I88"/>
  <c r="I87"/>
  <c r="I59"/>
  <c r="I89" i="20" l="1"/>
  <c r="I54"/>
  <c r="I53"/>
  <c r="I52"/>
  <c r="I116"/>
  <c r="I115"/>
  <c r="I114"/>
  <c r="I58"/>
  <c r="I62" l="1"/>
  <c r="I109"/>
  <c r="I59"/>
  <c r="I59" i="19"/>
  <c r="I113" i="20"/>
  <c r="I112"/>
  <c r="I111"/>
  <c r="I110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85"/>
  <c r="I83"/>
  <c r="I44"/>
  <c r="I92" i="19"/>
  <c r="I89"/>
  <c r="I90"/>
  <c r="I91"/>
  <c r="I88"/>
  <c r="H92"/>
  <c r="H91"/>
  <c r="H90"/>
  <c r="H89"/>
  <c r="H88"/>
  <c r="I87"/>
  <c r="H87"/>
  <c r="I44"/>
  <c r="I44" i="18"/>
  <c r="I43"/>
  <c r="I44" i="17"/>
  <c r="I43"/>
  <c r="I96" i="18" l="1"/>
  <c r="I94"/>
  <c r="I91"/>
  <c r="I92"/>
  <c r="I93"/>
  <c r="I95"/>
  <c r="I90"/>
  <c r="F96"/>
  <c r="H96" s="1"/>
  <c r="H95"/>
  <c r="H94"/>
  <c r="H93"/>
  <c r="H92"/>
  <c r="H91"/>
  <c r="H90"/>
  <c r="I87"/>
  <c r="I88"/>
  <c r="I89"/>
  <c r="I86"/>
  <c r="H89"/>
  <c r="H88"/>
  <c r="H87"/>
  <c r="H86"/>
  <c r="I74"/>
  <c r="I93" i="17"/>
  <c r="I92"/>
  <c r="H92"/>
  <c r="I91"/>
  <c r="H91"/>
  <c r="I90"/>
  <c r="H90"/>
  <c r="I89"/>
  <c r="H89"/>
  <c r="I88"/>
  <c r="H88"/>
  <c r="I87"/>
  <c r="H87"/>
  <c r="I86"/>
  <c r="H86"/>
  <c r="I84"/>
  <c r="I65"/>
  <c r="H61"/>
  <c r="H90" i="29" l="1"/>
  <c r="H89"/>
  <c r="H88"/>
  <c r="E84"/>
  <c r="F84" s="1"/>
  <c r="F83"/>
  <c r="I83" s="1"/>
  <c r="H81"/>
  <c r="H79"/>
  <c r="H77"/>
  <c r="F76"/>
  <c r="H76" s="1"/>
  <c r="F73"/>
  <c r="I73" s="1"/>
  <c r="F72"/>
  <c r="H72" s="1"/>
  <c r="F71"/>
  <c r="I71" s="1"/>
  <c r="F70"/>
  <c r="H70" s="1"/>
  <c r="F69"/>
  <c r="I69" s="1"/>
  <c r="F68"/>
  <c r="H68" s="1"/>
  <c r="H67"/>
  <c r="I66"/>
  <c r="H66"/>
  <c r="I62"/>
  <c r="H62"/>
  <c r="F61"/>
  <c r="H61" s="1"/>
  <c r="F58"/>
  <c r="H58" s="1"/>
  <c r="I55"/>
  <c r="F55"/>
  <c r="H55" s="1"/>
  <c r="I54"/>
  <c r="H54"/>
  <c r="F53"/>
  <c r="H53" s="1"/>
  <c r="F52"/>
  <c r="I52" s="1"/>
  <c r="F51"/>
  <c r="H51" s="1"/>
  <c r="F50"/>
  <c r="H50" s="1"/>
  <c r="F49"/>
  <c r="H49" s="1"/>
  <c r="F48"/>
  <c r="H48" s="1"/>
  <c r="F47"/>
  <c r="H47" s="1"/>
  <c r="F46"/>
  <c r="H46" s="1"/>
  <c r="H44"/>
  <c r="F43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F99" i="28"/>
  <c r="H99" s="1"/>
  <c r="H89"/>
  <c r="H88"/>
  <c r="F87"/>
  <c r="H87" s="1"/>
  <c r="E84"/>
  <c r="F84" s="1"/>
  <c r="F83"/>
  <c r="I83" s="1"/>
  <c r="H81"/>
  <c r="H79"/>
  <c r="H77"/>
  <c r="F76"/>
  <c r="H76" s="1"/>
  <c r="I75"/>
  <c r="F73"/>
  <c r="I73" s="1"/>
  <c r="F72"/>
  <c r="H72" s="1"/>
  <c r="F71"/>
  <c r="I71" s="1"/>
  <c r="F70"/>
  <c r="H70" s="1"/>
  <c r="F69"/>
  <c r="I69" s="1"/>
  <c r="F68"/>
  <c r="H68" s="1"/>
  <c r="H67"/>
  <c r="I66"/>
  <c r="H66"/>
  <c r="I62"/>
  <c r="H62"/>
  <c r="F61"/>
  <c r="H61" s="1"/>
  <c r="F58"/>
  <c r="H58" s="1"/>
  <c r="I55"/>
  <c r="F55"/>
  <c r="H55" s="1"/>
  <c r="I54"/>
  <c r="H54"/>
  <c r="F53"/>
  <c r="H53" s="1"/>
  <c r="F52"/>
  <c r="I52" s="1"/>
  <c r="F51"/>
  <c r="H51" s="1"/>
  <c r="F50"/>
  <c r="H50" s="1"/>
  <c r="F49"/>
  <c r="H49" s="1"/>
  <c r="F48"/>
  <c r="H48" s="1"/>
  <c r="F47"/>
  <c r="H47" s="1"/>
  <c r="F46"/>
  <c r="H46" s="1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H98" i="26"/>
  <c r="H97"/>
  <c r="H96"/>
  <c r="H95"/>
  <c r="H94"/>
  <c r="H93"/>
  <c r="H92"/>
  <c r="H91"/>
  <c r="H90"/>
  <c r="H89"/>
  <c r="H88"/>
  <c r="H87"/>
  <c r="I75"/>
  <c r="I66"/>
  <c r="F99" i="20"/>
  <c r="H99" s="1"/>
  <c r="H18" i="29" l="1"/>
  <c r="I18"/>
  <c r="I84"/>
  <c r="H84"/>
  <c r="H16"/>
  <c r="I17"/>
  <c r="H20"/>
  <c r="I21"/>
  <c r="I26"/>
  <c r="H27"/>
  <c r="I30"/>
  <c r="H31"/>
  <c r="I32"/>
  <c r="H39"/>
  <c r="H41"/>
  <c r="I42"/>
  <c r="H43"/>
  <c r="I51"/>
  <c r="H52"/>
  <c r="I53"/>
  <c r="I68"/>
  <c r="H69"/>
  <c r="I70"/>
  <c r="H71"/>
  <c r="I72"/>
  <c r="H73"/>
  <c r="H83"/>
  <c r="I84" i="28"/>
  <c r="H84"/>
  <c r="H18"/>
  <c r="I18"/>
  <c r="H16"/>
  <c r="I17"/>
  <c r="H20"/>
  <c r="I21"/>
  <c r="I26"/>
  <c r="H27"/>
  <c r="I30"/>
  <c r="H31"/>
  <c r="I32"/>
  <c r="H39"/>
  <c r="H41"/>
  <c r="I42"/>
  <c r="H43"/>
  <c r="I51"/>
  <c r="H52"/>
  <c r="I53"/>
  <c r="I58"/>
  <c r="I68"/>
  <c r="H69"/>
  <c r="I70"/>
  <c r="H71"/>
  <c r="I72"/>
  <c r="H73"/>
  <c r="H83"/>
  <c r="H80" i="29" l="1"/>
  <c r="I94"/>
  <c r="H80" i="28"/>
  <c r="I109"/>
  <c r="H89" i="25" l="1"/>
  <c r="H88"/>
  <c r="H87"/>
  <c r="F86"/>
  <c r="H86" s="1"/>
  <c r="H94" i="24"/>
  <c r="H93"/>
  <c r="H92"/>
  <c r="H89"/>
  <c r="H88"/>
  <c r="H87"/>
  <c r="F86"/>
  <c r="H86" s="1"/>
  <c r="H87" i="23"/>
  <c r="H86"/>
  <c r="H101" i="22"/>
  <c r="F89"/>
  <c r="H89" s="1"/>
  <c r="H88"/>
  <c r="H87"/>
  <c r="F86"/>
  <c r="H86" s="1"/>
  <c r="I65"/>
  <c r="F89" i="21"/>
  <c r="H89" s="1"/>
  <c r="H88"/>
  <c r="H87"/>
  <c r="F98" i="20"/>
  <c r="H98" s="1"/>
  <c r="H97"/>
  <c r="H96"/>
  <c r="F95"/>
  <c r="H95" s="1"/>
  <c r="H94"/>
  <c r="H93"/>
  <c r="H92"/>
  <c r="F91"/>
  <c r="H91" s="1"/>
  <c r="I66" i="19"/>
  <c r="I54" i="26" l="1"/>
  <c r="E84"/>
  <c r="F84" s="1"/>
  <c r="F83"/>
  <c r="H83" s="1"/>
  <c r="H81"/>
  <c r="H79"/>
  <c r="H77"/>
  <c r="F76"/>
  <c r="H76" s="1"/>
  <c r="F73"/>
  <c r="I73" s="1"/>
  <c r="F72"/>
  <c r="H72" s="1"/>
  <c r="F71"/>
  <c r="I71" s="1"/>
  <c r="F70"/>
  <c r="H70" s="1"/>
  <c r="F69"/>
  <c r="I69" s="1"/>
  <c r="F68"/>
  <c r="H68" s="1"/>
  <c r="H67"/>
  <c r="H66"/>
  <c r="I62"/>
  <c r="H62"/>
  <c r="F61"/>
  <c r="H61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I17" s="1"/>
  <c r="F16"/>
  <c r="I16" s="1"/>
  <c r="E83" i="25"/>
  <c r="F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H46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H71" i="26" l="1"/>
  <c r="H17"/>
  <c r="H69"/>
  <c r="H73"/>
  <c r="I52"/>
  <c r="I53"/>
  <c r="H18"/>
  <c r="I18"/>
  <c r="H84"/>
  <c r="I84"/>
  <c r="H16"/>
  <c r="H20"/>
  <c r="I21"/>
  <c r="I26"/>
  <c r="H27"/>
  <c r="I30"/>
  <c r="H31"/>
  <c r="I32"/>
  <c r="H39"/>
  <c r="H41"/>
  <c r="I42"/>
  <c r="H43"/>
  <c r="I51"/>
  <c r="H58"/>
  <c r="H80" s="1"/>
  <c r="I68"/>
  <c r="I70"/>
  <c r="I72"/>
  <c r="I83"/>
  <c r="I49" i="25"/>
  <c r="I47"/>
  <c r="I50"/>
  <c r="I48"/>
  <c r="I46"/>
  <c r="H70"/>
  <c r="H68"/>
  <c r="H72"/>
  <c r="H18"/>
  <c r="I18"/>
  <c r="H83"/>
  <c r="I83"/>
  <c r="H16"/>
  <c r="I17"/>
  <c r="H20"/>
  <c r="I21"/>
  <c r="I26"/>
  <c r="H27"/>
  <c r="I30"/>
  <c r="H31"/>
  <c r="I32"/>
  <c r="H39"/>
  <c r="H41"/>
  <c r="I42"/>
  <c r="H43"/>
  <c r="I51"/>
  <c r="H58"/>
  <c r="H79" s="1"/>
  <c r="I67"/>
  <c r="I69"/>
  <c r="I71"/>
  <c r="I82"/>
  <c r="E83" i="24"/>
  <c r="F83" s="1"/>
  <c r="H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I88" i="23"/>
  <c r="I80"/>
  <c r="I65"/>
  <c r="E83"/>
  <c r="F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I17" s="1"/>
  <c r="F16"/>
  <c r="I16" s="1"/>
  <c r="I74" i="22"/>
  <c r="E83"/>
  <c r="F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84" i="25" l="1"/>
  <c r="I102" i="26"/>
  <c r="I93" i="25"/>
  <c r="H16" i="24"/>
  <c r="H70"/>
  <c r="H20"/>
  <c r="H27"/>
  <c r="H39"/>
  <c r="H68"/>
  <c r="H72"/>
  <c r="H58"/>
  <c r="H41"/>
  <c r="H43"/>
  <c r="H31"/>
  <c r="I17"/>
  <c r="I18"/>
  <c r="I21"/>
  <c r="I26"/>
  <c r="I30"/>
  <c r="I32"/>
  <c r="I42"/>
  <c r="I51"/>
  <c r="I67"/>
  <c r="I69"/>
  <c r="I71"/>
  <c r="I82"/>
  <c r="I83"/>
  <c r="H17" i="23"/>
  <c r="H72"/>
  <c r="H18"/>
  <c r="I18"/>
  <c r="I84" s="1"/>
  <c r="H83"/>
  <c r="I83"/>
  <c r="H16"/>
  <c r="H20"/>
  <c r="I21"/>
  <c r="I26"/>
  <c r="H27"/>
  <c r="I30"/>
  <c r="H31"/>
  <c r="I32"/>
  <c r="H39"/>
  <c r="H41"/>
  <c r="I42"/>
  <c r="H43"/>
  <c r="I51"/>
  <c r="H58"/>
  <c r="I67"/>
  <c r="H68"/>
  <c r="I69"/>
  <c r="H70"/>
  <c r="I71"/>
  <c r="I82"/>
  <c r="H72" i="22"/>
  <c r="H70"/>
  <c r="H83"/>
  <c r="I83"/>
  <c r="H18"/>
  <c r="I18"/>
  <c r="H16"/>
  <c r="I17"/>
  <c r="H20"/>
  <c r="I21"/>
  <c r="I26"/>
  <c r="H27"/>
  <c r="I30"/>
  <c r="H31"/>
  <c r="I32"/>
  <c r="H39"/>
  <c r="H41"/>
  <c r="I42"/>
  <c r="H43"/>
  <c r="I51"/>
  <c r="H58"/>
  <c r="I67"/>
  <c r="H68"/>
  <c r="I69"/>
  <c r="I71"/>
  <c r="I82"/>
  <c r="I84" i="24" l="1"/>
  <c r="I105" s="1"/>
  <c r="I108" i="22"/>
  <c r="H79" i="24"/>
  <c r="I90" i="23"/>
  <c r="H79"/>
  <c r="H79" i="22"/>
  <c r="I54" i="21" l="1"/>
  <c r="I24"/>
  <c r="H104"/>
  <c r="H103"/>
  <c r="H102"/>
  <c r="H101"/>
  <c r="H100"/>
  <c r="H99"/>
  <c r="F98"/>
  <c r="H98" s="1"/>
  <c r="H97"/>
  <c r="H96"/>
  <c r="F95"/>
  <c r="H95" s="1"/>
  <c r="F94"/>
  <c r="H94" s="1"/>
  <c r="F93"/>
  <c r="H93" s="1"/>
  <c r="H92"/>
  <c r="H91"/>
  <c r="H90"/>
  <c r="E84"/>
  <c r="F84" s="1"/>
  <c r="F83"/>
  <c r="H83" s="1"/>
  <c r="H81"/>
  <c r="H79"/>
  <c r="H77"/>
  <c r="F76"/>
  <c r="H76" s="1"/>
  <c r="F73"/>
  <c r="I73" s="1"/>
  <c r="F72"/>
  <c r="H72" s="1"/>
  <c r="F71"/>
  <c r="I71" s="1"/>
  <c r="F70"/>
  <c r="H70" s="1"/>
  <c r="F69"/>
  <c r="I69" s="1"/>
  <c r="F68"/>
  <c r="H68" s="1"/>
  <c r="H67"/>
  <c r="H66"/>
  <c r="H62"/>
  <c r="F61"/>
  <c r="H61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E18"/>
  <c r="F18" s="1"/>
  <c r="F17"/>
  <c r="H17" s="1"/>
  <c r="F16"/>
  <c r="I16" s="1"/>
  <c r="E88" i="20"/>
  <c r="F88" s="1"/>
  <c r="F87"/>
  <c r="H87" s="1"/>
  <c r="H81"/>
  <c r="H79"/>
  <c r="H77"/>
  <c r="F76"/>
  <c r="H76" s="1"/>
  <c r="F73"/>
  <c r="I73" s="1"/>
  <c r="F72"/>
  <c r="H72" s="1"/>
  <c r="F71"/>
  <c r="I71" s="1"/>
  <c r="F70"/>
  <c r="H70" s="1"/>
  <c r="F69"/>
  <c r="I69" s="1"/>
  <c r="F68"/>
  <c r="H68" s="1"/>
  <c r="H67"/>
  <c r="H66"/>
  <c r="H62"/>
  <c r="F61"/>
  <c r="H61" s="1"/>
  <c r="F58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I17" s="1"/>
  <c r="F16"/>
  <c r="I16" s="1"/>
  <c r="I93" i="19"/>
  <c r="E84"/>
  <c r="F84" s="1"/>
  <c r="F83"/>
  <c r="H83" s="1"/>
  <c r="H81"/>
  <c r="H79"/>
  <c r="H77"/>
  <c r="F76"/>
  <c r="H76" s="1"/>
  <c r="F73"/>
  <c r="I73" s="1"/>
  <c r="F72"/>
  <c r="H72" s="1"/>
  <c r="F71"/>
  <c r="I71" s="1"/>
  <c r="F70"/>
  <c r="H70" s="1"/>
  <c r="F69"/>
  <c r="I69" s="1"/>
  <c r="F68"/>
  <c r="H68" s="1"/>
  <c r="H67"/>
  <c r="H66"/>
  <c r="I62"/>
  <c r="H62"/>
  <c r="F61"/>
  <c r="H61" s="1"/>
  <c r="F58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97" i="18"/>
  <c r="E83"/>
  <c r="F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H44"/>
  <c r="F43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H19" i="21" l="1"/>
  <c r="I19"/>
  <c r="I22"/>
  <c r="I49"/>
  <c r="I47"/>
  <c r="I50"/>
  <c r="I25"/>
  <c r="I23"/>
  <c r="I48"/>
  <c r="I46"/>
  <c r="I52"/>
  <c r="I53"/>
  <c r="H84"/>
  <c r="I84"/>
  <c r="H18"/>
  <c r="I18"/>
  <c r="H16"/>
  <c r="I17"/>
  <c r="H20"/>
  <c r="I21"/>
  <c r="I26"/>
  <c r="H27"/>
  <c r="I30"/>
  <c r="H31"/>
  <c r="I32"/>
  <c r="H39"/>
  <c r="H41"/>
  <c r="I42"/>
  <c r="H43"/>
  <c r="I51"/>
  <c r="H58"/>
  <c r="I68"/>
  <c r="H69"/>
  <c r="I70"/>
  <c r="H71"/>
  <c r="I72"/>
  <c r="H73"/>
  <c r="I83"/>
  <c r="H71" i="20"/>
  <c r="H69"/>
  <c r="H73"/>
  <c r="H17"/>
  <c r="H18"/>
  <c r="I18"/>
  <c r="H88"/>
  <c r="I88"/>
  <c r="H16"/>
  <c r="H20"/>
  <c r="I21"/>
  <c r="I26"/>
  <c r="H27"/>
  <c r="I30"/>
  <c r="H31"/>
  <c r="I32"/>
  <c r="H39"/>
  <c r="H41"/>
  <c r="I42"/>
  <c r="H43"/>
  <c r="I51"/>
  <c r="H58"/>
  <c r="I68"/>
  <c r="I70"/>
  <c r="I72"/>
  <c r="I87"/>
  <c r="H18" i="19"/>
  <c r="I18"/>
  <c r="H84"/>
  <c r="I84"/>
  <c r="H16"/>
  <c r="I17"/>
  <c r="H20"/>
  <c r="I21"/>
  <c r="I26"/>
  <c r="H27"/>
  <c r="I30"/>
  <c r="H31"/>
  <c r="I32"/>
  <c r="H39"/>
  <c r="H41"/>
  <c r="I42"/>
  <c r="H43"/>
  <c r="I51"/>
  <c r="H58"/>
  <c r="I68"/>
  <c r="H69"/>
  <c r="I70"/>
  <c r="H71"/>
  <c r="I72"/>
  <c r="H73"/>
  <c r="I83"/>
  <c r="H70" i="18"/>
  <c r="H68"/>
  <c r="H72"/>
  <c r="H18"/>
  <c r="I18"/>
  <c r="H83"/>
  <c r="I83"/>
  <c r="H16"/>
  <c r="I17"/>
  <c r="H20"/>
  <c r="I21"/>
  <c r="I26"/>
  <c r="H27"/>
  <c r="I30"/>
  <c r="H31"/>
  <c r="I32"/>
  <c r="H39"/>
  <c r="H41"/>
  <c r="I42"/>
  <c r="H43"/>
  <c r="I51"/>
  <c r="H58"/>
  <c r="H79" s="1"/>
  <c r="I67"/>
  <c r="I69"/>
  <c r="I71"/>
  <c r="I82"/>
  <c r="I132" i="21" l="1"/>
  <c r="H80" i="20"/>
  <c r="I85" i="19"/>
  <c r="H80" i="21"/>
  <c r="I118" i="20"/>
  <c r="I95" i="19"/>
  <c r="H80"/>
  <c r="I99" i="18"/>
  <c r="I33" i="17" l="1"/>
  <c r="E83"/>
  <c r="F83" s="1"/>
  <c r="F82"/>
  <c r="I82" s="1"/>
  <c r="H80"/>
  <c r="H78"/>
  <c r="H76"/>
  <c r="F75"/>
  <c r="H75" s="1"/>
  <c r="F72"/>
  <c r="H72" s="1"/>
  <c r="F71"/>
  <c r="H71" s="1"/>
  <c r="F70"/>
  <c r="H70" s="1"/>
  <c r="F69"/>
  <c r="H69" s="1"/>
  <c r="F68"/>
  <c r="H68" s="1"/>
  <c r="F67"/>
  <c r="H67" s="1"/>
  <c r="H66"/>
  <c r="H65"/>
  <c r="I61"/>
  <c r="F60"/>
  <c r="H60" s="1"/>
  <c r="F58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H44"/>
  <c r="F43"/>
  <c r="F42"/>
  <c r="H42" s="1"/>
  <c r="F41"/>
  <c r="I41" s="1"/>
  <c r="H40"/>
  <c r="F39"/>
  <c r="I39" s="1"/>
  <c r="I38"/>
  <c r="H38"/>
  <c r="F27"/>
  <c r="I27" s="1"/>
  <c r="H36"/>
  <c r="H35"/>
  <c r="F26"/>
  <c r="H26" s="1"/>
  <c r="H34"/>
  <c r="F34"/>
  <c r="I34" s="1"/>
  <c r="F32"/>
  <c r="H32" s="1"/>
  <c r="F31"/>
  <c r="H31" s="1"/>
  <c r="F30"/>
  <c r="H30" s="1"/>
  <c r="F25"/>
  <c r="H25" s="1"/>
  <c r="H24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72" l="1"/>
  <c r="I70"/>
  <c r="I68"/>
  <c r="I67"/>
  <c r="I71"/>
  <c r="I69"/>
  <c r="I30"/>
  <c r="I32"/>
  <c r="I31"/>
  <c r="H82"/>
  <c r="H27"/>
  <c r="H39"/>
  <c r="I18"/>
  <c r="H18"/>
  <c r="I83"/>
  <c r="H83"/>
  <c r="I16"/>
  <c r="H17"/>
  <c r="I20"/>
  <c r="H21"/>
  <c r="I26"/>
  <c r="H41"/>
  <c r="I42"/>
  <c r="H43"/>
  <c r="H51"/>
  <c r="H58"/>
  <c r="H79" s="1"/>
  <c r="I95" l="1"/>
</calcChain>
</file>

<file path=xl/sharedStrings.xml><?xml version="1.0" encoding="utf-8"?>
<sst xmlns="http://schemas.openxmlformats.org/spreadsheetml/2006/main" count="2897" uniqueCount="347">
  <si>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</si>
  <si>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</si>
  <si>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</si>
  <si>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</si>
  <si>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</si>
  <si>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</si>
  <si>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</si>
  <si>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</si>
  <si>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</si>
  <si>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</si>
  <si>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</si>
  <si>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</si>
  <si>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</si>
  <si>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</si>
  <si>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</si>
  <si>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</si>
  <si>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</si>
  <si>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</si>
  <si>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</si>
  <si>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</si>
  <si>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</si>
  <si>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</si>
  <si>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</si>
  <si>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</si>
  <si>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</si>
  <si>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</si>
  <si>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</si>
  <si>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</si>
  <si>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</si>
  <si>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</si>
  <si>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</si>
  <si>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</si>
  <si>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10 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</si>
  <si>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</si>
  <si>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</si>
  <si>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</si>
  <si>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</si>
  <si>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</si>
  <si>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</si>
  <si>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</si>
  <si>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</si>
  <si>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</si>
  <si>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</si>
  <si>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</si>
  <si>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</si>
  <si>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</si>
  <si>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</si>
  <si>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</si>
  <si>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</si>
  <si>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</si>
  <si>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</si>
  <si>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</si>
  <si>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</si>
  <si>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</si>
  <si>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</si>
  <si>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</si>
  <si>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</si>
  <si>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</si>
  <si>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</si>
  <si>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</si>
  <si>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</si>
  <si>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</si>
  <si>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</si>
  <si>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</si>
  <si>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</si>
  <si>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</si>
  <si>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</si>
  <si>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</si>
  <si>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</si>
  <si>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</si>
  <si>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</si>
  <si>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</si>
  <si>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</si>
  <si>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</si>
  <si>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</si>
  <si>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</si>
  <si>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</si>
  <si>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</si>
  <si>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</si>
  <si>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</si>
  <si>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</si>
  <si>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</si>
  <si>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</si>
  <si>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</si>
  <si>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</si>
  <si>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</si>
  <si>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</si>
  <si>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</si>
  <si>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</si>
  <si>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</si>
  <si>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</si>
  <si>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ООО «Жилсервис»</t>
  </si>
  <si>
    <t>Влажное подметание лестничных клеток 1 этажа</t>
  </si>
  <si>
    <t>Работа автовышки</t>
  </si>
  <si>
    <t>Замена ламп ДРЛ</t>
  </si>
  <si>
    <t>генеральный директор Куканов Ю.Л.</t>
  </si>
  <si>
    <t>Прочистка засоров ГВС, XВC</t>
  </si>
  <si>
    <t>3м</t>
  </si>
  <si>
    <t xml:space="preserve">Смена сосков у трубопроводов диаметром до 20 мм </t>
  </si>
  <si>
    <t>1 шт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</si>
  <si>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</si>
  <si>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</si>
  <si>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</si>
  <si>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Дератизация</t>
  </si>
  <si>
    <t>10 м2</t>
  </si>
  <si>
    <t>Влажная протирка перил</t>
  </si>
  <si>
    <t>Влажная протирка почтовых ящиков</t>
  </si>
  <si>
    <t>маш/час</t>
  </si>
  <si>
    <t>Влажная протирка подоконников</t>
  </si>
  <si>
    <t>Влажная протирка отопительных приборов</t>
  </si>
  <si>
    <t>1 раз в 2 месяца</t>
  </si>
  <si>
    <t>100м2</t>
  </si>
  <si>
    <t>156 раз в год</t>
  </si>
  <si>
    <t xml:space="preserve">24 раза в год 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</si>
  <si>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</si>
  <si>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</si>
  <si>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</si>
  <si>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</si>
  <si>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</si>
  <si>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</si>
  <si>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</si>
  <si>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</si>
  <si>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</si>
  <si>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</si>
  <si>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30 раз за сезон</t>
  </si>
  <si>
    <t>1м3</t>
  </si>
  <si>
    <t>155 раз за сезон</t>
  </si>
  <si>
    <t>35 раз за сезон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</si>
  <si>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</si>
  <si>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</si>
  <si>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</si>
  <si>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</si>
  <si>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</si>
  <si>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100м3</t>
  </si>
  <si>
    <t>1000м3</t>
  </si>
  <si>
    <t>Вода для промывки СО</t>
  </si>
  <si>
    <t>Спуск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</si>
  <si>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</si>
  <si>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</si>
  <si>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</si>
  <si>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</si>
  <si>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</si>
  <si>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№13 по ул.Нефтяников пгт.Ярега
</t>
  </si>
  <si>
    <t>Осмотр шиферной кровли</t>
  </si>
  <si>
    <t>Лестничная клетка</t>
  </si>
  <si>
    <t>Установка пружин на входных дверях</t>
  </si>
  <si>
    <t>Смена трубопроводов на металл-полимерные трубы д=20 (без учёта материала)</t>
  </si>
  <si>
    <t>Смена вентиля диаметром до 32 мм (без стоимости материалов)</t>
  </si>
  <si>
    <t>Прогрев XВC</t>
  </si>
  <si>
    <t>III. Проведение технических осмотров</t>
  </si>
  <si>
    <t>IV. Содержание общего имущества МКД</t>
  </si>
  <si>
    <t>V. Прочие услуги</t>
  </si>
  <si>
    <r>
      <t xml:space="preserve">    Собственники помещений в многоквартирном доме,  расположенном по адресу:  пгт.Ярега, ул.Нефтяников, д.13,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28.02.2014г. стороны,  и ООО «Жилсервис»,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</si>
  <si>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АКТ №1</t>
  </si>
  <si>
    <t>Очистка урн от мусора</t>
  </si>
  <si>
    <t>Сдвигание снега в дни снегопада (тротуар, крыльца)</t>
  </si>
  <si>
    <t>Смена тройника 25</t>
  </si>
  <si>
    <t>Внеплановый осмотр элекгросетей, арматуры и электрооборудования на чердаках и подвалах</t>
  </si>
  <si>
    <t>Внеплановый осмотр вводных электрических щитков</t>
  </si>
  <si>
    <t>100шт</t>
  </si>
  <si>
    <t>Внеплановый осмотр электросетей, армазуры и электрооборудования на лестничных клетках</t>
  </si>
  <si>
    <t>Ремонт венткороба</t>
  </si>
  <si>
    <t>тыс.руб.</t>
  </si>
  <si>
    <t>Ремонт оголовков</t>
  </si>
  <si>
    <t>Ремонт отдельных мест покрытия из асбоцементных листов обыкновенного профиля</t>
  </si>
  <si>
    <t>Смена внутренних трубопроводов из стальных труб диаметром до 20 мм (без стоимости материалов)</t>
  </si>
  <si>
    <t>104 раза в год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</si>
  <si>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</si>
  <si>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</si>
  <si>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</si>
  <si>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</si>
  <si>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</si>
  <si>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</si>
  <si>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</si>
  <si>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</si>
  <si>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</si>
  <si>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</si>
  <si>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</si>
  <si>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</si>
  <si>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</si>
  <si>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t>Итого месячные затраты</t>
  </si>
  <si>
    <t>Смена центр.вентилей диаметром до 32 мм (без учёта материала и оборудования)</t>
  </si>
  <si>
    <t>Смена трубопроводов на полипропиленовые трубы PN25 диаметром 20мм</t>
  </si>
  <si>
    <t>Смена трубопроводов на полипропиленовые трубы PN25 диаметром 25мм</t>
  </si>
  <si>
    <t>Переход чугун-пластик Ду 50 с манжетой</t>
  </si>
  <si>
    <t>Смена полиэтиленовых канализационных труб 110×2000 мм</t>
  </si>
  <si>
    <t>Переход чугун-пластик Ду 110 с манжетой</t>
  </si>
  <si>
    <t>Манжета 100</t>
  </si>
  <si>
    <t>Муфта 50</t>
  </si>
  <si>
    <t>Муфта 110</t>
  </si>
  <si>
    <t>Патрубок компенсационный ПП Ду 100</t>
  </si>
  <si>
    <t xml:space="preserve">Смена полипропиленовых канализационных труб 50×2000 мм </t>
  </si>
  <si>
    <t>АКТ №11</t>
  </si>
  <si>
    <t>АКТ №12</t>
  </si>
  <si>
    <t>за период с 01.01.2018 г. по 31.01.2018 г.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</si>
  <si>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д.13</t>
    </r>
  </si>
  <si>
    <t>Смена внутренних трубопроводов из стальных труб диаметром до 50 мм</t>
  </si>
  <si>
    <t>Установка хомута диаметром до 50 мм</t>
  </si>
  <si>
    <t>Итого затраты за месяц</t>
  </si>
  <si>
    <t>за период с 01.02.2018 г. по 28.02.2018 г.</t>
  </si>
  <si>
    <t>Манжета 50</t>
  </si>
  <si>
    <t>Ремонт штукатурки внутренних стен по камню и бетону цементно-известковым раствором площадью до 1 м2 толщиной слоя до 20 мм</t>
  </si>
  <si>
    <t>Патрубок компенсационный ПП Ду 50</t>
  </si>
  <si>
    <t>за период с 01.03.2018 г. по 31.03.2018 г.</t>
  </si>
  <si>
    <t>Ремонт и регулировка доводчика (со стоимостью доводчика)</t>
  </si>
  <si>
    <t>1шт.</t>
  </si>
  <si>
    <t>Очистка канализационной сети внутренней</t>
  </si>
  <si>
    <t>1м</t>
  </si>
  <si>
    <t>за период с 01.04.2018 г. по 30.04.2018 г.</t>
  </si>
  <si>
    <t>маш-час</t>
  </si>
  <si>
    <t>Смена дверных приборов-ручки-собы</t>
  </si>
  <si>
    <t>по  необходимости</t>
  </si>
  <si>
    <t>Герметизация стыков трубопровода ГВС</t>
  </si>
  <si>
    <t>соедин.</t>
  </si>
  <si>
    <t>Вентиль шаровый Dy 15 мм</t>
  </si>
  <si>
    <t>Вентиль ПП Dy 20 мм</t>
  </si>
  <si>
    <t>Смена арматуры - вентилей и клапанов обратных муфтовых диаметром 20 мм</t>
  </si>
  <si>
    <t>Муфта разъемная 20*1/2 ВР</t>
  </si>
  <si>
    <t>Муфта разъемная 20*1/2 НР</t>
  </si>
  <si>
    <t>Тройник 20</t>
  </si>
  <si>
    <t>Муфта разъемная 25*3/4 ВР</t>
  </si>
  <si>
    <t>Муфта разъемная 25*3/4 НР</t>
  </si>
  <si>
    <t>Тройник 25*20</t>
  </si>
  <si>
    <t>Муфта 25*20</t>
  </si>
  <si>
    <t>Смена внутренних трубопроводов на полипропиленовые диаметром 32 мм</t>
  </si>
  <si>
    <t>Колено 32*45</t>
  </si>
  <si>
    <t>Колено 32*90</t>
  </si>
  <si>
    <t>Муфта разъемная 32*25 ВР</t>
  </si>
  <si>
    <t>Колено 20-90</t>
  </si>
  <si>
    <t>Муфта 20</t>
  </si>
  <si>
    <t>Муфта 25</t>
  </si>
  <si>
    <t>Внеплановый осмотр электросетей,арматуры и электооборудования на лестничных клетках</t>
  </si>
  <si>
    <t>Вентиль шаровый Dу 25</t>
  </si>
  <si>
    <t>2. Всего за период с 01.04.2018 по 30.04.2018 выполнено работ (оказано услуг) на общую сумму: 128842,47 руб.</t>
  </si>
  <si>
    <t>(сто двадцать восемь тысяч восемьсот сорок два рубля 47 копеек)</t>
  </si>
  <si>
    <t>за период с 01.05.2018 г. по 31.05.2018 г.</t>
  </si>
  <si>
    <t>мач/час</t>
  </si>
  <si>
    <t>2 ч</t>
  </si>
  <si>
    <t>6м2</t>
  </si>
  <si>
    <t>Смена трубопроводов на полипропиленовые трубы PN25 диаметром 25мм ( с 78 по 74 кв, с подвала до 1 этажа)</t>
  </si>
  <si>
    <t>Колено 25-45º</t>
  </si>
  <si>
    <t>муфта переходная 32*25</t>
  </si>
  <si>
    <t>Смена отдельных участков внутренней проводки</t>
  </si>
  <si>
    <t>м</t>
  </si>
  <si>
    <t>Дюбель-гвоздь 6*50 мм</t>
  </si>
  <si>
    <t>80м</t>
  </si>
  <si>
    <t>Смена отдельных частей поручней (прямая часть)</t>
  </si>
  <si>
    <t>Ремонт водостока</t>
  </si>
  <si>
    <t>Ремонт ступеней деревянных</t>
  </si>
  <si>
    <t>10 ступ.</t>
  </si>
  <si>
    <t>Доска 40*100*4000</t>
  </si>
  <si>
    <t xml:space="preserve">Гвозди </t>
  </si>
  <si>
    <t>кг</t>
  </si>
  <si>
    <t>Цемент</t>
  </si>
  <si>
    <t>50кг</t>
  </si>
  <si>
    <t>51 шт</t>
  </si>
  <si>
    <t>Смена досок в полах до 3 шт.в одном месте</t>
  </si>
  <si>
    <t>Смена полотенцесушителя</t>
  </si>
  <si>
    <t>за период с 01.06.2018 г. по 30.06.2018 г.</t>
  </si>
  <si>
    <t>Смена дверных приборов /замки навесные)</t>
  </si>
  <si>
    <t>Заделка подвальных окон фанерой</t>
  </si>
  <si>
    <t xml:space="preserve">Ремонт вентильных кранов д=40 </t>
  </si>
  <si>
    <t>Устройство стяжек цементных толщиной 20 мм</t>
  </si>
  <si>
    <t>Демонтаж деревянного покрытия на крыльце</t>
  </si>
  <si>
    <t>Доска 40*150*4000</t>
  </si>
  <si>
    <t>Осмотр кровель из штучных материалов</t>
  </si>
  <si>
    <t>2. Всего за период с 01.06.2018 по 30.06.2018 выполнено работ (оказано услуг) на общую сумму: 98585,74 руб.</t>
  </si>
  <si>
    <t>(девяносто восемь тысяч пятьсот восемьдесят пять рублей 74 копейки)</t>
  </si>
  <si>
    <t>2. Всего за период с 01.05.2018 по 31.05.2018 выполнено работ (оказано услуг) на общую сумму: 283305,94 руб.</t>
  </si>
  <si>
    <t>(двести восемьдесят три тысячи триста пять рублей 94 копейки)</t>
  </si>
  <si>
    <t>ООО «Движение»</t>
  </si>
  <si>
    <t>за период с 01.07.2018 г. по 31.07.2018 г.</t>
  </si>
  <si>
    <r>
      <t xml:space="preserve">    Собственники помещений в многоквартирном доме,  расположенном по адресу:  пгт.Ярега, ул.Нефтяников, д.13,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28.02.2014г. стороны,  и ООО «Движение»,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</si>
  <si>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Монтаж общедомового узла учета</t>
  </si>
  <si>
    <t>2. Всего за период с 01.07.2018 по 31.07.2018 выполнено работ (оказано услуг) на общую сумму: 128840,12 руб.</t>
  </si>
  <si>
    <t>(сто двадцать восемь тысяч восемьсот сорок рублей 12 копеек)</t>
  </si>
  <si>
    <t>34,6м2</t>
  </si>
  <si>
    <t>2. Всего за период с 01.01.2018 по 31.01.2018 выполнено работ (оказано услуг) на общую сумму: 104834,44 руб.</t>
  </si>
  <si>
    <t>(сто четыре тысячи восемьсот тридцать четыре рубля 44 копейки)</t>
  </si>
  <si>
    <t>2. Всего за период с 01.02.2018 по 28.02.2018 выполнено работ (оказано услуг) на общую сумму: 95871,75 руб.</t>
  </si>
  <si>
    <t>(девяносто пять тысяч восемьсот семьдесят один рубль 75 копеек)</t>
  </si>
  <si>
    <t>233,3 м2</t>
  </si>
  <si>
    <t>2. Всего за период с 01.03.2018 по 31.03.2018 выполнено работ (оказано услуг) на общую сумму: 102601,54 руб.</t>
  </si>
  <si>
    <t>(сто две тысячи шестьсот один рубль 54 копейки)</t>
  </si>
  <si>
    <t>Уголок</t>
  </si>
  <si>
    <t>Муфта разъемная 32*25 НР</t>
  </si>
  <si>
    <t>Установка скамейки (4 и 6 под)</t>
  </si>
  <si>
    <t>Мелкий ремонт электропроводки</t>
  </si>
  <si>
    <t>за период с 01.08.2018 г. по 31.08.2018 г.</t>
  </si>
  <si>
    <t>Демонтаж деревянного короба</t>
  </si>
  <si>
    <t>1,75м2</t>
  </si>
  <si>
    <t>Смена радиаторов отопительных стальных (кв. 39)</t>
  </si>
  <si>
    <t>Установка хомута диаметром до 76 мм</t>
  </si>
  <si>
    <t>Эмаль зеленая</t>
  </si>
  <si>
    <t>2. Всего за период с 01.08.2018 по 31.08.2018 выполнено работ (оказано услуг) на общую сумму: 96943,97 руб.</t>
  </si>
  <si>
    <t>(девяносто шесть тысяч девятьсот сорок три рубля 97 копеек)</t>
  </si>
  <si>
    <t>за период с 01.09.2018 г. по 30.09.2018 г.</t>
  </si>
  <si>
    <t>Смена оконных приборов -ручки пластиковые</t>
  </si>
  <si>
    <t>Снятие показаний эл.счетчика коммунального назначения</t>
  </si>
  <si>
    <t>Закрыли слуховое окно</t>
  </si>
  <si>
    <t>2. Всего за период с 01.09.2018 по 30.09.2018 выполнено работ (оказано услуг) на общую сумму: 85907,28 руб.</t>
  </si>
  <si>
    <t>(восемьдесят пять тысяч девятьсот семь рублей 28 копеек)</t>
  </si>
  <si>
    <t>*24</t>
  </si>
  <si>
    <t>*24-справочно</t>
  </si>
  <si>
    <t>за период с 01.10.2018 г. по 31.10.2018 г.</t>
  </si>
  <si>
    <t>Герметизация межпанельных швов (кв. 66)</t>
  </si>
  <si>
    <t>м.п.</t>
  </si>
  <si>
    <t>Установка почтовых ящиков</t>
  </si>
  <si>
    <t>15м.п.</t>
  </si>
  <si>
    <t>Осмотр водопроводов, канализации, отопления в квартирах</t>
  </si>
  <si>
    <t>100 кв.</t>
  </si>
  <si>
    <t>Тройник 32*20</t>
  </si>
  <si>
    <t>Смена внутренних трубопроводов на полипропиленовые диаметром 32 *5,4 (кв. 66)</t>
  </si>
  <si>
    <t>2. Всего за период с 01.10.2018 по 31.10.2018 выполнено работ (оказано услуг) на общую сумму: 106450,87 руб.</t>
  </si>
  <si>
    <t>(сто шесть тысяч четыреста пятьдесят рублей 87 копеек)</t>
  </si>
  <si>
    <t>Очистка вручную от снега и наледи люков каналиационных и водопроводных колодцев</t>
  </si>
  <si>
    <t>Оштукатуривание оголовка</t>
  </si>
  <si>
    <t>Ремонт оголовка на чердаке ( кирпичная кладка)</t>
  </si>
  <si>
    <t>Заглушка 100</t>
  </si>
  <si>
    <t>Заглушка 50</t>
  </si>
  <si>
    <t>Тройник 100*100*100</t>
  </si>
  <si>
    <t>Манжета 75*50</t>
  </si>
  <si>
    <t>Отвод 100 - 90</t>
  </si>
  <si>
    <t>Муфта ремонтная 100</t>
  </si>
  <si>
    <t>Смена полиэтиленовых канализационных труб 100*1000</t>
  </si>
  <si>
    <t>Герметизация стыков фановых труб</t>
  </si>
  <si>
    <t>1 место</t>
  </si>
  <si>
    <t>Утепление трубопроводов х минеральной ватой УРСА (фановые трубы)</t>
  </si>
  <si>
    <t>мЗ</t>
  </si>
  <si>
    <t>за период с 01.11.2018 г. по 30.11.2018 г.</t>
  </si>
  <si>
    <t>Внеплановый  осмотр элекгросетей, арматуры и электрооборудования на чердаках и подвалах</t>
  </si>
  <si>
    <t>по мере необходимости</t>
  </si>
  <si>
    <t>*21</t>
  </si>
  <si>
    <t>*21-справочно</t>
  </si>
  <si>
    <t>Погрузка металлолома, строительного мусора</t>
  </si>
  <si>
    <t>Работа автопогрузчика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</si>
  <si>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</si>
  <si>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</si>
  <si>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2. Всего за период с 01.11.2018 по 30.11.2018 выполнено работ (оказано услуг) на общую сумму: 95380,65 руб.</t>
  </si>
  <si>
    <t>(девяносто пять тысяч триста восемьдесят рублей 65 копеек)</t>
  </si>
  <si>
    <t>за период с 01.12.2018 г. по 31.12.2018 г.</t>
  </si>
  <si>
    <t>I мЗ</t>
  </si>
  <si>
    <t>*20</t>
  </si>
  <si>
    <t>*20-справочно</t>
  </si>
  <si>
    <t>2. Всего за период с 01.12.2018 по 31.12.2018 выполнено работ (оказано услуг) на общую сумму: 77892,76 руб.</t>
  </si>
  <si>
    <t>(семьдесят семь тысяч восемьсот девяносто два рубля 76 копеек)</t>
  </si>
  <si>
    <r>
      <t xml:space="preserve">    Собственники помещений в многоквартирном доме,  расположенном по адресу:  пгт.Ярега, ул.Нефтяников, д.13,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28.02.2014г. стороны,  и ООО «Движение», именуемое в дальнейшем "Исполнитель",  в лице генерального директора Куканова Юрия Леонидовича,  действующего на основании Уставаение,  с другой стороны,  совместно именуемые "Стороны", составили настоящий Акт о нижеследующем:</t>
    </r>
  </si>
</sst>
</file>

<file path=xl/styles.xml><?xml version="1.0" encoding="utf-8"?>
<styleSheet xmlns="http://schemas.openxmlformats.org/spreadsheetml/2006/main">
  <numFmts count="1">
    <numFmt numFmtId="164" formatCode="#,##0.000"/>
  </numFmts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6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center" vertical="center"/>
    </xf>
    <xf numFmtId="4" fontId="20" fillId="2" borderId="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0" fontId="2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4" fontId="11" fillId="2" borderId="18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/>
    <xf numFmtId="0" fontId="0" fillId="0" borderId="6" xfId="0" applyBorder="1" applyAlignment="1"/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6"/>
  <sheetViews>
    <sheetView topLeftCell="A65" workbookViewId="0">
      <selection activeCell="B97" sqref="B97:G97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91</v>
      </c>
      <c r="I1" s="27"/>
      <c r="J1" s="1"/>
      <c r="K1" s="1"/>
      <c r="L1" s="1"/>
      <c r="M1" s="1"/>
    </row>
    <row r="2" spans="1:13" ht="15.75" customHeight="1">
      <c r="A2" s="29" t="s">
        <v>66</v>
      </c>
      <c r="J2" s="2"/>
      <c r="K2" s="2"/>
      <c r="L2" s="2"/>
      <c r="M2" s="2"/>
    </row>
    <row r="3" spans="1:13" ht="15.75" customHeight="1">
      <c r="A3" s="156" t="s">
        <v>153</v>
      </c>
      <c r="B3" s="156"/>
      <c r="C3" s="156"/>
      <c r="D3" s="156"/>
      <c r="E3" s="156"/>
      <c r="F3" s="156"/>
      <c r="G3" s="156"/>
      <c r="H3" s="156"/>
      <c r="I3" s="156"/>
      <c r="J3" s="3"/>
      <c r="K3" s="3"/>
      <c r="L3" s="3"/>
    </row>
    <row r="4" spans="1:13" ht="31.5" customHeight="1">
      <c r="A4" s="157" t="s">
        <v>142</v>
      </c>
      <c r="B4" s="157"/>
      <c r="C4" s="157"/>
      <c r="D4" s="157"/>
      <c r="E4" s="157"/>
      <c r="F4" s="157"/>
      <c r="G4" s="157"/>
      <c r="H4" s="157"/>
      <c r="I4" s="157"/>
    </row>
    <row r="5" spans="1:13" ht="15.75" customHeight="1">
      <c r="A5" s="156" t="s">
        <v>194</v>
      </c>
      <c r="B5" s="158"/>
      <c r="C5" s="158"/>
      <c r="D5" s="158"/>
      <c r="E5" s="158"/>
      <c r="F5" s="158"/>
      <c r="G5" s="158"/>
      <c r="H5" s="158"/>
      <c r="I5" s="158"/>
      <c r="J5" s="2"/>
      <c r="K5" s="2"/>
      <c r="L5" s="2"/>
      <c r="M5" s="2"/>
    </row>
    <row r="6" spans="1:13" ht="15.75" customHeight="1">
      <c r="A6" s="2"/>
      <c r="B6" s="56"/>
      <c r="C6" s="56"/>
      <c r="D6" s="56"/>
      <c r="E6" s="56"/>
      <c r="F6" s="56"/>
      <c r="G6" s="56"/>
      <c r="H6" s="56"/>
      <c r="I6" s="31">
        <v>43131</v>
      </c>
      <c r="J6" s="2"/>
      <c r="K6" s="2"/>
      <c r="L6" s="2"/>
      <c r="M6" s="2"/>
    </row>
    <row r="7" spans="1:13" ht="15.75" customHeight="1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9" t="s">
        <v>152</v>
      </c>
      <c r="B8" s="159"/>
      <c r="C8" s="159"/>
      <c r="D8" s="159"/>
      <c r="E8" s="159"/>
      <c r="F8" s="159"/>
      <c r="G8" s="159"/>
      <c r="H8" s="159"/>
      <c r="I8" s="159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60" t="s">
        <v>195</v>
      </c>
      <c r="B10" s="160"/>
      <c r="C10" s="160"/>
      <c r="D10" s="160"/>
      <c r="E10" s="160"/>
      <c r="F10" s="160"/>
      <c r="G10" s="160"/>
      <c r="H10" s="160"/>
      <c r="I10" s="16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61" t="s">
        <v>63</v>
      </c>
      <c r="B14" s="161"/>
      <c r="C14" s="161"/>
      <c r="D14" s="161"/>
      <c r="E14" s="161"/>
      <c r="F14" s="161"/>
      <c r="G14" s="161"/>
      <c r="H14" s="161"/>
      <c r="I14" s="161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7" t="s">
        <v>92</v>
      </c>
      <c r="C16" s="68" t="s">
        <v>111</v>
      </c>
      <c r="D16" s="67" t="s">
        <v>112</v>
      </c>
      <c r="E16" s="50">
        <v>127.9</v>
      </c>
      <c r="F16" s="69">
        <f>SUM(E16*156/100)</f>
        <v>199.524</v>
      </c>
      <c r="G16" s="69">
        <v>187.48</v>
      </c>
      <c r="H16" s="70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67" t="s">
        <v>100</v>
      </c>
      <c r="C17" s="68" t="s">
        <v>111</v>
      </c>
      <c r="D17" s="67" t="s">
        <v>166</v>
      </c>
      <c r="E17" s="50">
        <v>511.6</v>
      </c>
      <c r="F17" s="69">
        <f>SUM(E17*104/100)</f>
        <v>532.06399999999996</v>
      </c>
      <c r="G17" s="69">
        <v>185.48</v>
      </c>
      <c r="H17" s="70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67" t="s">
        <v>101</v>
      </c>
      <c r="C18" s="68" t="s">
        <v>111</v>
      </c>
      <c r="D18" s="67" t="s">
        <v>113</v>
      </c>
      <c r="E18" s="50">
        <f>SUM(E16+E17)</f>
        <v>639.5</v>
      </c>
      <c r="F18" s="69">
        <f>SUM(E18*24/100)</f>
        <v>153.47999999999999</v>
      </c>
      <c r="G18" s="69">
        <v>539.30999999999995</v>
      </c>
      <c r="H18" s="70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67" t="s">
        <v>114</v>
      </c>
      <c r="C19" s="68" t="s">
        <v>115</v>
      </c>
      <c r="D19" s="67" t="s">
        <v>116</v>
      </c>
      <c r="E19" s="50">
        <v>38.4</v>
      </c>
      <c r="F19" s="69">
        <f>SUM(E19/10)</f>
        <v>3.84</v>
      </c>
      <c r="G19" s="69">
        <v>181.91</v>
      </c>
      <c r="H19" s="70">
        <f t="shared" si="0"/>
        <v>0.6985344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67" t="s">
        <v>105</v>
      </c>
      <c r="C20" s="68" t="s">
        <v>111</v>
      </c>
      <c r="D20" s="67" t="s">
        <v>30</v>
      </c>
      <c r="E20" s="50">
        <v>58.4</v>
      </c>
      <c r="F20" s="69">
        <f>SUM(E20*12/100)</f>
        <v>7.0079999999999991</v>
      </c>
      <c r="G20" s="69">
        <v>232.92</v>
      </c>
      <c r="H20" s="70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customHeight="1">
      <c r="A21" s="30">
        <v>5</v>
      </c>
      <c r="B21" s="67" t="s">
        <v>106</v>
      </c>
      <c r="C21" s="68" t="s">
        <v>111</v>
      </c>
      <c r="D21" s="67" t="s">
        <v>110</v>
      </c>
      <c r="E21" s="50">
        <v>9.08</v>
      </c>
      <c r="F21" s="69">
        <f>SUM(E21*6/100)</f>
        <v>0.54480000000000006</v>
      </c>
      <c r="G21" s="69">
        <v>231.03</v>
      </c>
      <c r="H21" s="70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67" t="s">
        <v>117</v>
      </c>
      <c r="C22" s="68" t="s">
        <v>56</v>
      </c>
      <c r="D22" s="67" t="s">
        <v>116</v>
      </c>
      <c r="E22" s="50">
        <v>714</v>
      </c>
      <c r="F22" s="69">
        <f>SUM(E22/100)</f>
        <v>7.14</v>
      </c>
      <c r="G22" s="69">
        <v>287.83999999999997</v>
      </c>
      <c r="H22" s="70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67" t="s">
        <v>118</v>
      </c>
      <c r="C23" s="68" t="s">
        <v>56</v>
      </c>
      <c r="D23" s="67" t="s">
        <v>116</v>
      </c>
      <c r="E23" s="63">
        <v>96.6</v>
      </c>
      <c r="F23" s="69">
        <f>SUM(E23/100)</f>
        <v>0.96599999999999997</v>
      </c>
      <c r="G23" s="69">
        <v>47.34</v>
      </c>
      <c r="H23" s="70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67" t="s">
        <v>108</v>
      </c>
      <c r="C24" s="68" t="s">
        <v>56</v>
      </c>
      <c r="D24" s="67" t="s">
        <v>116</v>
      </c>
      <c r="E24" s="19">
        <v>40</v>
      </c>
      <c r="F24" s="71">
        <v>4.8</v>
      </c>
      <c r="G24" s="69">
        <v>416.62</v>
      </c>
      <c r="H24" s="70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67" t="s">
        <v>109</v>
      </c>
      <c r="C25" s="68" t="s">
        <v>56</v>
      </c>
      <c r="D25" s="67" t="s">
        <v>116</v>
      </c>
      <c r="E25" s="50">
        <v>17</v>
      </c>
      <c r="F25" s="69">
        <f>SUM(E25/100)</f>
        <v>0.17</v>
      </c>
      <c r="G25" s="69">
        <v>556.74</v>
      </c>
      <c r="H25" s="70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customHeight="1">
      <c r="A26" s="30">
        <v>6</v>
      </c>
      <c r="B26" s="67" t="s">
        <v>68</v>
      </c>
      <c r="C26" s="68" t="s">
        <v>34</v>
      </c>
      <c r="D26" s="67"/>
      <c r="E26" s="50">
        <v>0.1</v>
      </c>
      <c r="F26" s="69">
        <f>SUM(E26*365)</f>
        <v>36.5</v>
      </c>
      <c r="G26" s="69">
        <v>157.18</v>
      </c>
      <c r="H26" s="70">
        <f>SUM(F26*G26/1000)</f>
        <v>5.737070000000001</v>
      </c>
      <c r="I26" s="13">
        <f>F26/12*G26</f>
        <v>478.08916666666664</v>
      </c>
      <c r="J26" s="24"/>
    </row>
    <row r="27" spans="1:13" ht="15.75" customHeight="1">
      <c r="A27" s="30">
        <v>7</v>
      </c>
      <c r="B27" s="75" t="s">
        <v>23</v>
      </c>
      <c r="C27" s="68" t="s">
        <v>24</v>
      </c>
      <c r="D27" s="75"/>
      <c r="E27" s="50">
        <v>4591.2</v>
      </c>
      <c r="F27" s="69">
        <f>SUM(E27*12)</f>
        <v>55094.399999999994</v>
      </c>
      <c r="G27" s="69">
        <v>5.85</v>
      </c>
      <c r="H27" s="70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43" t="s">
        <v>90</v>
      </c>
      <c r="B28" s="143"/>
      <c r="C28" s="143"/>
      <c r="D28" s="143"/>
      <c r="E28" s="143"/>
      <c r="F28" s="143"/>
      <c r="G28" s="143"/>
      <c r="H28" s="143"/>
      <c r="I28" s="143"/>
      <c r="J28" s="23"/>
      <c r="K28" s="8"/>
      <c r="L28" s="8"/>
      <c r="M28" s="8"/>
    </row>
    <row r="29" spans="1:13" ht="15.75" hidden="1" customHeight="1">
      <c r="A29" s="30"/>
      <c r="B29" s="89" t="s">
        <v>28</v>
      </c>
      <c r="C29" s="68"/>
      <c r="D29" s="67"/>
      <c r="E29" s="50"/>
      <c r="F29" s="69"/>
      <c r="G29" s="69"/>
      <c r="H29" s="70"/>
      <c r="I29" s="13"/>
      <c r="J29" s="23"/>
      <c r="K29" s="8"/>
      <c r="L29" s="8"/>
      <c r="M29" s="8"/>
    </row>
    <row r="30" spans="1:13" ht="15.75" hidden="1" customHeight="1">
      <c r="A30" s="30">
        <v>7</v>
      </c>
      <c r="B30" s="67" t="s">
        <v>119</v>
      </c>
      <c r="C30" s="68" t="s">
        <v>120</v>
      </c>
      <c r="D30" s="67" t="s">
        <v>121</v>
      </c>
      <c r="E30" s="69">
        <v>844.95</v>
      </c>
      <c r="F30" s="69">
        <f>SUM(E30*52/1000)</f>
        <v>43.937400000000004</v>
      </c>
      <c r="G30" s="69">
        <v>166.65</v>
      </c>
      <c r="H30" s="70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hidden="1" customHeight="1">
      <c r="A31" s="30">
        <v>8</v>
      </c>
      <c r="B31" s="67" t="s">
        <v>167</v>
      </c>
      <c r="C31" s="68" t="s">
        <v>120</v>
      </c>
      <c r="D31" s="67" t="s">
        <v>122</v>
      </c>
      <c r="E31" s="69">
        <v>260.13</v>
      </c>
      <c r="F31" s="69">
        <f>SUM(E31*78/1000)</f>
        <v>20.290140000000001</v>
      </c>
      <c r="G31" s="69">
        <v>276.48</v>
      </c>
      <c r="H31" s="70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67" t="s">
        <v>27</v>
      </c>
      <c r="C32" s="68" t="s">
        <v>120</v>
      </c>
      <c r="D32" s="67" t="s">
        <v>57</v>
      </c>
      <c r="E32" s="69">
        <v>844.95</v>
      </c>
      <c r="F32" s="69">
        <f>SUM(E32/1000)</f>
        <v>0.84495000000000009</v>
      </c>
      <c r="G32" s="69">
        <v>3228.73</v>
      </c>
      <c r="H32" s="70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hidden="1" customHeight="1">
      <c r="A33" s="30">
        <v>9</v>
      </c>
      <c r="B33" s="67" t="s">
        <v>154</v>
      </c>
      <c r="C33" s="68" t="s">
        <v>42</v>
      </c>
      <c r="D33" s="67" t="s">
        <v>67</v>
      </c>
      <c r="E33" s="69">
        <v>8</v>
      </c>
      <c r="F33" s="69">
        <v>12.4</v>
      </c>
      <c r="G33" s="69">
        <v>1391.86</v>
      </c>
      <c r="H33" s="70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hidden="1" customHeight="1">
      <c r="A34" s="30">
        <v>10</v>
      </c>
      <c r="B34" s="67" t="s">
        <v>123</v>
      </c>
      <c r="C34" s="68" t="s">
        <v>31</v>
      </c>
      <c r="D34" s="67" t="s">
        <v>67</v>
      </c>
      <c r="E34" s="74">
        <v>0.33333333333333331</v>
      </c>
      <c r="F34" s="69">
        <f>155/3</f>
        <v>51.666666666666664</v>
      </c>
      <c r="G34" s="69">
        <v>60.6</v>
      </c>
      <c r="H34" s="70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67" t="s">
        <v>69</v>
      </c>
      <c r="C35" s="68" t="s">
        <v>34</v>
      </c>
      <c r="D35" s="67" t="s">
        <v>71</v>
      </c>
      <c r="E35" s="50"/>
      <c r="F35" s="69">
        <v>3</v>
      </c>
      <c r="G35" s="69">
        <v>204.32</v>
      </c>
      <c r="H35" s="70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67" t="s">
        <v>70</v>
      </c>
      <c r="C36" s="68" t="s">
        <v>33</v>
      </c>
      <c r="D36" s="67" t="s">
        <v>71</v>
      </c>
      <c r="E36" s="50"/>
      <c r="F36" s="69">
        <v>2</v>
      </c>
      <c r="G36" s="69">
        <v>1214.73</v>
      </c>
      <c r="H36" s="70">
        <f t="shared" si="1"/>
        <v>2.4294600000000002</v>
      </c>
      <c r="I36" s="13">
        <v>0</v>
      </c>
      <c r="J36" s="24"/>
    </row>
    <row r="37" spans="1:14" ht="15.75" customHeight="1">
      <c r="A37" s="30"/>
      <c r="B37" s="89" t="s">
        <v>5</v>
      </c>
      <c r="C37" s="68"/>
      <c r="D37" s="67"/>
      <c r="E37" s="50"/>
      <c r="F37" s="69"/>
      <c r="G37" s="69"/>
      <c r="H37" s="70" t="s">
        <v>139</v>
      </c>
      <c r="I37" s="13"/>
      <c r="J37" s="24"/>
    </row>
    <row r="38" spans="1:14" ht="15.75" customHeight="1">
      <c r="A38" s="30">
        <v>8</v>
      </c>
      <c r="B38" s="67" t="s">
        <v>26</v>
      </c>
      <c r="C38" s="68" t="s">
        <v>33</v>
      </c>
      <c r="D38" s="67"/>
      <c r="E38" s="50"/>
      <c r="F38" s="69">
        <v>10</v>
      </c>
      <c r="G38" s="69">
        <v>1632.6</v>
      </c>
      <c r="H38" s="70">
        <f t="shared" ref="H38:H44" si="3">SUM(F38*G38/1000)</f>
        <v>16.326000000000001</v>
      </c>
      <c r="I38" s="13">
        <f>F38/6*G38</f>
        <v>2721</v>
      </c>
      <c r="J38" s="24"/>
    </row>
    <row r="39" spans="1:14" ht="15.75" customHeight="1">
      <c r="A39" s="30">
        <v>9</v>
      </c>
      <c r="B39" s="67" t="s">
        <v>155</v>
      </c>
      <c r="C39" s="68" t="s">
        <v>29</v>
      </c>
      <c r="D39" s="67" t="s">
        <v>124</v>
      </c>
      <c r="E39" s="69">
        <v>254.8</v>
      </c>
      <c r="F39" s="69">
        <f>SUM(E39*30/1000)</f>
        <v>7.6440000000000001</v>
      </c>
      <c r="G39" s="69">
        <v>2247.8000000000002</v>
      </c>
      <c r="H39" s="70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67" t="s">
        <v>102</v>
      </c>
      <c r="C40" s="68" t="s">
        <v>125</v>
      </c>
      <c r="D40" s="67" t="s">
        <v>71</v>
      </c>
      <c r="E40" s="50"/>
      <c r="F40" s="69">
        <v>40</v>
      </c>
      <c r="G40" s="69">
        <v>213.2</v>
      </c>
      <c r="H40" s="70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customHeight="1">
      <c r="A41" s="30">
        <v>10</v>
      </c>
      <c r="B41" s="67" t="s">
        <v>72</v>
      </c>
      <c r="C41" s="68" t="s">
        <v>29</v>
      </c>
      <c r="D41" s="67" t="s">
        <v>126</v>
      </c>
      <c r="E41" s="69">
        <v>260.13</v>
      </c>
      <c r="F41" s="69">
        <f>SUM(E41*155/1000)</f>
        <v>40.320149999999998</v>
      </c>
      <c r="G41" s="69">
        <v>374.95</v>
      </c>
      <c r="H41" s="70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customHeight="1">
      <c r="A42" s="30">
        <v>11</v>
      </c>
      <c r="B42" s="67" t="s">
        <v>88</v>
      </c>
      <c r="C42" s="68" t="s">
        <v>120</v>
      </c>
      <c r="D42" s="67" t="s">
        <v>127</v>
      </c>
      <c r="E42" s="69">
        <v>132.72999999999999</v>
      </c>
      <c r="F42" s="69">
        <f>SUM(E42*35/1000)</f>
        <v>4.6455499999999992</v>
      </c>
      <c r="G42" s="69">
        <v>6203.7</v>
      </c>
      <c r="H42" s="70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customHeight="1">
      <c r="A43" s="30">
        <v>12</v>
      </c>
      <c r="B43" s="67" t="s">
        <v>128</v>
      </c>
      <c r="C43" s="68" t="s">
        <v>120</v>
      </c>
      <c r="D43" s="67" t="s">
        <v>73</v>
      </c>
      <c r="E43" s="69">
        <v>254.8</v>
      </c>
      <c r="F43" s="69">
        <f>SUM(E43*45/1000)</f>
        <v>11.465999999999999</v>
      </c>
      <c r="G43" s="69">
        <v>458.28</v>
      </c>
      <c r="H43" s="70">
        <f t="shared" si="3"/>
        <v>5.2546384799999997</v>
      </c>
      <c r="I43" s="13">
        <f>F43/7.5*G43</f>
        <v>700.6184639999999</v>
      </c>
      <c r="J43" s="24"/>
      <c r="L43" s="20"/>
      <c r="M43" s="21"/>
      <c r="N43" s="22"/>
    </row>
    <row r="44" spans="1:14" ht="15.75" customHeight="1">
      <c r="A44" s="30">
        <v>13</v>
      </c>
      <c r="B44" s="67" t="s">
        <v>74</v>
      </c>
      <c r="C44" s="68" t="s">
        <v>34</v>
      </c>
      <c r="D44" s="67"/>
      <c r="E44" s="50"/>
      <c r="F44" s="69">
        <v>0.9</v>
      </c>
      <c r="G44" s="69">
        <v>853.06</v>
      </c>
      <c r="H44" s="70">
        <f t="shared" si="3"/>
        <v>0.76775400000000005</v>
      </c>
      <c r="I44" s="13">
        <f>F44/7.5*G44</f>
        <v>102.3672</v>
      </c>
      <c r="J44" s="24"/>
      <c r="L44" s="20"/>
      <c r="M44" s="21"/>
      <c r="N44" s="22"/>
    </row>
    <row r="45" spans="1:14" ht="15.75" customHeight="1">
      <c r="A45" s="144" t="s">
        <v>149</v>
      </c>
      <c r="B45" s="145"/>
      <c r="C45" s="145"/>
      <c r="D45" s="145"/>
      <c r="E45" s="145"/>
      <c r="F45" s="145"/>
      <c r="G45" s="145"/>
      <c r="H45" s="145"/>
      <c r="I45" s="146"/>
      <c r="J45" s="24"/>
      <c r="L45" s="20"/>
      <c r="M45" s="21"/>
      <c r="N45" s="22"/>
    </row>
    <row r="46" spans="1:14" ht="15.75" hidden="1" customHeight="1">
      <c r="A46" s="30"/>
      <c r="B46" s="67" t="s">
        <v>143</v>
      </c>
      <c r="C46" s="68" t="s">
        <v>120</v>
      </c>
      <c r="D46" s="67" t="s">
        <v>44</v>
      </c>
      <c r="E46" s="50">
        <v>1795.9</v>
      </c>
      <c r="F46" s="69">
        <f>SUM(E46*2/1000)</f>
        <v>3.5918000000000001</v>
      </c>
      <c r="G46" s="13">
        <v>865.61</v>
      </c>
      <c r="H46" s="70">
        <f t="shared" ref="H46:H55" si="4">SUM(F46*G46/1000)</f>
        <v>3.1090979980000002</v>
      </c>
      <c r="I46" s="13">
        <v>0</v>
      </c>
      <c r="J46" s="24"/>
      <c r="L46" s="20"/>
      <c r="M46" s="21"/>
      <c r="N46" s="22"/>
    </row>
    <row r="47" spans="1:14" ht="15.75" hidden="1" customHeight="1">
      <c r="A47" s="30"/>
      <c r="B47" s="67" t="s">
        <v>37</v>
      </c>
      <c r="C47" s="68" t="s">
        <v>120</v>
      </c>
      <c r="D47" s="67" t="s">
        <v>44</v>
      </c>
      <c r="E47" s="50">
        <v>104</v>
      </c>
      <c r="F47" s="69">
        <f>SUM(E47*2/1000)</f>
        <v>0.20799999999999999</v>
      </c>
      <c r="G47" s="13">
        <v>619.46</v>
      </c>
      <c r="H47" s="70">
        <f t="shared" si="4"/>
        <v>0.12884767999999999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30"/>
      <c r="B48" s="67" t="s">
        <v>38</v>
      </c>
      <c r="C48" s="68" t="s">
        <v>120</v>
      </c>
      <c r="D48" s="67" t="s">
        <v>44</v>
      </c>
      <c r="E48" s="50">
        <v>1996.87</v>
      </c>
      <c r="F48" s="69">
        <f>SUM(E48*2/1000)</f>
        <v>3.9937399999999998</v>
      </c>
      <c r="G48" s="13">
        <v>619.46</v>
      </c>
      <c r="H48" s="70">
        <f t="shared" si="4"/>
        <v>2.4739621804</v>
      </c>
      <c r="I48" s="13">
        <v>0</v>
      </c>
      <c r="J48" s="24"/>
      <c r="L48" s="20"/>
      <c r="M48" s="21"/>
      <c r="N48" s="22"/>
    </row>
    <row r="49" spans="1:22" ht="15.75" hidden="1" customHeight="1">
      <c r="A49" s="30"/>
      <c r="B49" s="67" t="s">
        <v>39</v>
      </c>
      <c r="C49" s="68" t="s">
        <v>120</v>
      </c>
      <c r="D49" s="67" t="s">
        <v>44</v>
      </c>
      <c r="E49" s="50">
        <v>2630.35</v>
      </c>
      <c r="F49" s="69">
        <f>SUM(E49*2/1000)</f>
        <v>5.2606999999999999</v>
      </c>
      <c r="G49" s="13">
        <v>648.64</v>
      </c>
      <c r="H49" s="70">
        <f t="shared" si="4"/>
        <v>3.4123004479999999</v>
      </c>
      <c r="I49" s="13">
        <v>0</v>
      </c>
      <c r="J49" s="24"/>
      <c r="L49" s="20"/>
      <c r="M49" s="21"/>
      <c r="N49" s="22"/>
    </row>
    <row r="50" spans="1:22" ht="15.75" hidden="1" customHeight="1">
      <c r="A50" s="30"/>
      <c r="B50" s="67" t="s">
        <v>35</v>
      </c>
      <c r="C50" s="68" t="s">
        <v>36</v>
      </c>
      <c r="D50" s="67" t="s">
        <v>44</v>
      </c>
      <c r="E50" s="50">
        <v>131.47</v>
      </c>
      <c r="F50" s="69">
        <f>SUM(E50*2/100)</f>
        <v>2.6294</v>
      </c>
      <c r="G50" s="13">
        <v>77.84</v>
      </c>
      <c r="H50" s="70">
        <f t="shared" si="4"/>
        <v>0.20467249599999998</v>
      </c>
      <c r="I50" s="13">
        <v>0</v>
      </c>
      <c r="J50" s="24"/>
      <c r="L50" s="20"/>
      <c r="M50" s="21"/>
      <c r="N50" s="22"/>
    </row>
    <row r="51" spans="1:22" ht="15.75" customHeight="1">
      <c r="A51" s="30">
        <v>14</v>
      </c>
      <c r="B51" s="67" t="s">
        <v>60</v>
      </c>
      <c r="C51" s="68" t="s">
        <v>120</v>
      </c>
      <c r="D51" s="67" t="s">
        <v>168</v>
      </c>
      <c r="E51" s="50">
        <v>2872.4</v>
      </c>
      <c r="F51" s="69">
        <f>SUM(E51*5/1000)</f>
        <v>14.362</v>
      </c>
      <c r="G51" s="13">
        <v>1297.28</v>
      </c>
      <c r="H51" s="70">
        <f t="shared" si="4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22" ht="31.5" hidden="1" customHeight="1">
      <c r="A52" s="30"/>
      <c r="B52" s="67" t="s">
        <v>129</v>
      </c>
      <c r="C52" s="68" t="s">
        <v>120</v>
      </c>
      <c r="D52" s="67" t="s">
        <v>44</v>
      </c>
      <c r="E52" s="50">
        <v>2872.4</v>
      </c>
      <c r="F52" s="69">
        <f>SUM(E52*2/1000)</f>
        <v>5.7448000000000006</v>
      </c>
      <c r="G52" s="13">
        <v>1297.28</v>
      </c>
      <c r="H52" s="70">
        <f t="shared" si="4"/>
        <v>7.4526141440000009</v>
      </c>
      <c r="I52" s="13">
        <v>0</v>
      </c>
      <c r="J52" s="24"/>
      <c r="L52" s="20"/>
      <c r="M52" s="21"/>
      <c r="N52" s="22"/>
    </row>
    <row r="53" spans="1:22" ht="31.5" hidden="1" customHeight="1">
      <c r="A53" s="30"/>
      <c r="B53" s="67" t="s">
        <v>130</v>
      </c>
      <c r="C53" s="68" t="s">
        <v>40</v>
      </c>
      <c r="D53" s="67" t="s">
        <v>44</v>
      </c>
      <c r="E53" s="50">
        <v>40</v>
      </c>
      <c r="F53" s="69">
        <f>SUM(E53*2/100)</f>
        <v>0.8</v>
      </c>
      <c r="G53" s="13">
        <v>2918.89</v>
      </c>
      <c r="H53" s="70">
        <f t="shared" si="4"/>
        <v>2.3351120000000001</v>
      </c>
      <c r="I53" s="13">
        <v>0</v>
      </c>
      <c r="J53" s="24"/>
      <c r="L53" s="20"/>
      <c r="M53" s="21"/>
      <c r="N53" s="22"/>
    </row>
    <row r="54" spans="1:22" ht="15.75" hidden="1" customHeight="1">
      <c r="A54" s="30"/>
      <c r="B54" s="67" t="s">
        <v>41</v>
      </c>
      <c r="C54" s="68" t="s">
        <v>42</v>
      </c>
      <c r="D54" s="67" t="s">
        <v>44</v>
      </c>
      <c r="E54" s="50">
        <v>1</v>
      </c>
      <c r="F54" s="69">
        <v>0.02</v>
      </c>
      <c r="G54" s="13">
        <v>6042.12</v>
      </c>
      <c r="H54" s="70">
        <f t="shared" si="4"/>
        <v>0.1208424</v>
      </c>
      <c r="I54" s="13">
        <v>0</v>
      </c>
      <c r="J54" s="24"/>
      <c r="L54" s="20"/>
      <c r="M54" s="21"/>
      <c r="N54" s="22"/>
    </row>
    <row r="55" spans="1:22" ht="15.75" customHeight="1">
      <c r="A55" s="30">
        <v>15</v>
      </c>
      <c r="B55" s="67" t="s">
        <v>43</v>
      </c>
      <c r="C55" s="68" t="s">
        <v>31</v>
      </c>
      <c r="D55" s="67" t="s">
        <v>75</v>
      </c>
      <c r="E55" s="50">
        <v>160</v>
      </c>
      <c r="F55" s="69">
        <f>SUM(E55)*3</f>
        <v>480</v>
      </c>
      <c r="G55" s="13">
        <v>70.209999999999994</v>
      </c>
      <c r="H55" s="70">
        <f t="shared" si="4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22" ht="15.75" customHeight="1">
      <c r="A56" s="144" t="s">
        <v>150</v>
      </c>
      <c r="B56" s="145"/>
      <c r="C56" s="145"/>
      <c r="D56" s="145"/>
      <c r="E56" s="145"/>
      <c r="F56" s="145"/>
      <c r="G56" s="145"/>
      <c r="H56" s="145"/>
      <c r="I56" s="146"/>
      <c r="J56" s="24"/>
      <c r="L56" s="20"/>
      <c r="M56" s="21"/>
      <c r="N56" s="22"/>
    </row>
    <row r="57" spans="1:22" ht="15.75" customHeight="1">
      <c r="A57" s="30"/>
      <c r="B57" s="89" t="s">
        <v>45</v>
      </c>
      <c r="C57" s="68"/>
      <c r="D57" s="67"/>
      <c r="E57" s="50"/>
      <c r="F57" s="69"/>
      <c r="G57" s="69"/>
      <c r="H57" s="70"/>
      <c r="I57" s="13"/>
      <c r="J57" s="24"/>
      <c r="L57" s="20"/>
      <c r="M57" s="21"/>
      <c r="N57" s="22"/>
    </row>
    <row r="58" spans="1:22" ht="31.5" customHeight="1">
      <c r="A58" s="30">
        <v>16</v>
      </c>
      <c r="B58" s="67" t="s">
        <v>132</v>
      </c>
      <c r="C58" s="68" t="s">
        <v>111</v>
      </c>
      <c r="D58" s="67" t="s">
        <v>276</v>
      </c>
      <c r="E58" s="50">
        <v>239.59</v>
      </c>
      <c r="F58" s="69">
        <f>E58*6/100</f>
        <v>14.375399999999999</v>
      </c>
      <c r="G58" s="76">
        <v>1654.04</v>
      </c>
      <c r="H58" s="70">
        <f>F58*G58/1000</f>
        <v>23.777486615999997</v>
      </c>
      <c r="I58" s="13">
        <f>G58*0.346</f>
        <v>572.29783999999995</v>
      </c>
      <c r="J58" s="24"/>
      <c r="L58" s="20"/>
      <c r="M58" s="21"/>
      <c r="N58" s="22"/>
    </row>
    <row r="59" spans="1:22" ht="15.75" customHeight="1">
      <c r="A59" s="30"/>
      <c r="B59" s="90" t="s">
        <v>46</v>
      </c>
      <c r="C59" s="77"/>
      <c r="D59" s="78"/>
      <c r="E59" s="79"/>
      <c r="F59" s="81"/>
      <c r="G59" s="13"/>
      <c r="H59" s="83"/>
      <c r="I59" s="13"/>
      <c r="J59" s="24"/>
      <c r="L59" s="20"/>
      <c r="M59" s="21"/>
      <c r="N59" s="22"/>
    </row>
    <row r="60" spans="1:22" ht="15.75" hidden="1" customHeight="1">
      <c r="A60" s="30"/>
      <c r="B60" s="78" t="s">
        <v>47</v>
      </c>
      <c r="C60" s="77" t="s">
        <v>56</v>
      </c>
      <c r="D60" s="78" t="s">
        <v>57</v>
      </c>
      <c r="E60" s="79">
        <v>2686</v>
      </c>
      <c r="F60" s="81">
        <f>E60/100</f>
        <v>26.86</v>
      </c>
      <c r="G60" s="13">
        <v>848.37</v>
      </c>
      <c r="H60" s="83">
        <f>G60*F60/1000</f>
        <v>22.787218199999998</v>
      </c>
      <c r="I60" s="13">
        <v>0</v>
      </c>
      <c r="J60" s="24"/>
      <c r="L60" s="20"/>
    </row>
    <row r="61" spans="1:22" ht="15.75" customHeight="1">
      <c r="A61" s="30">
        <v>17</v>
      </c>
      <c r="B61" s="105" t="s">
        <v>103</v>
      </c>
      <c r="C61" s="106" t="s">
        <v>25</v>
      </c>
      <c r="D61" s="105" t="s">
        <v>30</v>
      </c>
      <c r="E61" s="107">
        <v>200</v>
      </c>
      <c r="F61" s="108">
        <v>4116</v>
      </c>
      <c r="G61" s="109">
        <v>1.2</v>
      </c>
      <c r="H61" s="110">
        <f>F61*G61</f>
        <v>4939.2</v>
      </c>
      <c r="I61" s="13">
        <f>F61/12*G61</f>
        <v>411.59999999999997</v>
      </c>
    </row>
    <row r="62" spans="1:22" ht="15.75" hidden="1" customHeight="1">
      <c r="A62" s="30"/>
      <c r="B62" s="90" t="s">
        <v>144</v>
      </c>
      <c r="C62" s="77"/>
      <c r="D62" s="78"/>
      <c r="E62" s="79"/>
      <c r="F62" s="81"/>
      <c r="G62" s="13"/>
      <c r="H62" s="83"/>
      <c r="I62" s="13"/>
    </row>
    <row r="63" spans="1:22" ht="15.75" hidden="1" customHeight="1">
      <c r="A63" s="30"/>
      <c r="B63" s="78" t="s">
        <v>145</v>
      </c>
      <c r="C63" s="77" t="s">
        <v>31</v>
      </c>
      <c r="D63" s="78" t="s">
        <v>71</v>
      </c>
      <c r="E63" s="79">
        <v>3</v>
      </c>
      <c r="F63" s="80">
        <v>3</v>
      </c>
      <c r="G63" s="82">
        <v>254.16</v>
      </c>
      <c r="H63" s="81">
        <v>0.76200000000000001</v>
      </c>
      <c r="I63" s="13">
        <v>0</v>
      </c>
    </row>
    <row r="64" spans="1:22" ht="15.75" customHeight="1">
      <c r="A64" s="30"/>
      <c r="B64" s="90" t="s">
        <v>48</v>
      </c>
      <c r="C64" s="77"/>
      <c r="D64" s="78"/>
      <c r="E64" s="79"/>
      <c r="F64" s="80"/>
      <c r="G64" s="80"/>
      <c r="H64" s="81" t="s">
        <v>139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30">
        <v>18</v>
      </c>
      <c r="B65" s="14" t="s">
        <v>49</v>
      </c>
      <c r="C65" s="16" t="s">
        <v>131</v>
      </c>
      <c r="D65" s="78" t="s">
        <v>71</v>
      </c>
      <c r="E65" s="19">
        <v>15</v>
      </c>
      <c r="F65" s="69">
        <v>15</v>
      </c>
      <c r="G65" s="13">
        <v>237.74</v>
      </c>
      <c r="H65" s="84">
        <f t="shared" ref="H65:H78" si="5">SUM(F65*G65/1000)</f>
        <v>3.5661000000000005</v>
      </c>
      <c r="I65" s="13">
        <f>G65</f>
        <v>237.74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14" t="s">
        <v>50</v>
      </c>
      <c r="C66" s="16" t="s">
        <v>131</v>
      </c>
      <c r="D66" s="78" t="s">
        <v>71</v>
      </c>
      <c r="E66" s="19">
        <v>5</v>
      </c>
      <c r="F66" s="69">
        <v>5</v>
      </c>
      <c r="G66" s="13">
        <v>81.510000000000005</v>
      </c>
      <c r="H66" s="84">
        <f t="shared" si="5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14" t="s">
        <v>51</v>
      </c>
      <c r="C67" s="16" t="s">
        <v>133</v>
      </c>
      <c r="D67" s="14" t="s">
        <v>57</v>
      </c>
      <c r="E67" s="50">
        <v>24123</v>
      </c>
      <c r="F67" s="13">
        <f>SUM(E67/100)</f>
        <v>241.23</v>
      </c>
      <c r="G67" s="13">
        <v>226.79</v>
      </c>
      <c r="H67" s="84">
        <f t="shared" si="5"/>
        <v>54.708551699999994</v>
      </c>
      <c r="I67" s="13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140"/>
      <c r="S67" s="140"/>
      <c r="T67" s="140"/>
      <c r="U67" s="140"/>
    </row>
    <row r="68" spans="1:21" ht="15.75" hidden="1" customHeight="1">
      <c r="A68" s="30"/>
      <c r="B68" s="14" t="s">
        <v>52</v>
      </c>
      <c r="C68" s="16" t="s">
        <v>134</v>
      </c>
      <c r="D68" s="14"/>
      <c r="E68" s="50">
        <v>24123</v>
      </c>
      <c r="F68" s="13">
        <f>SUM(E68/1000)</f>
        <v>24.123000000000001</v>
      </c>
      <c r="G68" s="13">
        <v>176.61</v>
      </c>
      <c r="H68" s="84">
        <f t="shared" si="5"/>
        <v>4.2603630300000006</v>
      </c>
      <c r="I68" s="13">
        <f t="shared" ref="I68:I72" si="6">F68*G68</f>
        <v>4260.3630300000004</v>
      </c>
    </row>
    <row r="69" spans="1:21" ht="15.75" hidden="1" customHeight="1">
      <c r="A69" s="30"/>
      <c r="B69" s="14" t="s">
        <v>53</v>
      </c>
      <c r="C69" s="16" t="s">
        <v>81</v>
      </c>
      <c r="D69" s="14" t="s">
        <v>57</v>
      </c>
      <c r="E69" s="50">
        <v>2730</v>
      </c>
      <c r="F69" s="13">
        <f>SUM(E69/100)</f>
        <v>27.3</v>
      </c>
      <c r="G69" s="13">
        <v>2217.7800000000002</v>
      </c>
      <c r="H69" s="84">
        <f t="shared" si="5"/>
        <v>60.545394000000009</v>
      </c>
      <c r="I69" s="13">
        <f t="shared" si="6"/>
        <v>60545.394000000008</v>
      </c>
    </row>
    <row r="70" spans="1:21" ht="15.75" hidden="1" customHeight="1">
      <c r="A70" s="30"/>
      <c r="B70" s="85" t="s">
        <v>135</v>
      </c>
      <c r="C70" s="16" t="s">
        <v>34</v>
      </c>
      <c r="D70" s="14"/>
      <c r="E70" s="50">
        <v>23</v>
      </c>
      <c r="F70" s="13">
        <f>SUM(E70)</f>
        <v>23</v>
      </c>
      <c r="G70" s="13">
        <v>42.67</v>
      </c>
      <c r="H70" s="84">
        <f t="shared" si="5"/>
        <v>0.98141000000000012</v>
      </c>
      <c r="I70" s="13">
        <f t="shared" si="6"/>
        <v>981.41000000000008</v>
      </c>
    </row>
    <row r="71" spans="1:21" ht="15.75" hidden="1" customHeight="1">
      <c r="A71" s="30"/>
      <c r="B71" s="85" t="s">
        <v>136</v>
      </c>
      <c r="C71" s="16" t="s">
        <v>34</v>
      </c>
      <c r="D71" s="14"/>
      <c r="E71" s="50">
        <v>23</v>
      </c>
      <c r="F71" s="13">
        <f>SUM(E71)</f>
        <v>23</v>
      </c>
      <c r="G71" s="13">
        <v>39.81</v>
      </c>
      <c r="H71" s="84">
        <f t="shared" si="5"/>
        <v>0.91563000000000005</v>
      </c>
      <c r="I71" s="13">
        <f t="shared" si="6"/>
        <v>915.63000000000011</v>
      </c>
    </row>
    <row r="72" spans="1:21" ht="15.75" hidden="1" customHeight="1">
      <c r="A72" s="30"/>
      <c r="B72" s="14" t="s">
        <v>61</v>
      </c>
      <c r="C72" s="16" t="s">
        <v>62</v>
      </c>
      <c r="D72" s="14" t="s">
        <v>57</v>
      </c>
      <c r="E72" s="19">
        <v>10</v>
      </c>
      <c r="F72" s="69">
        <f>SUM(E72)</f>
        <v>10</v>
      </c>
      <c r="G72" s="13">
        <v>53.32</v>
      </c>
      <c r="H72" s="84">
        <f t="shared" si="5"/>
        <v>0.53320000000000001</v>
      </c>
      <c r="I72" s="13">
        <f t="shared" si="6"/>
        <v>533.20000000000005</v>
      </c>
    </row>
    <row r="73" spans="1:21" ht="15.75" hidden="1" customHeight="1">
      <c r="A73" s="30"/>
      <c r="B73" s="57" t="s">
        <v>77</v>
      </c>
      <c r="C73" s="16"/>
      <c r="D73" s="14"/>
      <c r="E73" s="19"/>
      <c r="F73" s="13"/>
      <c r="G73" s="13"/>
      <c r="H73" s="84" t="s">
        <v>139</v>
      </c>
      <c r="I73" s="13"/>
    </row>
    <row r="74" spans="1:21" ht="15.75" hidden="1" customHeight="1">
      <c r="A74" s="30"/>
      <c r="B74" s="14" t="s">
        <v>78</v>
      </c>
      <c r="C74" s="16" t="s">
        <v>32</v>
      </c>
      <c r="D74" s="14"/>
      <c r="E74" s="19">
        <v>2</v>
      </c>
      <c r="F74" s="61">
        <v>0.2</v>
      </c>
      <c r="G74" s="13">
        <v>536.23</v>
      </c>
      <c r="H74" s="84">
        <v>0.251</v>
      </c>
      <c r="I74" s="13">
        <v>0</v>
      </c>
    </row>
    <row r="75" spans="1:21" ht="15.75" hidden="1" customHeight="1">
      <c r="A75" s="30"/>
      <c r="B75" s="14" t="s">
        <v>94</v>
      </c>
      <c r="C75" s="16" t="s">
        <v>31</v>
      </c>
      <c r="D75" s="14"/>
      <c r="E75" s="19">
        <v>1</v>
      </c>
      <c r="F75" s="69">
        <f>SUM(E75)</f>
        <v>1</v>
      </c>
      <c r="G75" s="13">
        <v>383.25</v>
      </c>
      <c r="H75" s="84">
        <f t="shared" si="5"/>
        <v>0.38324999999999998</v>
      </c>
      <c r="I75" s="13">
        <v>0</v>
      </c>
    </row>
    <row r="76" spans="1:21" ht="15.75" hidden="1" customHeight="1">
      <c r="A76" s="30"/>
      <c r="B76" s="14" t="s">
        <v>79</v>
      </c>
      <c r="C76" s="16" t="s">
        <v>31</v>
      </c>
      <c r="D76" s="14"/>
      <c r="E76" s="19">
        <v>2</v>
      </c>
      <c r="F76" s="13">
        <v>2</v>
      </c>
      <c r="G76" s="13">
        <v>911.85</v>
      </c>
      <c r="H76" s="84">
        <f>F76*G76/1000</f>
        <v>1.8237000000000001</v>
      </c>
      <c r="I76" s="13">
        <v>0</v>
      </c>
    </row>
    <row r="77" spans="1:21" ht="15.75" hidden="1" customHeight="1">
      <c r="A77" s="30"/>
      <c r="B77" s="86" t="s">
        <v>80</v>
      </c>
      <c r="C77" s="16"/>
      <c r="D77" s="14"/>
      <c r="E77" s="19"/>
      <c r="F77" s="13"/>
      <c r="G77" s="13" t="s">
        <v>139</v>
      </c>
      <c r="H77" s="84" t="s">
        <v>139</v>
      </c>
      <c r="I77" s="13"/>
    </row>
    <row r="78" spans="1:21" ht="15.75" hidden="1" customHeight="1">
      <c r="A78" s="30"/>
      <c r="B78" s="45" t="s">
        <v>140</v>
      </c>
      <c r="C78" s="16" t="s">
        <v>81</v>
      </c>
      <c r="D78" s="14"/>
      <c r="E78" s="19"/>
      <c r="F78" s="13">
        <v>1.35</v>
      </c>
      <c r="G78" s="13">
        <v>2949.85</v>
      </c>
      <c r="H78" s="84">
        <f t="shared" si="5"/>
        <v>3.9822975</v>
      </c>
      <c r="I78" s="13">
        <v>0</v>
      </c>
    </row>
    <row r="79" spans="1:21" ht="15.75" hidden="1" customHeight="1">
      <c r="A79" s="30"/>
      <c r="B79" s="72" t="s">
        <v>137</v>
      </c>
      <c r="C79" s="86"/>
      <c r="D79" s="32"/>
      <c r="E79" s="33"/>
      <c r="F79" s="73"/>
      <c r="G79" s="73"/>
      <c r="H79" s="87">
        <f>SUM(H58:H78)</f>
        <v>5118.885151045999</v>
      </c>
      <c r="I79" s="73"/>
    </row>
    <row r="80" spans="1:21" ht="15.75" hidden="1" customHeight="1">
      <c r="A80" s="30"/>
      <c r="B80" s="67" t="s">
        <v>138</v>
      </c>
      <c r="C80" s="16"/>
      <c r="D80" s="14"/>
      <c r="E80" s="62"/>
      <c r="F80" s="13">
        <v>1</v>
      </c>
      <c r="G80" s="13">
        <v>19342.2</v>
      </c>
      <c r="H80" s="84">
        <f>G80*F80/1000</f>
        <v>19.342200000000002</v>
      </c>
      <c r="I80" s="13">
        <v>0</v>
      </c>
    </row>
    <row r="81" spans="1:9" ht="15.75" customHeight="1">
      <c r="A81" s="153" t="s">
        <v>151</v>
      </c>
      <c r="B81" s="154"/>
      <c r="C81" s="154"/>
      <c r="D81" s="154"/>
      <c r="E81" s="154"/>
      <c r="F81" s="154"/>
      <c r="G81" s="154"/>
      <c r="H81" s="154"/>
      <c r="I81" s="155"/>
    </row>
    <row r="82" spans="1:9" ht="15.75" customHeight="1">
      <c r="A82" s="30">
        <v>19</v>
      </c>
      <c r="B82" s="67" t="s">
        <v>141</v>
      </c>
      <c r="C82" s="16" t="s">
        <v>58</v>
      </c>
      <c r="D82" s="88" t="s">
        <v>59</v>
      </c>
      <c r="E82" s="13">
        <v>4591.2</v>
      </c>
      <c r="F82" s="13">
        <f>SUM(E82*12)</f>
        <v>55094.399999999994</v>
      </c>
      <c r="G82" s="13">
        <v>2.54</v>
      </c>
      <c r="H82" s="84">
        <f>SUM(F82*G82/1000)</f>
        <v>139.93977599999999</v>
      </c>
      <c r="I82" s="13">
        <f>F82/12*G82</f>
        <v>11661.647999999999</v>
      </c>
    </row>
    <row r="83" spans="1:9" ht="31.5" customHeight="1">
      <c r="A83" s="30">
        <v>20</v>
      </c>
      <c r="B83" s="14" t="s">
        <v>82</v>
      </c>
      <c r="C83" s="16"/>
      <c r="D83" s="88" t="s">
        <v>59</v>
      </c>
      <c r="E83" s="50">
        <f>E82</f>
        <v>4591.2</v>
      </c>
      <c r="F83" s="13">
        <f>E83*12</f>
        <v>55094.399999999994</v>
      </c>
      <c r="G83" s="13">
        <v>2.0499999999999998</v>
      </c>
      <c r="H83" s="84">
        <f>F83*G83/1000</f>
        <v>112.94351999999998</v>
      </c>
      <c r="I83" s="13">
        <f>F83/12*G83</f>
        <v>9411.9599999999991</v>
      </c>
    </row>
    <row r="84" spans="1:9" ht="15.75" customHeight="1">
      <c r="A84" s="46"/>
      <c r="B84" s="37" t="s">
        <v>85</v>
      </c>
      <c r="C84" s="38"/>
      <c r="D84" s="15"/>
      <c r="E84" s="15"/>
      <c r="F84" s="15"/>
      <c r="G84" s="19"/>
      <c r="H84" s="19"/>
      <c r="I84" s="33">
        <f>SUM(I16+I17+I18+I20+I21+I26+I27+I38+I39+I41+I42+I43+I44+I51+I55+I58+I61+I65+I82+I83)</f>
        <v>96698.328296249994</v>
      </c>
    </row>
    <row r="85" spans="1:9" ht="15.75" customHeight="1">
      <c r="A85" s="150" t="s">
        <v>64</v>
      </c>
      <c r="B85" s="151"/>
      <c r="C85" s="151"/>
      <c r="D85" s="151"/>
      <c r="E85" s="151"/>
      <c r="F85" s="151"/>
      <c r="G85" s="151"/>
      <c r="H85" s="151"/>
      <c r="I85" s="152"/>
    </row>
    <row r="86" spans="1:9" ht="31.5" customHeight="1">
      <c r="A86" s="30">
        <v>21</v>
      </c>
      <c r="B86" s="49" t="s">
        <v>196</v>
      </c>
      <c r="C86" s="51" t="s">
        <v>86</v>
      </c>
      <c r="D86" s="45"/>
      <c r="E86" s="13"/>
      <c r="F86" s="13">
        <v>3</v>
      </c>
      <c r="G86" s="13">
        <v>1385.91</v>
      </c>
      <c r="H86" s="84">
        <f t="shared" ref="H86:H92" si="7">G86*F86/1000</f>
        <v>4.1577300000000008</v>
      </c>
      <c r="I86" s="111">
        <f>G86*3</f>
        <v>4157.7300000000005</v>
      </c>
    </row>
    <row r="87" spans="1:9" ht="15.75" customHeight="1">
      <c r="A87" s="30">
        <v>22</v>
      </c>
      <c r="B87" s="49" t="s">
        <v>197</v>
      </c>
      <c r="C87" s="51" t="s">
        <v>89</v>
      </c>
      <c r="D87" s="45"/>
      <c r="E87" s="13"/>
      <c r="F87" s="13">
        <v>1</v>
      </c>
      <c r="G87" s="13">
        <v>203.68</v>
      </c>
      <c r="H87" s="84">
        <f t="shared" si="7"/>
        <v>0.20368</v>
      </c>
      <c r="I87" s="111">
        <f>G87</f>
        <v>203.68</v>
      </c>
    </row>
    <row r="88" spans="1:9" ht="31.5" customHeight="1">
      <c r="A88" s="30">
        <v>23</v>
      </c>
      <c r="B88" s="49" t="s">
        <v>185</v>
      </c>
      <c r="C88" s="51" t="s">
        <v>99</v>
      </c>
      <c r="D88" s="45"/>
      <c r="E88" s="13"/>
      <c r="F88" s="13">
        <v>5</v>
      </c>
      <c r="G88" s="13">
        <v>1078.9000000000001</v>
      </c>
      <c r="H88" s="84">
        <f t="shared" si="7"/>
        <v>5.3944999999999999</v>
      </c>
      <c r="I88" s="13">
        <f>G88*3</f>
        <v>3236.7000000000003</v>
      </c>
    </row>
    <row r="89" spans="1:9" ht="15.75" customHeight="1">
      <c r="A89" s="30">
        <v>24</v>
      </c>
      <c r="B89" s="49" t="s">
        <v>186</v>
      </c>
      <c r="C89" s="51" t="s">
        <v>131</v>
      </c>
      <c r="D89" s="14"/>
      <c r="E89" s="19"/>
      <c r="F89" s="13">
        <v>4</v>
      </c>
      <c r="G89" s="13">
        <v>140</v>
      </c>
      <c r="H89" s="84">
        <f t="shared" si="7"/>
        <v>0.56000000000000005</v>
      </c>
      <c r="I89" s="13">
        <f>G89*2</f>
        <v>280</v>
      </c>
    </row>
    <row r="90" spans="1:9" ht="15.75" customHeight="1">
      <c r="A90" s="30">
        <v>25</v>
      </c>
      <c r="B90" s="49" t="s">
        <v>189</v>
      </c>
      <c r="C90" s="51" t="s">
        <v>131</v>
      </c>
      <c r="D90" s="14"/>
      <c r="E90" s="19"/>
      <c r="F90" s="13">
        <v>3</v>
      </c>
      <c r="G90" s="13">
        <v>70</v>
      </c>
      <c r="H90" s="84">
        <f t="shared" si="7"/>
        <v>0.21</v>
      </c>
      <c r="I90" s="13">
        <f>G90</f>
        <v>70</v>
      </c>
    </row>
    <row r="91" spans="1:9" ht="15.75" customHeight="1">
      <c r="A91" s="30">
        <v>26</v>
      </c>
      <c r="B91" s="49" t="s">
        <v>190</v>
      </c>
      <c r="C91" s="51" t="s">
        <v>131</v>
      </c>
      <c r="D91" s="45"/>
      <c r="E91" s="13"/>
      <c r="F91" s="13">
        <v>3</v>
      </c>
      <c r="G91" s="13">
        <v>108</v>
      </c>
      <c r="H91" s="84">
        <f t="shared" si="7"/>
        <v>0.32400000000000001</v>
      </c>
      <c r="I91" s="13">
        <f>G91</f>
        <v>108</v>
      </c>
    </row>
    <row r="92" spans="1:9" ht="15.75" customHeight="1">
      <c r="A92" s="30">
        <v>27</v>
      </c>
      <c r="B92" s="49" t="s">
        <v>187</v>
      </c>
      <c r="C92" s="51" t="s">
        <v>131</v>
      </c>
      <c r="D92" s="45"/>
      <c r="E92" s="13"/>
      <c r="F92" s="13">
        <v>2</v>
      </c>
      <c r="G92" s="13">
        <v>40</v>
      </c>
      <c r="H92" s="84">
        <f t="shared" si="7"/>
        <v>0.08</v>
      </c>
      <c r="I92" s="13">
        <f>G92*2</f>
        <v>80</v>
      </c>
    </row>
    <row r="93" spans="1:9" ht="15.75" customHeight="1">
      <c r="A93" s="30"/>
      <c r="B93" s="43" t="s">
        <v>54</v>
      </c>
      <c r="C93" s="39"/>
      <c r="D93" s="47"/>
      <c r="E93" s="39">
        <v>1</v>
      </c>
      <c r="F93" s="39"/>
      <c r="G93" s="39"/>
      <c r="H93" s="39"/>
      <c r="I93" s="33">
        <f>SUM(I86:I92)</f>
        <v>8136.1100000000006</v>
      </c>
    </row>
    <row r="94" spans="1:9" ht="15.75" customHeight="1">
      <c r="A94" s="30"/>
      <c r="B94" s="45" t="s">
        <v>83</v>
      </c>
      <c r="C94" s="15"/>
      <c r="D94" s="15"/>
      <c r="E94" s="40"/>
      <c r="F94" s="40"/>
      <c r="G94" s="41"/>
      <c r="H94" s="41"/>
      <c r="I94" s="18">
        <v>0</v>
      </c>
    </row>
    <row r="95" spans="1:9" ht="15.75" customHeight="1">
      <c r="A95" s="48"/>
      <c r="B95" s="44" t="s">
        <v>198</v>
      </c>
      <c r="C95" s="34"/>
      <c r="D95" s="34"/>
      <c r="E95" s="34"/>
      <c r="F95" s="34"/>
      <c r="G95" s="34"/>
      <c r="H95" s="34"/>
      <c r="I95" s="42">
        <f>I84+I93</f>
        <v>104834.43829624999</v>
      </c>
    </row>
    <row r="96" spans="1:9" ht="15.75" customHeight="1">
      <c r="A96" s="147" t="s">
        <v>277</v>
      </c>
      <c r="B96" s="147"/>
      <c r="C96" s="147"/>
      <c r="D96" s="147"/>
      <c r="E96" s="147"/>
      <c r="F96" s="147"/>
      <c r="G96" s="147"/>
      <c r="H96" s="147"/>
      <c r="I96" s="147"/>
    </row>
    <row r="97" spans="1:9" ht="15.75" customHeight="1">
      <c r="A97" s="58"/>
      <c r="B97" s="148" t="s">
        <v>278</v>
      </c>
      <c r="C97" s="148"/>
      <c r="D97" s="148"/>
      <c r="E97" s="148"/>
      <c r="F97" s="148"/>
      <c r="G97" s="148"/>
      <c r="H97" s="66"/>
      <c r="I97" s="3"/>
    </row>
    <row r="98" spans="1:9" ht="15.75" customHeight="1">
      <c r="A98" s="52"/>
      <c r="B98" s="138" t="s">
        <v>6</v>
      </c>
      <c r="C98" s="138"/>
      <c r="D98" s="138"/>
      <c r="E98" s="138"/>
      <c r="F98" s="138"/>
      <c r="G98" s="138"/>
      <c r="H98" s="25"/>
      <c r="I98" s="5"/>
    </row>
    <row r="99" spans="1:9" ht="7.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49" t="s">
        <v>7</v>
      </c>
      <c r="B100" s="149"/>
      <c r="C100" s="149"/>
      <c r="D100" s="149"/>
      <c r="E100" s="149"/>
      <c r="F100" s="149"/>
      <c r="G100" s="149"/>
      <c r="H100" s="149"/>
      <c r="I100" s="149"/>
    </row>
    <row r="101" spans="1:9" ht="15.75" customHeight="1">
      <c r="A101" s="149" t="s">
        <v>8</v>
      </c>
      <c r="B101" s="149"/>
      <c r="C101" s="149"/>
      <c r="D101" s="149"/>
      <c r="E101" s="149"/>
      <c r="F101" s="149"/>
      <c r="G101" s="149"/>
      <c r="H101" s="149"/>
      <c r="I101" s="149"/>
    </row>
    <row r="102" spans="1:9" ht="15.75" customHeight="1">
      <c r="A102" s="142" t="s">
        <v>65</v>
      </c>
      <c r="B102" s="142"/>
      <c r="C102" s="142"/>
      <c r="D102" s="142"/>
      <c r="E102" s="142"/>
      <c r="F102" s="142"/>
      <c r="G102" s="142"/>
      <c r="H102" s="142"/>
      <c r="I102" s="142"/>
    </row>
    <row r="103" spans="1:9" ht="7.5" customHeight="1">
      <c r="A103" s="11"/>
    </row>
    <row r="104" spans="1:9" ht="15.75" customHeight="1">
      <c r="A104" s="136" t="s">
        <v>9</v>
      </c>
      <c r="B104" s="136"/>
      <c r="C104" s="136"/>
      <c r="D104" s="136"/>
      <c r="E104" s="136"/>
      <c r="F104" s="136"/>
      <c r="G104" s="136"/>
      <c r="H104" s="136"/>
      <c r="I104" s="136"/>
    </row>
    <row r="105" spans="1:9" ht="15.75" customHeight="1">
      <c r="A105" s="4"/>
    </row>
    <row r="106" spans="1:9" ht="15.75" customHeight="1">
      <c r="B106" s="55" t="s">
        <v>10</v>
      </c>
      <c r="C106" s="137" t="s">
        <v>95</v>
      </c>
      <c r="D106" s="137"/>
      <c r="E106" s="137"/>
      <c r="F106" s="64"/>
      <c r="I106" s="54"/>
    </row>
    <row r="107" spans="1:9" ht="15.75" customHeight="1">
      <c r="A107" s="52"/>
      <c r="C107" s="138" t="s">
        <v>11</v>
      </c>
      <c r="D107" s="138"/>
      <c r="E107" s="138"/>
      <c r="F107" s="25"/>
      <c r="I107" s="53" t="s">
        <v>12</v>
      </c>
    </row>
    <row r="108" spans="1:9" ht="15.75" customHeight="1">
      <c r="A108" s="26"/>
      <c r="C108" s="12"/>
      <c r="D108" s="12"/>
      <c r="G108" s="12"/>
      <c r="H108" s="12"/>
    </row>
    <row r="109" spans="1:9" ht="15.75" customHeight="1">
      <c r="B109" s="55" t="s">
        <v>13</v>
      </c>
      <c r="C109" s="139"/>
      <c r="D109" s="139"/>
      <c r="E109" s="139"/>
      <c r="F109" s="65"/>
      <c r="I109" s="54"/>
    </row>
    <row r="110" spans="1:9" ht="15.75" customHeight="1">
      <c r="A110" s="52"/>
      <c r="C110" s="140" t="s">
        <v>11</v>
      </c>
      <c r="D110" s="140"/>
      <c r="E110" s="140"/>
      <c r="F110" s="52"/>
      <c r="I110" s="53" t="s">
        <v>12</v>
      </c>
    </row>
    <row r="111" spans="1:9" ht="15.75" customHeight="1">
      <c r="A111" s="4" t="s">
        <v>14</v>
      </c>
    </row>
    <row r="112" spans="1:9" ht="15.75" customHeight="1">
      <c r="A112" s="141" t="s">
        <v>15</v>
      </c>
      <c r="B112" s="141"/>
      <c r="C112" s="141"/>
      <c r="D112" s="141"/>
      <c r="E112" s="141"/>
      <c r="F112" s="141"/>
      <c r="G112" s="141"/>
      <c r="H112" s="141"/>
      <c r="I112" s="141"/>
    </row>
    <row r="113" spans="1:9" ht="45" customHeight="1">
      <c r="A113" s="135" t="s">
        <v>16</v>
      </c>
      <c r="B113" s="135"/>
      <c r="C113" s="135"/>
      <c r="D113" s="135"/>
      <c r="E113" s="135"/>
      <c r="F113" s="135"/>
      <c r="G113" s="135"/>
      <c r="H113" s="135"/>
      <c r="I113" s="135"/>
    </row>
    <row r="114" spans="1:9" ht="30" customHeight="1">
      <c r="A114" s="135" t="s">
        <v>17</v>
      </c>
      <c r="B114" s="135"/>
      <c r="C114" s="135"/>
      <c r="D114" s="135"/>
      <c r="E114" s="135"/>
      <c r="F114" s="135"/>
      <c r="G114" s="135"/>
      <c r="H114" s="135"/>
      <c r="I114" s="135"/>
    </row>
    <row r="115" spans="1:9" ht="30" customHeight="1">
      <c r="A115" s="135" t="s">
        <v>21</v>
      </c>
      <c r="B115" s="135"/>
      <c r="C115" s="135"/>
      <c r="D115" s="135"/>
      <c r="E115" s="135"/>
      <c r="F115" s="135"/>
      <c r="G115" s="135"/>
      <c r="H115" s="135"/>
      <c r="I115" s="135"/>
    </row>
    <row r="116" spans="1:9" ht="15" customHeight="1">
      <c r="A116" s="135" t="s">
        <v>20</v>
      </c>
      <c r="B116" s="135"/>
      <c r="C116" s="135"/>
      <c r="D116" s="135"/>
      <c r="E116" s="135"/>
      <c r="F116" s="135"/>
      <c r="G116" s="135"/>
      <c r="H116" s="135"/>
      <c r="I116" s="135"/>
    </row>
  </sheetData>
  <autoFilter ref="I12:I62"/>
  <mergeCells count="29">
    <mergeCell ref="R67:U67"/>
    <mergeCell ref="A81:I81"/>
    <mergeCell ref="A3:I3"/>
    <mergeCell ref="A4:I4"/>
    <mergeCell ref="A5:I5"/>
    <mergeCell ref="A8:I8"/>
    <mergeCell ref="A10:I10"/>
    <mergeCell ref="A14:I14"/>
    <mergeCell ref="A102:I102"/>
    <mergeCell ref="A15:I15"/>
    <mergeCell ref="A28:I28"/>
    <mergeCell ref="A45:I45"/>
    <mergeCell ref="A56:I56"/>
    <mergeCell ref="A96:I96"/>
    <mergeCell ref="B97:G97"/>
    <mergeCell ref="B98:G98"/>
    <mergeCell ref="A100:I100"/>
    <mergeCell ref="A101:I101"/>
    <mergeCell ref="A85:I85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23"/>
  <sheetViews>
    <sheetView workbookViewId="0">
      <selection activeCell="I110" sqref="I110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9.28515625" hidden="1" customWidth="1"/>
    <col min="6" max="6" width="10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270</v>
      </c>
      <c r="I1" s="27"/>
      <c r="J1" s="1"/>
      <c r="K1" s="1"/>
      <c r="L1" s="1"/>
      <c r="M1" s="1"/>
    </row>
    <row r="2" spans="1:13" ht="15.75" customHeight="1">
      <c r="A2" s="29" t="s">
        <v>66</v>
      </c>
      <c r="J2" s="2"/>
      <c r="K2" s="2"/>
      <c r="L2" s="2"/>
      <c r="M2" s="2"/>
    </row>
    <row r="3" spans="1:13" ht="15.75" customHeight="1">
      <c r="A3" s="156" t="s">
        <v>179</v>
      </c>
      <c r="B3" s="156"/>
      <c r="C3" s="156"/>
      <c r="D3" s="156"/>
      <c r="E3" s="156"/>
      <c r="F3" s="156"/>
      <c r="G3" s="156"/>
      <c r="H3" s="156"/>
      <c r="I3" s="156"/>
      <c r="J3" s="3"/>
      <c r="K3" s="3"/>
      <c r="L3" s="3"/>
    </row>
    <row r="4" spans="1:13" ht="31.5" customHeight="1">
      <c r="A4" s="157" t="s">
        <v>142</v>
      </c>
      <c r="B4" s="157"/>
      <c r="C4" s="157"/>
      <c r="D4" s="157"/>
      <c r="E4" s="157"/>
      <c r="F4" s="157"/>
      <c r="G4" s="157"/>
      <c r="H4" s="157"/>
      <c r="I4" s="157"/>
    </row>
    <row r="5" spans="1:13" ht="15.75" customHeight="1">
      <c r="A5" s="156" t="s">
        <v>304</v>
      </c>
      <c r="B5" s="158"/>
      <c r="C5" s="158"/>
      <c r="D5" s="158"/>
      <c r="E5" s="158"/>
      <c r="F5" s="158"/>
      <c r="G5" s="158"/>
      <c r="H5" s="158"/>
      <c r="I5" s="158"/>
      <c r="J5" s="2"/>
      <c r="K5" s="2"/>
      <c r="L5" s="2"/>
      <c r="M5" s="2"/>
    </row>
    <row r="6" spans="1:13" ht="15.75" customHeight="1">
      <c r="A6" s="2"/>
      <c r="B6" s="56"/>
      <c r="C6" s="56"/>
      <c r="D6" s="56"/>
      <c r="E6" s="56"/>
      <c r="F6" s="56"/>
      <c r="G6" s="56"/>
      <c r="H6" s="56"/>
      <c r="I6" s="31">
        <v>43404</v>
      </c>
      <c r="J6" s="2"/>
      <c r="K6" s="2"/>
      <c r="L6" s="2"/>
      <c r="M6" s="2"/>
    </row>
    <row r="7" spans="1:13" ht="15.75" customHeight="1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9" t="s">
        <v>272</v>
      </c>
      <c r="B8" s="159"/>
      <c r="C8" s="159"/>
      <c r="D8" s="159"/>
      <c r="E8" s="159"/>
      <c r="F8" s="159"/>
      <c r="G8" s="159"/>
      <c r="H8" s="159"/>
      <c r="I8" s="15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60" t="s">
        <v>195</v>
      </c>
      <c r="B10" s="160"/>
      <c r="C10" s="160"/>
      <c r="D10" s="160"/>
      <c r="E10" s="160"/>
      <c r="F10" s="160"/>
      <c r="G10" s="160"/>
      <c r="H10" s="160"/>
      <c r="I10" s="16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61" t="s">
        <v>63</v>
      </c>
      <c r="B14" s="161"/>
      <c r="C14" s="161"/>
      <c r="D14" s="161"/>
      <c r="E14" s="161"/>
      <c r="F14" s="161"/>
      <c r="G14" s="161"/>
      <c r="H14" s="161"/>
      <c r="I14" s="161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7" t="s">
        <v>92</v>
      </c>
      <c r="C16" s="68" t="s">
        <v>111</v>
      </c>
      <c r="D16" s="67" t="s">
        <v>112</v>
      </c>
      <c r="E16" s="50">
        <v>127.9</v>
      </c>
      <c r="F16" s="69">
        <f>SUM(E16*156/100)</f>
        <v>199.524</v>
      </c>
      <c r="G16" s="69">
        <v>187.48</v>
      </c>
      <c r="H16" s="70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67" t="s">
        <v>100</v>
      </c>
      <c r="C17" s="68" t="s">
        <v>111</v>
      </c>
      <c r="D17" s="67" t="s">
        <v>166</v>
      </c>
      <c r="E17" s="50">
        <v>511.6</v>
      </c>
      <c r="F17" s="69">
        <f>SUM(E17*104/100)</f>
        <v>532.06399999999996</v>
      </c>
      <c r="G17" s="69">
        <v>185.48</v>
      </c>
      <c r="H17" s="70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67" t="s">
        <v>101</v>
      </c>
      <c r="C18" s="68" t="s">
        <v>111</v>
      </c>
      <c r="D18" s="67" t="s">
        <v>113</v>
      </c>
      <c r="E18" s="50">
        <f>SUM(E16+E17)</f>
        <v>639.5</v>
      </c>
      <c r="F18" s="69">
        <f>SUM(E18*24/100)</f>
        <v>153.47999999999999</v>
      </c>
      <c r="G18" s="69">
        <v>539.30999999999995</v>
      </c>
      <c r="H18" s="70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67" t="s">
        <v>114</v>
      </c>
      <c r="C19" s="68" t="s">
        <v>115</v>
      </c>
      <c r="D19" s="67" t="s">
        <v>116</v>
      </c>
      <c r="E19" s="50">
        <v>38.4</v>
      </c>
      <c r="F19" s="69">
        <f>SUM(E19/10)</f>
        <v>3.84</v>
      </c>
      <c r="G19" s="69">
        <v>181.91</v>
      </c>
      <c r="H19" s="70">
        <f t="shared" si="0"/>
        <v>0.6985344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67" t="s">
        <v>105</v>
      </c>
      <c r="C20" s="68" t="s">
        <v>111</v>
      </c>
      <c r="D20" s="67" t="s">
        <v>30</v>
      </c>
      <c r="E20" s="50">
        <v>58.4</v>
      </c>
      <c r="F20" s="69">
        <f>SUM(E20*12/100)</f>
        <v>7.0079999999999991</v>
      </c>
      <c r="G20" s="69">
        <v>232.92</v>
      </c>
      <c r="H20" s="70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7" t="s">
        <v>106</v>
      </c>
      <c r="C21" s="68" t="s">
        <v>111</v>
      </c>
      <c r="D21" s="67" t="s">
        <v>110</v>
      </c>
      <c r="E21" s="50">
        <v>9.08</v>
      </c>
      <c r="F21" s="69">
        <f>SUM(E21*6/100)</f>
        <v>0.54480000000000006</v>
      </c>
      <c r="G21" s="69">
        <v>231.03</v>
      </c>
      <c r="H21" s="70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67" t="s">
        <v>117</v>
      </c>
      <c r="C22" s="68" t="s">
        <v>56</v>
      </c>
      <c r="D22" s="67" t="s">
        <v>116</v>
      </c>
      <c r="E22" s="50">
        <v>714</v>
      </c>
      <c r="F22" s="69">
        <f>SUM(E22/100)</f>
        <v>7.14</v>
      </c>
      <c r="G22" s="69">
        <v>287.83999999999997</v>
      </c>
      <c r="H22" s="70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67" t="s">
        <v>118</v>
      </c>
      <c r="C23" s="68" t="s">
        <v>56</v>
      </c>
      <c r="D23" s="67" t="s">
        <v>116</v>
      </c>
      <c r="E23" s="63">
        <v>96.6</v>
      </c>
      <c r="F23" s="69">
        <f>SUM(E23/100)</f>
        <v>0.96599999999999997</v>
      </c>
      <c r="G23" s="69">
        <v>47.34</v>
      </c>
      <c r="H23" s="70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67" t="s">
        <v>108</v>
      </c>
      <c r="C24" s="68" t="s">
        <v>56</v>
      </c>
      <c r="D24" s="67" t="s">
        <v>116</v>
      </c>
      <c r="E24" s="19">
        <v>40</v>
      </c>
      <c r="F24" s="71">
        <v>4.8</v>
      </c>
      <c r="G24" s="69">
        <v>416.62</v>
      </c>
      <c r="H24" s="70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67" t="s">
        <v>109</v>
      </c>
      <c r="C25" s="68" t="s">
        <v>56</v>
      </c>
      <c r="D25" s="67" t="s">
        <v>116</v>
      </c>
      <c r="E25" s="50">
        <v>17</v>
      </c>
      <c r="F25" s="69">
        <f>SUM(E25/100)</f>
        <v>0.17</v>
      </c>
      <c r="G25" s="69">
        <v>556.74</v>
      </c>
      <c r="H25" s="70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customHeight="1">
      <c r="A26" s="30">
        <v>5</v>
      </c>
      <c r="B26" s="67" t="s">
        <v>68</v>
      </c>
      <c r="C26" s="68" t="s">
        <v>34</v>
      </c>
      <c r="D26" s="67"/>
      <c r="E26" s="50">
        <v>0.1</v>
      </c>
      <c r="F26" s="69">
        <f>SUM(E26*365)</f>
        <v>36.5</v>
      </c>
      <c r="G26" s="69">
        <v>157.18</v>
      </c>
      <c r="H26" s="70">
        <f>SUM(F26*G26/1000)</f>
        <v>5.737070000000001</v>
      </c>
      <c r="I26" s="13">
        <f>F26/12*G26</f>
        <v>478.08916666666664</v>
      </c>
      <c r="J26" s="24"/>
    </row>
    <row r="27" spans="1:13" ht="15.75" customHeight="1">
      <c r="A27" s="30">
        <v>6</v>
      </c>
      <c r="B27" s="75" t="s">
        <v>23</v>
      </c>
      <c r="C27" s="68" t="s">
        <v>24</v>
      </c>
      <c r="D27" s="75"/>
      <c r="E27" s="50">
        <v>4591.2</v>
      </c>
      <c r="F27" s="69">
        <f>SUM(E27*12)</f>
        <v>55094.399999999994</v>
      </c>
      <c r="G27" s="69">
        <v>5.85</v>
      </c>
      <c r="H27" s="70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43" t="s">
        <v>90</v>
      </c>
      <c r="B28" s="143"/>
      <c r="C28" s="143"/>
      <c r="D28" s="143"/>
      <c r="E28" s="143"/>
      <c r="F28" s="143"/>
      <c r="G28" s="143"/>
      <c r="H28" s="143"/>
      <c r="I28" s="143"/>
      <c r="J28" s="23"/>
      <c r="K28" s="8"/>
      <c r="L28" s="8"/>
      <c r="M28" s="8"/>
    </row>
    <row r="29" spans="1:13" ht="15.75" customHeight="1">
      <c r="A29" s="30"/>
      <c r="B29" s="89" t="s">
        <v>28</v>
      </c>
      <c r="C29" s="68"/>
      <c r="D29" s="67"/>
      <c r="E29" s="50"/>
      <c r="F29" s="69"/>
      <c r="G29" s="69"/>
      <c r="H29" s="70"/>
      <c r="I29" s="13"/>
      <c r="J29" s="23"/>
      <c r="K29" s="8"/>
      <c r="L29" s="8"/>
      <c r="M29" s="8"/>
    </row>
    <row r="30" spans="1:13" ht="15.75" customHeight="1">
      <c r="A30" s="30">
        <v>7</v>
      </c>
      <c r="B30" s="67" t="s">
        <v>119</v>
      </c>
      <c r="C30" s="68" t="s">
        <v>120</v>
      </c>
      <c r="D30" s="67" t="s">
        <v>121</v>
      </c>
      <c r="E30" s="69">
        <v>844.95</v>
      </c>
      <c r="F30" s="69">
        <f>SUM(E30*52/1000)</f>
        <v>43.937400000000004</v>
      </c>
      <c r="G30" s="69">
        <v>166.65</v>
      </c>
      <c r="H30" s="70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customHeight="1">
      <c r="A31" s="30">
        <v>8</v>
      </c>
      <c r="B31" s="67" t="s">
        <v>167</v>
      </c>
      <c r="C31" s="68" t="s">
        <v>120</v>
      </c>
      <c r="D31" s="67" t="s">
        <v>122</v>
      </c>
      <c r="E31" s="69">
        <v>260.13</v>
      </c>
      <c r="F31" s="69">
        <f>SUM(E31*78/1000)</f>
        <v>20.290140000000001</v>
      </c>
      <c r="G31" s="69">
        <v>276.48</v>
      </c>
      <c r="H31" s="70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67" t="s">
        <v>27</v>
      </c>
      <c r="C32" s="68" t="s">
        <v>120</v>
      </c>
      <c r="D32" s="67" t="s">
        <v>57</v>
      </c>
      <c r="E32" s="69">
        <v>844.95</v>
      </c>
      <c r="F32" s="69">
        <f>SUM(E32/1000)</f>
        <v>0.84495000000000009</v>
      </c>
      <c r="G32" s="69">
        <v>3228.73</v>
      </c>
      <c r="H32" s="70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customHeight="1">
      <c r="A33" s="30">
        <v>9</v>
      </c>
      <c r="B33" s="67" t="s">
        <v>154</v>
      </c>
      <c r="C33" s="68" t="s">
        <v>42</v>
      </c>
      <c r="D33" s="67" t="s">
        <v>67</v>
      </c>
      <c r="E33" s="69">
        <v>8</v>
      </c>
      <c r="F33" s="69">
        <v>12.4</v>
      </c>
      <c r="G33" s="69">
        <v>1391.86</v>
      </c>
      <c r="H33" s="70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customHeight="1">
      <c r="A34" s="30">
        <v>10</v>
      </c>
      <c r="B34" s="67" t="s">
        <v>123</v>
      </c>
      <c r="C34" s="68" t="s">
        <v>31</v>
      </c>
      <c r="D34" s="67" t="s">
        <v>67</v>
      </c>
      <c r="E34" s="74">
        <v>0.33333333333333331</v>
      </c>
      <c r="F34" s="69">
        <f>155/3</f>
        <v>51.666666666666664</v>
      </c>
      <c r="G34" s="69">
        <v>60.6</v>
      </c>
      <c r="H34" s="70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67" t="s">
        <v>69</v>
      </c>
      <c r="C35" s="68" t="s">
        <v>34</v>
      </c>
      <c r="D35" s="67" t="s">
        <v>71</v>
      </c>
      <c r="E35" s="50"/>
      <c r="F35" s="69">
        <v>3</v>
      </c>
      <c r="G35" s="69">
        <v>204.32</v>
      </c>
      <c r="H35" s="70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67" t="s">
        <v>70</v>
      </c>
      <c r="C36" s="68" t="s">
        <v>33</v>
      </c>
      <c r="D36" s="67" t="s">
        <v>71</v>
      </c>
      <c r="E36" s="50"/>
      <c r="F36" s="69">
        <v>2</v>
      </c>
      <c r="G36" s="69">
        <v>1214.73</v>
      </c>
      <c r="H36" s="70">
        <f t="shared" si="1"/>
        <v>2.4294600000000002</v>
      </c>
      <c r="I36" s="13">
        <v>0</v>
      </c>
      <c r="J36" s="24"/>
    </row>
    <row r="37" spans="1:14" ht="15.75" hidden="1" customHeight="1">
      <c r="A37" s="30"/>
      <c r="B37" s="89" t="s">
        <v>5</v>
      </c>
      <c r="C37" s="68"/>
      <c r="D37" s="67"/>
      <c r="E37" s="50"/>
      <c r="F37" s="69"/>
      <c r="G37" s="69"/>
      <c r="H37" s="70" t="s">
        <v>139</v>
      </c>
      <c r="I37" s="13"/>
      <c r="J37" s="24"/>
    </row>
    <row r="38" spans="1:14" ht="15.75" hidden="1" customHeight="1">
      <c r="A38" s="30">
        <v>8</v>
      </c>
      <c r="B38" s="67" t="s">
        <v>26</v>
      </c>
      <c r="C38" s="68" t="s">
        <v>33</v>
      </c>
      <c r="D38" s="67"/>
      <c r="E38" s="50"/>
      <c r="F38" s="69">
        <v>10</v>
      </c>
      <c r="G38" s="69">
        <v>1632.6</v>
      </c>
      <c r="H38" s="70">
        <f t="shared" ref="H38:H44" si="3">SUM(F38*G38/1000)</f>
        <v>16.326000000000001</v>
      </c>
      <c r="I38" s="13">
        <f>F38/6*G38</f>
        <v>2721</v>
      </c>
      <c r="J38" s="24"/>
    </row>
    <row r="39" spans="1:14" ht="15.75" hidden="1" customHeight="1">
      <c r="A39" s="30">
        <v>9</v>
      </c>
      <c r="B39" s="67" t="s">
        <v>155</v>
      </c>
      <c r="C39" s="68" t="s">
        <v>29</v>
      </c>
      <c r="D39" s="67" t="s">
        <v>124</v>
      </c>
      <c r="E39" s="69">
        <v>254.8</v>
      </c>
      <c r="F39" s="69">
        <f>SUM(E39*30/1000)</f>
        <v>7.6440000000000001</v>
      </c>
      <c r="G39" s="69">
        <v>2247.8000000000002</v>
      </c>
      <c r="H39" s="70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67" t="s">
        <v>102</v>
      </c>
      <c r="C40" s="68" t="s">
        <v>125</v>
      </c>
      <c r="D40" s="67" t="s">
        <v>71</v>
      </c>
      <c r="E40" s="50"/>
      <c r="F40" s="69">
        <v>40</v>
      </c>
      <c r="G40" s="69">
        <v>213.2</v>
      </c>
      <c r="H40" s="70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hidden="1" customHeight="1">
      <c r="A41" s="30">
        <v>10</v>
      </c>
      <c r="B41" s="67" t="s">
        <v>72</v>
      </c>
      <c r="C41" s="68" t="s">
        <v>29</v>
      </c>
      <c r="D41" s="67" t="s">
        <v>126</v>
      </c>
      <c r="E41" s="69">
        <v>260.13</v>
      </c>
      <c r="F41" s="69">
        <f>SUM(E41*155/1000)</f>
        <v>40.320149999999998</v>
      </c>
      <c r="G41" s="69">
        <v>374.95</v>
      </c>
      <c r="H41" s="70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hidden="1" customHeight="1">
      <c r="A42" s="30">
        <v>11</v>
      </c>
      <c r="B42" s="67" t="s">
        <v>88</v>
      </c>
      <c r="C42" s="68" t="s">
        <v>120</v>
      </c>
      <c r="D42" s="67" t="s">
        <v>127</v>
      </c>
      <c r="E42" s="69">
        <v>132.72999999999999</v>
      </c>
      <c r="F42" s="69">
        <f>SUM(E42*35/1000)</f>
        <v>4.6455499999999992</v>
      </c>
      <c r="G42" s="69">
        <v>6203.7</v>
      </c>
      <c r="H42" s="70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hidden="1" customHeight="1">
      <c r="A43" s="30">
        <v>12</v>
      </c>
      <c r="B43" s="67" t="s">
        <v>128</v>
      </c>
      <c r="C43" s="68" t="s">
        <v>120</v>
      </c>
      <c r="D43" s="67" t="s">
        <v>73</v>
      </c>
      <c r="E43" s="69">
        <v>254.8</v>
      </c>
      <c r="F43" s="69">
        <f>SUM(E43*45/1000)</f>
        <v>11.465999999999999</v>
      </c>
      <c r="G43" s="69">
        <v>458.28</v>
      </c>
      <c r="H43" s="70">
        <f t="shared" si="3"/>
        <v>5.2546384799999997</v>
      </c>
      <c r="I43" s="13">
        <f>F43/6*G43</f>
        <v>875.77307999999982</v>
      </c>
      <c r="J43" s="24"/>
      <c r="L43" s="20"/>
      <c r="M43" s="21"/>
      <c r="N43" s="22"/>
    </row>
    <row r="44" spans="1:14" ht="15.75" hidden="1" customHeight="1">
      <c r="A44" s="30">
        <v>13</v>
      </c>
      <c r="B44" s="67" t="s">
        <v>74</v>
      </c>
      <c r="C44" s="68" t="s">
        <v>34</v>
      </c>
      <c r="D44" s="67"/>
      <c r="E44" s="50"/>
      <c r="F44" s="69">
        <v>0.9</v>
      </c>
      <c r="G44" s="69">
        <v>853.06</v>
      </c>
      <c r="H44" s="70">
        <f t="shared" si="3"/>
        <v>0.76775400000000005</v>
      </c>
      <c r="I44" s="13">
        <f>F44/6*G44</f>
        <v>127.95899999999999</v>
      </c>
      <c r="J44" s="24"/>
      <c r="L44" s="20"/>
      <c r="M44" s="21"/>
      <c r="N44" s="22"/>
    </row>
    <row r="45" spans="1:14" ht="15.75" customHeight="1">
      <c r="A45" s="144" t="s">
        <v>149</v>
      </c>
      <c r="B45" s="145"/>
      <c r="C45" s="145"/>
      <c r="D45" s="145"/>
      <c r="E45" s="145"/>
      <c r="F45" s="145"/>
      <c r="G45" s="145"/>
      <c r="H45" s="145"/>
      <c r="I45" s="146"/>
      <c r="J45" s="24"/>
      <c r="L45" s="20"/>
      <c r="M45" s="21"/>
      <c r="N45" s="22"/>
    </row>
    <row r="46" spans="1:14" ht="15.75" hidden="1" customHeight="1">
      <c r="A46" s="30"/>
      <c r="B46" s="67" t="s">
        <v>143</v>
      </c>
      <c r="C46" s="68" t="s">
        <v>120</v>
      </c>
      <c r="D46" s="67" t="s">
        <v>44</v>
      </c>
      <c r="E46" s="50">
        <v>1795.9</v>
      </c>
      <c r="F46" s="69">
        <f>SUM(E46*2/1000)</f>
        <v>3.5918000000000001</v>
      </c>
      <c r="G46" s="13">
        <v>865.61</v>
      </c>
      <c r="H46" s="70">
        <f t="shared" ref="H46:H55" si="4">SUM(F46*G46/1000)</f>
        <v>3.1090979980000002</v>
      </c>
      <c r="I46" s="13">
        <v>0</v>
      </c>
      <c r="J46" s="24"/>
      <c r="L46" s="20"/>
      <c r="M46" s="21"/>
      <c r="N46" s="22"/>
    </row>
    <row r="47" spans="1:14" ht="15.75" hidden="1" customHeight="1">
      <c r="A47" s="30"/>
      <c r="B47" s="67" t="s">
        <v>37</v>
      </c>
      <c r="C47" s="68" t="s">
        <v>120</v>
      </c>
      <c r="D47" s="67" t="s">
        <v>44</v>
      </c>
      <c r="E47" s="50">
        <v>104</v>
      </c>
      <c r="F47" s="69">
        <f>SUM(E47*2/1000)</f>
        <v>0.20799999999999999</v>
      </c>
      <c r="G47" s="13">
        <v>619.46</v>
      </c>
      <c r="H47" s="70">
        <f t="shared" si="4"/>
        <v>0.12884767999999999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30"/>
      <c r="B48" s="67" t="s">
        <v>38</v>
      </c>
      <c r="C48" s="68" t="s">
        <v>120</v>
      </c>
      <c r="D48" s="67" t="s">
        <v>44</v>
      </c>
      <c r="E48" s="50">
        <v>1996.87</v>
      </c>
      <c r="F48" s="69">
        <f>SUM(E48*2/1000)</f>
        <v>3.9937399999999998</v>
      </c>
      <c r="G48" s="13">
        <v>619.46</v>
      </c>
      <c r="H48" s="70">
        <f t="shared" si="4"/>
        <v>2.4739621804</v>
      </c>
      <c r="I48" s="13">
        <v>0</v>
      </c>
      <c r="J48" s="24"/>
      <c r="L48" s="20"/>
      <c r="M48" s="21"/>
      <c r="N48" s="22"/>
    </row>
    <row r="49" spans="1:14" ht="15.75" hidden="1" customHeight="1">
      <c r="A49" s="30"/>
      <c r="B49" s="67" t="s">
        <v>39</v>
      </c>
      <c r="C49" s="68" t="s">
        <v>120</v>
      </c>
      <c r="D49" s="67" t="s">
        <v>44</v>
      </c>
      <c r="E49" s="50">
        <v>2630.35</v>
      </c>
      <c r="F49" s="69">
        <f>SUM(E49*2/1000)</f>
        <v>5.2606999999999999</v>
      </c>
      <c r="G49" s="13">
        <v>648.64</v>
      </c>
      <c r="H49" s="70">
        <f t="shared" si="4"/>
        <v>3.4123004479999999</v>
      </c>
      <c r="I49" s="13">
        <v>0</v>
      </c>
      <c r="J49" s="24"/>
      <c r="L49" s="20"/>
      <c r="M49" s="21"/>
      <c r="N49" s="22"/>
    </row>
    <row r="50" spans="1:14" ht="15.75" hidden="1" customHeight="1">
      <c r="A50" s="30"/>
      <c r="B50" s="67" t="s">
        <v>35</v>
      </c>
      <c r="C50" s="68" t="s">
        <v>36</v>
      </c>
      <c r="D50" s="67" t="s">
        <v>44</v>
      </c>
      <c r="E50" s="50">
        <v>131.47</v>
      </c>
      <c r="F50" s="69">
        <f>SUM(E50*2/100)</f>
        <v>2.6294</v>
      </c>
      <c r="G50" s="13">
        <v>77.84</v>
      </c>
      <c r="H50" s="70">
        <f t="shared" si="4"/>
        <v>0.20467249599999998</v>
      </c>
      <c r="I50" s="13">
        <v>0</v>
      </c>
      <c r="J50" s="24"/>
      <c r="L50" s="20"/>
      <c r="M50" s="21"/>
      <c r="N50" s="22"/>
    </row>
    <row r="51" spans="1:14" ht="15.75" hidden="1" customHeight="1">
      <c r="A51" s="30">
        <v>14</v>
      </c>
      <c r="B51" s="67" t="s">
        <v>60</v>
      </c>
      <c r="C51" s="68" t="s">
        <v>120</v>
      </c>
      <c r="D51" s="67" t="s">
        <v>168</v>
      </c>
      <c r="E51" s="50">
        <v>2872.4</v>
      </c>
      <c r="F51" s="69">
        <f>SUM(E51*5/1000)</f>
        <v>14.362</v>
      </c>
      <c r="G51" s="13">
        <v>1297.28</v>
      </c>
      <c r="H51" s="70">
        <f t="shared" si="4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14" ht="31.5" customHeight="1">
      <c r="A52" s="30">
        <v>11</v>
      </c>
      <c r="B52" s="67" t="s">
        <v>129</v>
      </c>
      <c r="C52" s="68" t="s">
        <v>120</v>
      </c>
      <c r="D52" s="67" t="s">
        <v>44</v>
      </c>
      <c r="E52" s="50">
        <v>2872.4</v>
      </c>
      <c r="F52" s="69">
        <f>SUM(E52*2/1000)</f>
        <v>5.7448000000000006</v>
      </c>
      <c r="G52" s="13">
        <v>1297.28</v>
      </c>
      <c r="H52" s="70">
        <f t="shared" si="4"/>
        <v>7.4526141440000009</v>
      </c>
      <c r="I52" s="13">
        <f>F52/2*G52</f>
        <v>3726.3070720000005</v>
      </c>
      <c r="J52" s="24"/>
      <c r="L52" s="20"/>
      <c r="M52" s="21"/>
      <c r="N52" s="22"/>
    </row>
    <row r="53" spans="1:14" ht="31.5" customHeight="1">
      <c r="A53" s="30">
        <v>12</v>
      </c>
      <c r="B53" s="67" t="s">
        <v>130</v>
      </c>
      <c r="C53" s="68" t="s">
        <v>40</v>
      </c>
      <c r="D53" s="67" t="s">
        <v>44</v>
      </c>
      <c r="E53" s="50">
        <v>40</v>
      </c>
      <c r="F53" s="69">
        <f>SUM(E53*2/100)</f>
        <v>0.8</v>
      </c>
      <c r="G53" s="13">
        <v>2918.89</v>
      </c>
      <c r="H53" s="70">
        <f t="shared" si="4"/>
        <v>2.3351120000000001</v>
      </c>
      <c r="I53" s="13">
        <f t="shared" ref="I53:I54" si="5">F53/2*G53</f>
        <v>1167.556</v>
      </c>
      <c r="J53" s="24"/>
      <c r="L53" s="20"/>
      <c r="M53" s="21"/>
      <c r="N53" s="22"/>
    </row>
    <row r="54" spans="1:14" ht="15.75" customHeight="1">
      <c r="A54" s="30">
        <v>13</v>
      </c>
      <c r="B54" s="67" t="s">
        <v>41</v>
      </c>
      <c r="C54" s="68" t="s">
        <v>42</v>
      </c>
      <c r="D54" s="67" t="s">
        <v>44</v>
      </c>
      <c r="E54" s="50">
        <v>1</v>
      </c>
      <c r="F54" s="69">
        <v>0.02</v>
      </c>
      <c r="G54" s="13">
        <v>6042.12</v>
      </c>
      <c r="H54" s="70">
        <f t="shared" si="4"/>
        <v>0.1208424</v>
      </c>
      <c r="I54" s="13">
        <f t="shared" si="5"/>
        <v>60.421199999999999</v>
      </c>
      <c r="J54" s="24"/>
      <c r="L54" s="20"/>
      <c r="M54" s="21"/>
      <c r="N54" s="22"/>
    </row>
    <row r="55" spans="1:14" ht="15.75" customHeight="1">
      <c r="A55" s="30">
        <v>14</v>
      </c>
      <c r="B55" s="67" t="s">
        <v>43</v>
      </c>
      <c r="C55" s="68" t="s">
        <v>31</v>
      </c>
      <c r="D55" s="67" t="s">
        <v>75</v>
      </c>
      <c r="E55" s="50">
        <v>160</v>
      </c>
      <c r="F55" s="69">
        <f>SUM(E55)*3</f>
        <v>480</v>
      </c>
      <c r="G55" s="13">
        <v>70.209999999999994</v>
      </c>
      <c r="H55" s="70">
        <f t="shared" si="4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14" ht="15.75" customHeight="1">
      <c r="A56" s="144" t="s">
        <v>150</v>
      </c>
      <c r="B56" s="145"/>
      <c r="C56" s="145"/>
      <c r="D56" s="145"/>
      <c r="E56" s="145"/>
      <c r="F56" s="145"/>
      <c r="G56" s="145"/>
      <c r="H56" s="145"/>
      <c r="I56" s="146"/>
      <c r="J56" s="24"/>
      <c r="L56" s="20"/>
      <c r="M56" s="21"/>
      <c r="N56" s="22"/>
    </row>
    <row r="57" spans="1:14" ht="16.5" customHeight="1">
      <c r="A57" s="30"/>
      <c r="B57" s="89" t="s">
        <v>45</v>
      </c>
      <c r="C57" s="68"/>
      <c r="D57" s="67"/>
      <c r="E57" s="50"/>
      <c r="F57" s="69"/>
      <c r="G57" s="69"/>
      <c r="H57" s="70"/>
      <c r="I57" s="13"/>
      <c r="J57" s="24"/>
      <c r="L57" s="20"/>
      <c r="M57" s="21"/>
      <c r="N57" s="22"/>
    </row>
    <row r="58" spans="1:14" ht="15.75" hidden="1" customHeight="1">
      <c r="A58" s="30">
        <v>16</v>
      </c>
      <c r="B58" s="67" t="s">
        <v>132</v>
      </c>
      <c r="C58" s="68" t="s">
        <v>111</v>
      </c>
      <c r="D58" s="67" t="s">
        <v>76</v>
      </c>
      <c r="E58" s="50">
        <v>239.59</v>
      </c>
      <c r="F58" s="69">
        <f>E58*6/100</f>
        <v>14.375399999999999</v>
      </c>
      <c r="G58" s="76">
        <v>1654.04</v>
      </c>
      <c r="H58" s="70">
        <f>F58*G58/1000</f>
        <v>23.777486615999997</v>
      </c>
      <c r="I58" s="13">
        <f>F58/6*G58</f>
        <v>3962.9144359999996</v>
      </c>
      <c r="J58" s="24"/>
      <c r="L58" s="20"/>
      <c r="M58" s="21"/>
      <c r="N58" s="22"/>
    </row>
    <row r="59" spans="1:14" ht="15.75" customHeight="1">
      <c r="A59" s="30">
        <v>15</v>
      </c>
      <c r="B59" s="105" t="s">
        <v>93</v>
      </c>
      <c r="C59" s="106" t="s">
        <v>209</v>
      </c>
      <c r="D59" s="78"/>
      <c r="E59" s="79"/>
      <c r="F59" s="81"/>
      <c r="G59" s="116">
        <v>1501</v>
      </c>
      <c r="H59" s="83"/>
      <c r="I59" s="13">
        <f>G59*3</f>
        <v>4503</v>
      </c>
      <c r="J59" s="24"/>
      <c r="L59" s="20"/>
      <c r="M59" s="21"/>
      <c r="N59" s="22"/>
    </row>
    <row r="60" spans="1:14" ht="15.75" customHeight="1">
      <c r="A60" s="30"/>
      <c r="B60" s="90" t="s">
        <v>46</v>
      </c>
      <c r="C60" s="77"/>
      <c r="D60" s="78"/>
      <c r="E60" s="79"/>
      <c r="F60" s="81"/>
      <c r="G60" s="13"/>
      <c r="H60" s="83"/>
      <c r="I60" s="13"/>
      <c r="J60" s="24"/>
      <c r="L60" s="20"/>
      <c r="M60" s="21"/>
      <c r="N60" s="22"/>
    </row>
    <row r="61" spans="1:14" ht="15.75" hidden="1" customHeight="1">
      <c r="A61" s="30"/>
      <c r="B61" s="78" t="s">
        <v>47</v>
      </c>
      <c r="C61" s="77" t="s">
        <v>56</v>
      </c>
      <c r="D61" s="78" t="s">
        <v>57</v>
      </c>
      <c r="E61" s="79">
        <v>2686</v>
      </c>
      <c r="F61" s="81">
        <f>E61/100</f>
        <v>26.86</v>
      </c>
      <c r="G61" s="13">
        <v>848.37</v>
      </c>
      <c r="H61" s="83">
        <f>G61*F61/1000</f>
        <v>22.787218199999998</v>
      </c>
      <c r="I61" s="13">
        <v>0</v>
      </c>
      <c r="J61" s="24"/>
      <c r="L61" s="20"/>
    </row>
    <row r="62" spans="1:14" ht="15.75" customHeight="1">
      <c r="A62" s="30">
        <v>16</v>
      </c>
      <c r="B62" s="78" t="s">
        <v>103</v>
      </c>
      <c r="C62" s="77" t="s">
        <v>25</v>
      </c>
      <c r="D62" s="78" t="s">
        <v>30</v>
      </c>
      <c r="E62" s="79">
        <v>343</v>
      </c>
      <c r="F62" s="81">
        <v>4116</v>
      </c>
      <c r="G62" s="13">
        <v>1.2</v>
      </c>
      <c r="H62" s="83">
        <f>F62*G62</f>
        <v>4939.2</v>
      </c>
      <c r="I62" s="13">
        <f>F62/12*G62</f>
        <v>411.59999999999997</v>
      </c>
    </row>
    <row r="63" spans="1:14" ht="16.5" customHeight="1">
      <c r="A63" s="30"/>
      <c r="B63" s="90" t="s">
        <v>144</v>
      </c>
      <c r="C63" s="77"/>
      <c r="D63" s="78"/>
      <c r="E63" s="79"/>
      <c r="F63" s="81"/>
      <c r="G63" s="13"/>
      <c r="H63" s="83"/>
      <c r="I63" s="13"/>
    </row>
    <row r="64" spans="1:14" ht="15.75" customHeight="1">
      <c r="A64" s="30">
        <v>17</v>
      </c>
      <c r="B64" s="78" t="s">
        <v>145</v>
      </c>
      <c r="C64" s="77" t="s">
        <v>31</v>
      </c>
      <c r="D64" s="78" t="s">
        <v>71</v>
      </c>
      <c r="E64" s="79">
        <v>3</v>
      </c>
      <c r="F64" s="80">
        <v>3</v>
      </c>
      <c r="G64" s="82">
        <v>254.16</v>
      </c>
      <c r="H64" s="81">
        <v>0.76200000000000001</v>
      </c>
      <c r="I64" s="13">
        <f>G64*1</f>
        <v>254.16</v>
      </c>
    </row>
    <row r="65" spans="1:22" ht="15.75" hidden="1" customHeight="1">
      <c r="A65" s="30"/>
      <c r="B65" s="90" t="s">
        <v>48</v>
      </c>
      <c r="C65" s="77"/>
      <c r="D65" s="78"/>
      <c r="E65" s="79"/>
      <c r="F65" s="80"/>
      <c r="G65" s="80"/>
      <c r="H65" s="81" t="s">
        <v>139</v>
      </c>
      <c r="I65" s="1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0">
        <v>16</v>
      </c>
      <c r="B66" s="14" t="s">
        <v>49</v>
      </c>
      <c r="C66" s="16" t="s">
        <v>131</v>
      </c>
      <c r="D66" s="78" t="s">
        <v>71</v>
      </c>
      <c r="E66" s="19">
        <v>15</v>
      </c>
      <c r="F66" s="69">
        <v>15</v>
      </c>
      <c r="G66" s="13">
        <v>237.74</v>
      </c>
      <c r="H66" s="84">
        <f t="shared" ref="H66:H79" si="6">SUM(F66*G66/1000)</f>
        <v>3.5661000000000005</v>
      </c>
      <c r="I66" s="13">
        <f>G66*2</f>
        <v>475.48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0"/>
      <c r="B67" s="14" t="s">
        <v>50</v>
      </c>
      <c r="C67" s="16" t="s">
        <v>131</v>
      </c>
      <c r="D67" s="78" t="s">
        <v>71</v>
      </c>
      <c r="E67" s="19">
        <v>5</v>
      </c>
      <c r="F67" s="69">
        <v>5</v>
      </c>
      <c r="G67" s="13">
        <v>81.510000000000005</v>
      </c>
      <c r="H67" s="84">
        <f t="shared" si="6"/>
        <v>0.40755000000000002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0"/>
      <c r="B68" s="14" t="s">
        <v>51</v>
      </c>
      <c r="C68" s="16" t="s">
        <v>133</v>
      </c>
      <c r="D68" s="14" t="s">
        <v>57</v>
      </c>
      <c r="E68" s="50">
        <v>24123</v>
      </c>
      <c r="F68" s="13">
        <f>SUM(E68/100)</f>
        <v>241.23</v>
      </c>
      <c r="G68" s="13">
        <v>226.79</v>
      </c>
      <c r="H68" s="84">
        <f t="shared" si="6"/>
        <v>54.708551699999994</v>
      </c>
      <c r="I68" s="13">
        <f>F68*G68</f>
        <v>54708.551699999996</v>
      </c>
      <c r="J68" s="5"/>
      <c r="K68" s="5"/>
      <c r="L68" s="5"/>
      <c r="M68" s="5"/>
      <c r="N68" s="5"/>
      <c r="O68" s="5"/>
      <c r="P68" s="5"/>
      <c r="Q68" s="5"/>
      <c r="R68" s="140"/>
      <c r="S68" s="140"/>
      <c r="T68" s="140"/>
      <c r="U68" s="140"/>
    </row>
    <row r="69" spans="1:22" ht="15.75" hidden="1" customHeight="1">
      <c r="A69" s="30"/>
      <c r="B69" s="14" t="s">
        <v>52</v>
      </c>
      <c r="C69" s="16" t="s">
        <v>134</v>
      </c>
      <c r="D69" s="14"/>
      <c r="E69" s="50">
        <v>24123</v>
      </c>
      <c r="F69" s="13">
        <f>SUM(E69/1000)</f>
        <v>24.123000000000001</v>
      </c>
      <c r="G69" s="13">
        <v>176.61</v>
      </c>
      <c r="H69" s="84">
        <f t="shared" si="6"/>
        <v>4.2603630300000006</v>
      </c>
      <c r="I69" s="13">
        <f t="shared" ref="I69:I73" si="7">F69*G69</f>
        <v>4260.3630300000004</v>
      </c>
    </row>
    <row r="70" spans="1:22" ht="15.75" hidden="1" customHeight="1">
      <c r="A70" s="30"/>
      <c r="B70" s="14" t="s">
        <v>53</v>
      </c>
      <c r="C70" s="16" t="s">
        <v>81</v>
      </c>
      <c r="D70" s="14" t="s">
        <v>57</v>
      </c>
      <c r="E70" s="50">
        <v>2730</v>
      </c>
      <c r="F70" s="13">
        <f>SUM(E70/100)</f>
        <v>27.3</v>
      </c>
      <c r="G70" s="13">
        <v>2217.7800000000002</v>
      </c>
      <c r="H70" s="84">
        <f t="shared" si="6"/>
        <v>60.545394000000009</v>
      </c>
      <c r="I70" s="13">
        <f t="shared" si="7"/>
        <v>60545.394000000008</v>
      </c>
    </row>
    <row r="71" spans="1:22" ht="15.75" hidden="1" customHeight="1">
      <c r="A71" s="30"/>
      <c r="B71" s="85" t="s">
        <v>135</v>
      </c>
      <c r="C71" s="16" t="s">
        <v>34</v>
      </c>
      <c r="D71" s="14"/>
      <c r="E71" s="50">
        <v>23</v>
      </c>
      <c r="F71" s="13">
        <f>SUM(E71)</f>
        <v>23</v>
      </c>
      <c r="G71" s="13">
        <v>42.67</v>
      </c>
      <c r="H71" s="84">
        <f t="shared" si="6"/>
        <v>0.98141000000000012</v>
      </c>
      <c r="I71" s="13">
        <f t="shared" si="7"/>
        <v>981.41000000000008</v>
      </c>
    </row>
    <row r="72" spans="1:22" ht="15.75" hidden="1" customHeight="1">
      <c r="A72" s="30"/>
      <c r="B72" s="85" t="s">
        <v>136</v>
      </c>
      <c r="C72" s="16" t="s">
        <v>34</v>
      </c>
      <c r="D72" s="14"/>
      <c r="E72" s="50">
        <v>23</v>
      </c>
      <c r="F72" s="13">
        <f>SUM(E72)</f>
        <v>23</v>
      </c>
      <c r="G72" s="13">
        <v>39.81</v>
      </c>
      <c r="H72" s="84">
        <f t="shared" si="6"/>
        <v>0.91563000000000005</v>
      </c>
      <c r="I72" s="13">
        <f t="shared" si="7"/>
        <v>915.63000000000011</v>
      </c>
    </row>
    <row r="73" spans="1:22" ht="15.75" hidden="1" customHeight="1">
      <c r="A73" s="30"/>
      <c r="B73" s="14" t="s">
        <v>61</v>
      </c>
      <c r="C73" s="16" t="s">
        <v>62</v>
      </c>
      <c r="D73" s="14" t="s">
        <v>57</v>
      </c>
      <c r="E73" s="19">
        <v>10</v>
      </c>
      <c r="F73" s="69">
        <f>SUM(E73)</f>
        <v>10</v>
      </c>
      <c r="G73" s="13">
        <v>53.32</v>
      </c>
      <c r="H73" s="84">
        <f t="shared" si="6"/>
        <v>0.53320000000000001</v>
      </c>
      <c r="I73" s="13">
        <f t="shared" si="7"/>
        <v>533.20000000000005</v>
      </c>
    </row>
    <row r="74" spans="1:22" ht="15.75" hidden="1" customHeight="1">
      <c r="A74" s="30"/>
      <c r="B74" s="57" t="s">
        <v>77</v>
      </c>
      <c r="C74" s="16"/>
      <c r="D74" s="14"/>
      <c r="E74" s="19"/>
      <c r="F74" s="13"/>
      <c r="G74" s="13"/>
      <c r="H74" s="84" t="s">
        <v>139</v>
      </c>
      <c r="I74" s="13"/>
    </row>
    <row r="75" spans="1:22" ht="15.75" hidden="1" customHeight="1">
      <c r="A75" s="30">
        <v>17</v>
      </c>
      <c r="B75" s="14" t="s">
        <v>78</v>
      </c>
      <c r="C75" s="16" t="s">
        <v>32</v>
      </c>
      <c r="D75" s="14"/>
      <c r="E75" s="19">
        <v>2</v>
      </c>
      <c r="F75" s="61">
        <v>0.2</v>
      </c>
      <c r="G75" s="13">
        <v>536.23</v>
      </c>
      <c r="H75" s="84">
        <v>0.251</v>
      </c>
      <c r="I75" s="13">
        <f>G75*0.4</f>
        <v>214.49200000000002</v>
      </c>
    </row>
    <row r="76" spans="1:22" ht="15.75" hidden="1" customHeight="1">
      <c r="A76" s="30"/>
      <c r="B76" s="14" t="s">
        <v>94</v>
      </c>
      <c r="C76" s="16" t="s">
        <v>31</v>
      </c>
      <c r="D76" s="14"/>
      <c r="E76" s="19">
        <v>1</v>
      </c>
      <c r="F76" s="69">
        <f>SUM(E76)</f>
        <v>1</v>
      </c>
      <c r="G76" s="13">
        <v>383.25</v>
      </c>
      <c r="H76" s="84">
        <f t="shared" si="6"/>
        <v>0.38324999999999998</v>
      </c>
      <c r="I76" s="13">
        <v>0</v>
      </c>
    </row>
    <row r="77" spans="1:22" ht="15.75" hidden="1" customHeight="1">
      <c r="A77" s="30"/>
      <c r="B77" s="14" t="s">
        <v>79</v>
      </c>
      <c r="C77" s="16" t="s">
        <v>31</v>
      </c>
      <c r="D77" s="14"/>
      <c r="E77" s="19">
        <v>2</v>
      </c>
      <c r="F77" s="13">
        <v>2</v>
      </c>
      <c r="G77" s="13">
        <v>911.85</v>
      </c>
      <c r="H77" s="84">
        <f>F77*G77/1000</f>
        <v>1.8237000000000001</v>
      </c>
      <c r="I77" s="13">
        <v>0</v>
      </c>
    </row>
    <row r="78" spans="1:22" ht="15.75" hidden="1" customHeight="1">
      <c r="A78" s="30"/>
      <c r="B78" s="86" t="s">
        <v>80</v>
      </c>
      <c r="C78" s="16"/>
      <c r="D78" s="14"/>
      <c r="E78" s="19"/>
      <c r="F78" s="13"/>
      <c r="G78" s="13" t="s">
        <v>139</v>
      </c>
      <c r="H78" s="84" t="s">
        <v>139</v>
      </c>
      <c r="I78" s="13"/>
    </row>
    <row r="79" spans="1:22" ht="15.75" hidden="1" customHeight="1">
      <c r="A79" s="30"/>
      <c r="B79" s="45" t="s">
        <v>140</v>
      </c>
      <c r="C79" s="16" t="s">
        <v>81</v>
      </c>
      <c r="D79" s="14"/>
      <c r="E79" s="19"/>
      <c r="F79" s="13">
        <v>1.35</v>
      </c>
      <c r="G79" s="13">
        <v>2949.85</v>
      </c>
      <c r="H79" s="84">
        <f t="shared" si="6"/>
        <v>3.9822975</v>
      </c>
      <c r="I79" s="13">
        <v>0</v>
      </c>
    </row>
    <row r="80" spans="1:22" ht="15.75" hidden="1" customHeight="1">
      <c r="A80" s="30"/>
      <c r="B80" s="72" t="s">
        <v>137</v>
      </c>
      <c r="C80" s="86"/>
      <c r="D80" s="32"/>
      <c r="E80" s="33"/>
      <c r="F80" s="73"/>
      <c r="G80" s="73"/>
      <c r="H80" s="87">
        <f>SUM(H58:H79)</f>
        <v>5118.885151045999</v>
      </c>
      <c r="I80" s="73"/>
    </row>
    <row r="81" spans="1:9" ht="15.75" hidden="1" customHeight="1">
      <c r="A81" s="30"/>
      <c r="B81" s="67" t="s">
        <v>138</v>
      </c>
      <c r="C81" s="16"/>
      <c r="D81" s="14"/>
      <c r="E81" s="62"/>
      <c r="F81" s="13">
        <v>1</v>
      </c>
      <c r="G81" s="13">
        <v>19342.2</v>
      </c>
      <c r="H81" s="84">
        <f>G81*F81/1000</f>
        <v>19.342200000000002</v>
      </c>
      <c r="I81" s="13">
        <v>0</v>
      </c>
    </row>
    <row r="82" spans="1:9" ht="15.75" customHeight="1">
      <c r="A82" s="153" t="s">
        <v>151</v>
      </c>
      <c r="B82" s="154"/>
      <c r="C82" s="154"/>
      <c r="D82" s="154"/>
      <c r="E82" s="154"/>
      <c r="F82" s="154"/>
      <c r="G82" s="154"/>
      <c r="H82" s="154"/>
      <c r="I82" s="155"/>
    </row>
    <row r="83" spans="1:9" ht="15.75" customHeight="1">
      <c r="A83" s="30">
        <v>18</v>
      </c>
      <c r="B83" s="67" t="s">
        <v>141</v>
      </c>
      <c r="C83" s="16" t="s">
        <v>58</v>
      </c>
      <c r="D83" s="88" t="s">
        <v>59</v>
      </c>
      <c r="E83" s="13">
        <v>4591.2</v>
      </c>
      <c r="F83" s="13">
        <f>SUM(E83*12)</f>
        <v>55094.399999999994</v>
      </c>
      <c r="G83" s="13">
        <v>2.54</v>
      </c>
      <c r="H83" s="84">
        <f>SUM(F83*G83/1000)</f>
        <v>139.93977599999999</v>
      </c>
      <c r="I83" s="13">
        <f>F83/12*G83</f>
        <v>11661.647999999999</v>
      </c>
    </row>
    <row r="84" spans="1:9" ht="31.5" customHeight="1">
      <c r="A84" s="30">
        <v>19</v>
      </c>
      <c r="B84" s="14" t="s">
        <v>82</v>
      </c>
      <c r="C84" s="16"/>
      <c r="D84" s="88" t="s">
        <v>59</v>
      </c>
      <c r="E84" s="50">
        <f>E83</f>
        <v>4591.2</v>
      </c>
      <c r="F84" s="13">
        <f>E84*12</f>
        <v>55094.399999999994</v>
      </c>
      <c r="G84" s="13">
        <v>2.0499999999999998</v>
      </c>
      <c r="H84" s="84">
        <f>F84*G84/1000</f>
        <v>112.94351999999998</v>
      </c>
      <c r="I84" s="13">
        <f>F84/12*G84</f>
        <v>9411.9599999999991</v>
      </c>
    </row>
    <row r="85" spans="1:9" ht="15.75" customHeight="1">
      <c r="A85" s="46"/>
      <c r="B85" s="37" t="s">
        <v>85</v>
      </c>
      <c r="C85" s="38"/>
      <c r="D85" s="15"/>
      <c r="E85" s="15"/>
      <c r="F85" s="15"/>
      <c r="G85" s="19"/>
      <c r="H85" s="19"/>
      <c r="I85" s="33">
        <f>I84+I83+I64+I62+I59+I55+I54+I53+I52+I34+I33+I31+I30+I27+I26+I20+I18++I17+I16</f>
        <v>93695.502408200002</v>
      </c>
    </row>
    <row r="86" spans="1:9" ht="15.75" customHeight="1">
      <c r="A86" s="150" t="s">
        <v>64</v>
      </c>
      <c r="B86" s="151"/>
      <c r="C86" s="151"/>
      <c r="D86" s="151"/>
      <c r="E86" s="151"/>
      <c r="F86" s="151"/>
      <c r="G86" s="151"/>
      <c r="H86" s="151"/>
      <c r="I86" s="152"/>
    </row>
    <row r="87" spans="1:9" ht="15" customHeight="1">
      <c r="A87" s="30">
        <v>20</v>
      </c>
      <c r="B87" s="101" t="s">
        <v>305</v>
      </c>
      <c r="C87" s="125" t="s">
        <v>306</v>
      </c>
      <c r="D87" s="16" t="s">
        <v>308</v>
      </c>
      <c r="E87" s="35"/>
      <c r="F87" s="35">
        <v>18</v>
      </c>
      <c r="G87" s="35">
        <v>356</v>
      </c>
      <c r="H87" s="100">
        <f t="shared" ref="H87:H88" si="8">G87*F87/1000</f>
        <v>6.4080000000000004</v>
      </c>
      <c r="I87" s="13">
        <f>G87*15</f>
        <v>5340</v>
      </c>
    </row>
    <row r="88" spans="1:9" ht="15.75" customHeight="1">
      <c r="A88" s="30">
        <v>21</v>
      </c>
      <c r="B88" s="132" t="s">
        <v>307</v>
      </c>
      <c r="C88" s="102" t="s">
        <v>131</v>
      </c>
      <c r="D88" s="101"/>
      <c r="E88" s="35"/>
      <c r="F88" s="35">
        <v>16</v>
      </c>
      <c r="G88" s="35">
        <v>169.36</v>
      </c>
      <c r="H88" s="100">
        <f t="shared" si="8"/>
        <v>2.7097600000000002</v>
      </c>
      <c r="I88" s="13">
        <f>G88*1</f>
        <v>169.36</v>
      </c>
    </row>
    <row r="89" spans="1:9" ht="15.75" customHeight="1">
      <c r="A89" s="30">
        <v>22</v>
      </c>
      <c r="B89" s="98" t="s">
        <v>309</v>
      </c>
      <c r="C89" s="99" t="s">
        <v>310</v>
      </c>
      <c r="D89" s="45"/>
      <c r="E89" s="35"/>
      <c r="F89" s="35">
        <v>2</v>
      </c>
      <c r="G89" s="35">
        <v>24829.08</v>
      </c>
      <c r="H89" s="100">
        <f>G89*F89/1000</f>
        <v>49.658160000000002</v>
      </c>
      <c r="I89" s="13">
        <f>G89*0.03</f>
        <v>744.87239999999997</v>
      </c>
    </row>
    <row r="90" spans="1:9" ht="31.5" customHeight="1">
      <c r="A90" s="30">
        <v>23</v>
      </c>
      <c r="B90" s="98" t="s">
        <v>164</v>
      </c>
      <c r="C90" s="99" t="s">
        <v>104</v>
      </c>
      <c r="D90" s="45"/>
      <c r="E90" s="35"/>
      <c r="F90" s="35">
        <v>4</v>
      </c>
      <c r="G90" s="35">
        <v>6183.75</v>
      </c>
      <c r="H90" s="100">
        <f>G90*F90/1000</f>
        <v>24.734999999999999</v>
      </c>
      <c r="I90" s="13">
        <f>G90*0.6</f>
        <v>3710.25</v>
      </c>
    </row>
    <row r="91" spans="1:9" ht="15.75" customHeight="1">
      <c r="A91" s="30">
        <v>24</v>
      </c>
      <c r="B91" s="98" t="s">
        <v>217</v>
      </c>
      <c r="C91" s="99" t="s">
        <v>131</v>
      </c>
      <c r="D91" s="45"/>
      <c r="E91" s="35"/>
      <c r="F91" s="35">
        <v>2</v>
      </c>
      <c r="G91" s="35">
        <v>89.92</v>
      </c>
      <c r="H91" s="100">
        <f>G91*F91/1000</f>
        <v>0.17984</v>
      </c>
      <c r="I91" s="13">
        <f>G91*1</f>
        <v>89.92</v>
      </c>
    </row>
    <row r="92" spans="1:9" ht="15.75" customHeight="1">
      <c r="A92" s="30">
        <v>25</v>
      </c>
      <c r="B92" s="98" t="s">
        <v>218</v>
      </c>
      <c r="C92" s="99" t="s">
        <v>131</v>
      </c>
      <c r="D92" s="45"/>
      <c r="E92" s="35"/>
      <c r="F92" s="35">
        <v>1</v>
      </c>
      <c r="G92" s="35">
        <v>95.25</v>
      </c>
      <c r="H92" s="100">
        <f t="shared" ref="H92:H98" si="9">G92*F92/1000</f>
        <v>9.5250000000000001E-2</v>
      </c>
      <c r="I92" s="13">
        <f>G92*1</f>
        <v>95.25</v>
      </c>
    </row>
    <row r="93" spans="1:9" ht="15.75" customHeight="1">
      <c r="A93" s="30">
        <v>26</v>
      </c>
      <c r="B93" s="98" t="s">
        <v>298</v>
      </c>
      <c r="C93" s="99" t="s">
        <v>131</v>
      </c>
      <c r="D93" s="45"/>
      <c r="E93" s="35"/>
      <c r="F93" s="35">
        <v>0.5</v>
      </c>
      <c r="G93" s="35">
        <v>55.55</v>
      </c>
      <c r="H93" s="100">
        <f t="shared" si="9"/>
        <v>2.7774999999999998E-2</v>
      </c>
      <c r="I93" s="13">
        <f>G93*80</f>
        <v>4444</v>
      </c>
    </row>
    <row r="94" spans="1:9" ht="15.75" customHeight="1">
      <c r="A94" s="30">
        <v>27</v>
      </c>
      <c r="B94" s="98" t="s">
        <v>311</v>
      </c>
      <c r="C94" s="99" t="s">
        <v>131</v>
      </c>
      <c r="D94" s="45"/>
      <c r="E94" s="35"/>
      <c r="F94" s="35">
        <v>1</v>
      </c>
      <c r="G94" s="35">
        <v>20.350000000000001</v>
      </c>
      <c r="H94" s="100">
        <f t="shared" si="9"/>
        <v>2.035E-2</v>
      </c>
      <c r="I94" s="13">
        <f>G94*1</f>
        <v>20.350000000000001</v>
      </c>
    </row>
    <row r="95" spans="1:9" ht="17.25" customHeight="1">
      <c r="A95" s="30">
        <v>28</v>
      </c>
      <c r="B95" s="98" t="s">
        <v>226</v>
      </c>
      <c r="C95" s="99" t="s">
        <v>131</v>
      </c>
      <c r="D95" s="101"/>
      <c r="E95" s="35"/>
      <c r="F95" s="35">
        <v>2</v>
      </c>
      <c r="G95" s="35">
        <v>14.36</v>
      </c>
      <c r="H95" s="100">
        <f t="shared" si="9"/>
        <v>2.8719999999999999E-2</v>
      </c>
      <c r="I95" s="13">
        <f>G95*6</f>
        <v>86.16</v>
      </c>
    </row>
    <row r="96" spans="1:9" ht="15.75" customHeight="1">
      <c r="A96" s="30">
        <v>29</v>
      </c>
      <c r="B96" s="98" t="s">
        <v>227</v>
      </c>
      <c r="C96" s="99" t="s">
        <v>131</v>
      </c>
      <c r="D96" s="101"/>
      <c r="E96" s="35"/>
      <c r="F96" s="35">
        <v>5</v>
      </c>
      <c r="G96" s="35">
        <v>8.44</v>
      </c>
      <c r="H96" s="100">
        <f t="shared" si="9"/>
        <v>4.2199999999999994E-2</v>
      </c>
      <c r="I96" s="13">
        <f>G96*4</f>
        <v>33.76</v>
      </c>
    </row>
    <row r="97" spans="1:9" ht="15.75" customHeight="1">
      <c r="A97" s="30">
        <v>30</v>
      </c>
      <c r="B97" s="98" t="s">
        <v>285</v>
      </c>
      <c r="C97" s="99" t="s">
        <v>131</v>
      </c>
      <c r="D97" s="101"/>
      <c r="E97" s="35"/>
      <c r="F97" s="35">
        <v>3</v>
      </c>
      <c r="G97" s="35">
        <v>225.51</v>
      </c>
      <c r="H97" s="100">
        <f t="shared" si="9"/>
        <v>0.67652999999999996</v>
      </c>
      <c r="I97" s="13">
        <f>G97*1</f>
        <v>225.51</v>
      </c>
    </row>
    <row r="98" spans="1:9" ht="15.75" customHeight="1">
      <c r="A98" s="30">
        <v>31</v>
      </c>
      <c r="B98" s="98" t="s">
        <v>87</v>
      </c>
      <c r="C98" s="99" t="s">
        <v>131</v>
      </c>
      <c r="D98" s="101"/>
      <c r="E98" s="35"/>
      <c r="F98" s="35">
        <v>2</v>
      </c>
      <c r="G98" s="35">
        <v>197.48</v>
      </c>
      <c r="H98" s="100">
        <f t="shared" si="9"/>
        <v>0.39495999999999998</v>
      </c>
      <c r="I98" s="13">
        <f>G98*2</f>
        <v>394.96</v>
      </c>
    </row>
    <row r="99" spans="1:9" ht="30.75" customHeight="1">
      <c r="A99" s="30">
        <v>32</v>
      </c>
      <c r="B99" s="98" t="s">
        <v>312</v>
      </c>
      <c r="C99" s="99" t="s">
        <v>86</v>
      </c>
      <c r="D99" s="101"/>
      <c r="E99" s="35"/>
      <c r="F99" s="35"/>
      <c r="G99" s="35">
        <v>922.49</v>
      </c>
      <c r="H99" s="100"/>
      <c r="I99" s="13">
        <f>G99*2</f>
        <v>1844.98</v>
      </c>
    </row>
    <row r="100" spans="1:9" ht="15.75" customHeight="1">
      <c r="A100" s="30"/>
      <c r="B100" s="43" t="s">
        <v>54</v>
      </c>
      <c r="C100" s="39"/>
      <c r="D100" s="47"/>
      <c r="E100" s="39">
        <v>1</v>
      </c>
      <c r="F100" s="39"/>
      <c r="G100" s="39"/>
      <c r="H100" s="39"/>
      <c r="I100" s="33">
        <f>SUM(I87:I99)-I93</f>
        <v>12755.3724</v>
      </c>
    </row>
    <row r="101" spans="1:9" ht="15.75" customHeight="1">
      <c r="A101" s="30"/>
      <c r="B101" s="45" t="s">
        <v>83</v>
      </c>
      <c r="C101" s="15"/>
      <c r="D101" s="15"/>
      <c r="E101" s="40"/>
      <c r="F101" s="40"/>
      <c r="G101" s="41"/>
      <c r="H101" s="41"/>
      <c r="I101" s="18">
        <v>0</v>
      </c>
    </row>
    <row r="102" spans="1:9" ht="15.75" customHeight="1">
      <c r="A102" s="48"/>
      <c r="B102" s="44" t="s">
        <v>55</v>
      </c>
      <c r="C102" s="34"/>
      <c r="D102" s="34"/>
      <c r="E102" s="34"/>
      <c r="F102" s="34"/>
      <c r="G102" s="34"/>
      <c r="H102" s="34"/>
      <c r="I102" s="42">
        <f>I85+I100</f>
        <v>106450.87480819999</v>
      </c>
    </row>
    <row r="103" spans="1:9" ht="15.75" customHeight="1">
      <c r="A103" s="147" t="s">
        <v>313</v>
      </c>
      <c r="B103" s="147"/>
      <c r="C103" s="147"/>
      <c r="D103" s="147"/>
      <c r="E103" s="147"/>
      <c r="F103" s="147"/>
      <c r="G103" s="147"/>
      <c r="H103" s="147"/>
      <c r="I103" s="147"/>
    </row>
    <row r="104" spans="1:9" ht="15.75" customHeight="1">
      <c r="A104" s="58"/>
      <c r="B104" s="148" t="s">
        <v>314</v>
      </c>
      <c r="C104" s="148"/>
      <c r="D104" s="148"/>
      <c r="E104" s="148"/>
      <c r="F104" s="148"/>
      <c r="G104" s="148"/>
      <c r="H104" s="66"/>
      <c r="I104" s="3"/>
    </row>
    <row r="105" spans="1:9" ht="15.75" customHeight="1">
      <c r="A105" s="52"/>
      <c r="B105" s="138" t="s">
        <v>6</v>
      </c>
      <c r="C105" s="138"/>
      <c r="D105" s="138"/>
      <c r="E105" s="138"/>
      <c r="F105" s="138"/>
      <c r="G105" s="138"/>
      <c r="H105" s="25"/>
      <c r="I105" s="5"/>
    </row>
    <row r="106" spans="1:9" ht="15.75" customHeight="1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 customHeight="1">
      <c r="A107" s="149" t="s">
        <v>7</v>
      </c>
      <c r="B107" s="149"/>
      <c r="C107" s="149"/>
      <c r="D107" s="149"/>
      <c r="E107" s="149"/>
      <c r="F107" s="149"/>
      <c r="G107" s="149"/>
      <c r="H107" s="149"/>
      <c r="I107" s="149"/>
    </row>
    <row r="108" spans="1:9" ht="15.75" customHeight="1">
      <c r="A108" s="149" t="s">
        <v>8</v>
      </c>
      <c r="B108" s="149"/>
      <c r="C108" s="149"/>
      <c r="D108" s="149"/>
      <c r="E108" s="149"/>
      <c r="F108" s="149"/>
      <c r="G108" s="149"/>
      <c r="H108" s="149"/>
      <c r="I108" s="149"/>
    </row>
    <row r="109" spans="1:9" ht="15.75" customHeight="1">
      <c r="A109" s="142" t="s">
        <v>65</v>
      </c>
      <c r="B109" s="142"/>
      <c r="C109" s="142"/>
      <c r="D109" s="142"/>
      <c r="E109" s="142"/>
      <c r="F109" s="142"/>
      <c r="G109" s="142"/>
      <c r="H109" s="142"/>
      <c r="I109" s="142"/>
    </row>
    <row r="110" spans="1:9" ht="15.75" customHeight="1">
      <c r="A110" s="11"/>
    </row>
    <row r="111" spans="1:9" ht="15.75" customHeight="1">
      <c r="A111" s="136" t="s">
        <v>9</v>
      </c>
      <c r="B111" s="136"/>
      <c r="C111" s="136"/>
      <c r="D111" s="136"/>
      <c r="E111" s="136"/>
      <c r="F111" s="136"/>
      <c r="G111" s="136"/>
      <c r="H111" s="136"/>
      <c r="I111" s="136"/>
    </row>
    <row r="112" spans="1:9" ht="15.75" customHeight="1">
      <c r="A112" s="4"/>
    </row>
    <row r="113" spans="1:9" ht="15.75" customHeight="1">
      <c r="B113" s="55" t="s">
        <v>10</v>
      </c>
      <c r="C113" s="137" t="s">
        <v>95</v>
      </c>
      <c r="D113" s="137"/>
      <c r="E113" s="137"/>
      <c r="F113" s="64"/>
      <c r="I113" s="54"/>
    </row>
    <row r="114" spans="1:9" ht="15.75" customHeight="1">
      <c r="A114" s="52"/>
      <c r="C114" s="138" t="s">
        <v>11</v>
      </c>
      <c r="D114" s="138"/>
      <c r="E114" s="138"/>
      <c r="F114" s="25"/>
      <c r="I114" s="53" t="s">
        <v>12</v>
      </c>
    </row>
    <row r="115" spans="1:9" ht="15.75" customHeight="1">
      <c r="A115" s="26"/>
      <c r="C115" s="12"/>
      <c r="D115" s="12"/>
      <c r="G115" s="12"/>
      <c r="H115" s="12"/>
    </row>
    <row r="116" spans="1:9" ht="15.75" customHeight="1">
      <c r="B116" s="55" t="s">
        <v>13</v>
      </c>
      <c r="C116" s="139"/>
      <c r="D116" s="139"/>
      <c r="E116" s="139"/>
      <c r="F116" s="65"/>
      <c r="I116" s="54"/>
    </row>
    <row r="117" spans="1:9" ht="15.75" customHeight="1">
      <c r="A117" s="52"/>
      <c r="C117" s="140" t="s">
        <v>11</v>
      </c>
      <c r="D117" s="140"/>
      <c r="E117" s="140"/>
      <c r="F117" s="52"/>
      <c r="I117" s="53" t="s">
        <v>12</v>
      </c>
    </row>
    <row r="118" spans="1:9" ht="15.75" customHeight="1">
      <c r="A118" s="4" t="s">
        <v>14</v>
      </c>
    </row>
    <row r="119" spans="1:9" ht="15.75" customHeight="1">
      <c r="A119" s="141" t="s">
        <v>15</v>
      </c>
      <c r="B119" s="141"/>
      <c r="C119" s="141"/>
      <c r="D119" s="141"/>
      <c r="E119" s="141"/>
      <c r="F119" s="141"/>
      <c r="G119" s="141"/>
      <c r="H119" s="141"/>
      <c r="I119" s="141"/>
    </row>
    <row r="120" spans="1:9" ht="45" customHeight="1">
      <c r="A120" s="135" t="s">
        <v>16</v>
      </c>
      <c r="B120" s="135"/>
      <c r="C120" s="135"/>
      <c r="D120" s="135"/>
      <c r="E120" s="135"/>
      <c r="F120" s="135"/>
      <c r="G120" s="135"/>
      <c r="H120" s="135"/>
      <c r="I120" s="135"/>
    </row>
    <row r="121" spans="1:9" ht="30" customHeight="1">
      <c r="A121" s="135" t="s">
        <v>17</v>
      </c>
      <c r="B121" s="135"/>
      <c r="C121" s="135"/>
      <c r="D121" s="135"/>
      <c r="E121" s="135"/>
      <c r="F121" s="135"/>
      <c r="G121" s="135"/>
      <c r="H121" s="135"/>
      <c r="I121" s="135"/>
    </row>
    <row r="122" spans="1:9" ht="30" customHeight="1">
      <c r="A122" s="135" t="s">
        <v>21</v>
      </c>
      <c r="B122" s="135"/>
      <c r="C122" s="135"/>
      <c r="D122" s="135"/>
      <c r="E122" s="135"/>
      <c r="F122" s="135"/>
      <c r="G122" s="135"/>
      <c r="H122" s="135"/>
      <c r="I122" s="135"/>
    </row>
    <row r="123" spans="1:9" ht="15" customHeight="1">
      <c r="A123" s="135" t="s">
        <v>20</v>
      </c>
      <c r="B123" s="135"/>
      <c r="C123" s="135"/>
      <c r="D123" s="135"/>
      <c r="E123" s="135"/>
      <c r="F123" s="135"/>
      <c r="G123" s="135"/>
      <c r="H123" s="135"/>
      <c r="I123" s="135"/>
    </row>
  </sheetData>
  <autoFilter ref="I12:I63"/>
  <mergeCells count="29">
    <mergeCell ref="R68:U68"/>
    <mergeCell ref="A82:I82"/>
    <mergeCell ref="A3:I3"/>
    <mergeCell ref="A4:I4"/>
    <mergeCell ref="A5:I5"/>
    <mergeCell ref="A8:I8"/>
    <mergeCell ref="A10:I10"/>
    <mergeCell ref="A14:I14"/>
    <mergeCell ref="A109:I109"/>
    <mergeCell ref="A15:I15"/>
    <mergeCell ref="A28:I28"/>
    <mergeCell ref="A45:I45"/>
    <mergeCell ref="A56:I56"/>
    <mergeCell ref="A103:I103"/>
    <mergeCell ref="B104:G104"/>
    <mergeCell ref="B105:G105"/>
    <mergeCell ref="A107:I107"/>
    <mergeCell ref="A108:I108"/>
    <mergeCell ref="A86:I86"/>
    <mergeCell ref="A120:I120"/>
    <mergeCell ref="A121:I121"/>
    <mergeCell ref="A122:I122"/>
    <mergeCell ref="A123:I123"/>
    <mergeCell ref="A111:I111"/>
    <mergeCell ref="C113:E113"/>
    <mergeCell ref="C114:E114"/>
    <mergeCell ref="C116:E116"/>
    <mergeCell ref="C117:E117"/>
    <mergeCell ref="A119:I11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31"/>
  <sheetViews>
    <sheetView topLeftCell="A59" workbookViewId="0">
      <selection activeCell="B87" sqref="B87:I87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2.42578125" hidden="1" customWidth="1"/>
    <col min="6" max="6" width="12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270</v>
      </c>
      <c r="I1" s="27"/>
      <c r="J1" s="1"/>
      <c r="K1" s="1"/>
      <c r="L1" s="1"/>
      <c r="M1" s="1"/>
    </row>
    <row r="2" spans="1:13" ht="15.75" customHeight="1">
      <c r="A2" s="29" t="s">
        <v>66</v>
      </c>
      <c r="J2" s="2"/>
      <c r="K2" s="2"/>
      <c r="L2" s="2"/>
      <c r="M2" s="2"/>
    </row>
    <row r="3" spans="1:13" ht="15.75" customHeight="1">
      <c r="A3" s="156" t="s">
        <v>192</v>
      </c>
      <c r="B3" s="156"/>
      <c r="C3" s="156"/>
      <c r="D3" s="156"/>
      <c r="E3" s="156"/>
      <c r="F3" s="156"/>
      <c r="G3" s="156"/>
      <c r="H3" s="156"/>
      <c r="I3" s="156"/>
      <c r="J3" s="3"/>
      <c r="K3" s="3"/>
      <c r="L3" s="3"/>
    </row>
    <row r="4" spans="1:13" ht="31.5" customHeight="1">
      <c r="A4" s="157" t="s">
        <v>142</v>
      </c>
      <c r="B4" s="157"/>
      <c r="C4" s="157"/>
      <c r="D4" s="157"/>
      <c r="E4" s="157"/>
      <c r="F4" s="157"/>
      <c r="G4" s="157"/>
      <c r="H4" s="157"/>
      <c r="I4" s="157"/>
    </row>
    <row r="5" spans="1:13" ht="15.75" customHeight="1">
      <c r="A5" s="156" t="s">
        <v>329</v>
      </c>
      <c r="B5" s="158"/>
      <c r="C5" s="158"/>
      <c r="D5" s="158"/>
      <c r="E5" s="158"/>
      <c r="F5" s="158"/>
      <c r="G5" s="158"/>
      <c r="H5" s="158"/>
      <c r="I5" s="158"/>
      <c r="J5" s="2"/>
      <c r="K5" s="2"/>
      <c r="L5" s="2"/>
      <c r="M5" s="2"/>
    </row>
    <row r="6" spans="1:13" ht="15.75" customHeight="1">
      <c r="A6" s="2"/>
      <c r="B6" s="96"/>
      <c r="C6" s="96"/>
      <c r="D6" s="96"/>
      <c r="E6" s="96"/>
      <c r="F6" s="96"/>
      <c r="G6" s="96"/>
      <c r="H6" s="96"/>
      <c r="I6" s="31">
        <v>43434</v>
      </c>
      <c r="J6" s="2"/>
      <c r="K6" s="2"/>
      <c r="L6" s="2"/>
      <c r="M6" s="2"/>
    </row>
    <row r="7" spans="1:13" ht="15.75" customHeight="1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9" t="s">
        <v>272</v>
      </c>
      <c r="B8" s="159"/>
      <c r="C8" s="159"/>
      <c r="D8" s="159"/>
      <c r="E8" s="159"/>
      <c r="F8" s="159"/>
      <c r="G8" s="159"/>
      <c r="H8" s="159"/>
      <c r="I8" s="15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60" t="s">
        <v>195</v>
      </c>
      <c r="B10" s="160"/>
      <c r="C10" s="160"/>
      <c r="D10" s="160"/>
      <c r="E10" s="160"/>
      <c r="F10" s="160"/>
      <c r="G10" s="160"/>
      <c r="H10" s="160"/>
      <c r="I10" s="16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61" t="s">
        <v>63</v>
      </c>
      <c r="B14" s="161"/>
      <c r="C14" s="161"/>
      <c r="D14" s="161"/>
      <c r="E14" s="161"/>
      <c r="F14" s="161"/>
      <c r="G14" s="161"/>
      <c r="H14" s="161"/>
      <c r="I14" s="161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7" t="s">
        <v>92</v>
      </c>
      <c r="C16" s="68" t="s">
        <v>111</v>
      </c>
      <c r="D16" s="67" t="s">
        <v>112</v>
      </c>
      <c r="E16" s="50">
        <v>127.9</v>
      </c>
      <c r="F16" s="69">
        <f>SUM(E16*156/100)</f>
        <v>199.524</v>
      </c>
      <c r="G16" s="69">
        <v>187.48</v>
      </c>
      <c r="H16" s="70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67" t="s">
        <v>100</v>
      </c>
      <c r="C17" s="68" t="s">
        <v>111</v>
      </c>
      <c r="D17" s="67" t="s">
        <v>166</v>
      </c>
      <c r="E17" s="50">
        <v>511.6</v>
      </c>
      <c r="F17" s="69">
        <f>SUM(E17*104/100)</f>
        <v>532.06399999999996</v>
      </c>
      <c r="G17" s="69">
        <v>185.48</v>
      </c>
      <c r="H17" s="70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67" t="s">
        <v>101</v>
      </c>
      <c r="C18" s="68" t="s">
        <v>111</v>
      </c>
      <c r="D18" s="67" t="s">
        <v>113</v>
      </c>
      <c r="E18" s="50">
        <f>SUM(E16+E17)</f>
        <v>639.5</v>
      </c>
      <c r="F18" s="69">
        <f>SUM(E18*24/100)</f>
        <v>153.47999999999999</v>
      </c>
      <c r="G18" s="69">
        <v>539.30999999999995</v>
      </c>
      <c r="H18" s="70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67" t="s">
        <v>114</v>
      </c>
      <c r="C19" s="68" t="s">
        <v>115</v>
      </c>
      <c r="D19" s="67" t="s">
        <v>116</v>
      </c>
      <c r="E19" s="50">
        <v>38.4</v>
      </c>
      <c r="F19" s="69">
        <f>SUM(E19/10)</f>
        <v>3.84</v>
      </c>
      <c r="G19" s="69">
        <v>181.91</v>
      </c>
      <c r="H19" s="70">
        <f t="shared" si="0"/>
        <v>0.6985344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67" t="s">
        <v>105</v>
      </c>
      <c r="C20" s="68" t="s">
        <v>111</v>
      </c>
      <c r="D20" s="67" t="s">
        <v>30</v>
      </c>
      <c r="E20" s="50">
        <v>58.4</v>
      </c>
      <c r="F20" s="69">
        <f>SUM(E20*12/100)</f>
        <v>7.0079999999999991</v>
      </c>
      <c r="G20" s="69">
        <v>232.92</v>
      </c>
      <c r="H20" s="70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customHeight="1">
      <c r="A21" s="30">
        <v>5</v>
      </c>
      <c r="B21" s="67" t="s">
        <v>106</v>
      </c>
      <c r="C21" s="68" t="s">
        <v>111</v>
      </c>
      <c r="D21" s="67" t="s">
        <v>110</v>
      </c>
      <c r="E21" s="50">
        <v>9.08</v>
      </c>
      <c r="F21" s="69">
        <f>SUM(E21*6/100)</f>
        <v>0.54480000000000006</v>
      </c>
      <c r="G21" s="69">
        <v>231.03</v>
      </c>
      <c r="H21" s="70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67" t="s">
        <v>117</v>
      </c>
      <c r="C22" s="68" t="s">
        <v>56</v>
      </c>
      <c r="D22" s="67" t="s">
        <v>116</v>
      </c>
      <c r="E22" s="50">
        <v>714</v>
      </c>
      <c r="F22" s="69">
        <f>SUM(E22/100)</f>
        <v>7.14</v>
      </c>
      <c r="G22" s="69">
        <v>287.83999999999997</v>
      </c>
      <c r="H22" s="70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67" t="s">
        <v>118</v>
      </c>
      <c r="C23" s="68" t="s">
        <v>56</v>
      </c>
      <c r="D23" s="67" t="s">
        <v>116</v>
      </c>
      <c r="E23" s="63">
        <v>96.6</v>
      </c>
      <c r="F23" s="69">
        <f>SUM(E23/100)</f>
        <v>0.96599999999999997</v>
      </c>
      <c r="G23" s="69">
        <v>47.34</v>
      </c>
      <c r="H23" s="70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67" t="s">
        <v>108</v>
      </c>
      <c r="C24" s="68" t="s">
        <v>56</v>
      </c>
      <c r="D24" s="67" t="s">
        <v>116</v>
      </c>
      <c r="E24" s="19">
        <v>40</v>
      </c>
      <c r="F24" s="71">
        <v>4.8</v>
      </c>
      <c r="G24" s="69">
        <v>416.62</v>
      </c>
      <c r="H24" s="70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67" t="s">
        <v>109</v>
      </c>
      <c r="C25" s="68" t="s">
        <v>56</v>
      </c>
      <c r="D25" s="67" t="s">
        <v>116</v>
      </c>
      <c r="E25" s="50">
        <v>17</v>
      </c>
      <c r="F25" s="69">
        <f>SUM(E25/100)</f>
        <v>0.17</v>
      </c>
      <c r="G25" s="69">
        <v>556.74</v>
      </c>
      <c r="H25" s="70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customHeight="1">
      <c r="A26" s="30">
        <v>6</v>
      </c>
      <c r="B26" s="67" t="s">
        <v>68</v>
      </c>
      <c r="C26" s="68" t="s">
        <v>34</v>
      </c>
      <c r="D26" s="67"/>
      <c r="E26" s="50">
        <v>0.1</v>
      </c>
      <c r="F26" s="69">
        <f>SUM(E26*365)</f>
        <v>36.5</v>
      </c>
      <c r="G26" s="69">
        <v>157.18</v>
      </c>
      <c r="H26" s="70">
        <f>SUM(F26*G26/1000)</f>
        <v>5.737070000000001</v>
      </c>
      <c r="I26" s="13">
        <f>F26/12*G26</f>
        <v>478.08916666666664</v>
      </c>
      <c r="J26" s="24"/>
    </row>
    <row r="27" spans="1:13" ht="15.75" hidden="1" customHeight="1">
      <c r="A27" s="30">
        <v>7</v>
      </c>
      <c r="B27" s="75" t="s">
        <v>23</v>
      </c>
      <c r="C27" s="68" t="s">
        <v>24</v>
      </c>
      <c r="D27" s="75"/>
      <c r="E27" s="50">
        <v>4591.2</v>
      </c>
      <c r="F27" s="69">
        <f>SUM(E27*12)</f>
        <v>55094.399999999994</v>
      </c>
      <c r="G27" s="69">
        <v>5.85</v>
      </c>
      <c r="H27" s="70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43" t="s">
        <v>90</v>
      </c>
      <c r="B28" s="143"/>
      <c r="C28" s="143"/>
      <c r="D28" s="143"/>
      <c r="E28" s="143"/>
      <c r="F28" s="143"/>
      <c r="G28" s="143"/>
      <c r="H28" s="143"/>
      <c r="I28" s="143"/>
      <c r="J28" s="23"/>
      <c r="K28" s="8"/>
      <c r="L28" s="8"/>
      <c r="M28" s="8"/>
    </row>
    <row r="29" spans="1:13" ht="15.75" hidden="1" customHeight="1">
      <c r="A29" s="30"/>
      <c r="B29" s="89" t="s">
        <v>28</v>
      </c>
      <c r="C29" s="68"/>
      <c r="D29" s="67"/>
      <c r="E29" s="50"/>
      <c r="F29" s="69"/>
      <c r="G29" s="69"/>
      <c r="H29" s="70"/>
      <c r="I29" s="13"/>
      <c r="J29" s="23"/>
      <c r="K29" s="8"/>
      <c r="L29" s="8"/>
      <c r="M29" s="8"/>
    </row>
    <row r="30" spans="1:13" ht="15.75" hidden="1" customHeight="1">
      <c r="A30" s="30">
        <v>7</v>
      </c>
      <c r="B30" s="67" t="s">
        <v>119</v>
      </c>
      <c r="C30" s="68" t="s">
        <v>120</v>
      </c>
      <c r="D30" s="67" t="s">
        <v>121</v>
      </c>
      <c r="E30" s="69">
        <v>844.95</v>
      </c>
      <c r="F30" s="69">
        <f>SUM(E30*52/1000)</f>
        <v>43.937400000000004</v>
      </c>
      <c r="G30" s="69">
        <v>166.65</v>
      </c>
      <c r="H30" s="70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hidden="1" customHeight="1">
      <c r="A31" s="30">
        <v>8</v>
      </c>
      <c r="B31" s="67" t="s">
        <v>167</v>
      </c>
      <c r="C31" s="68" t="s">
        <v>120</v>
      </c>
      <c r="D31" s="67" t="s">
        <v>122</v>
      </c>
      <c r="E31" s="69">
        <v>260.13</v>
      </c>
      <c r="F31" s="69">
        <f>SUM(E31*78/1000)</f>
        <v>20.290140000000001</v>
      </c>
      <c r="G31" s="69">
        <v>276.48</v>
      </c>
      <c r="H31" s="70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67" t="s">
        <v>27</v>
      </c>
      <c r="C32" s="68" t="s">
        <v>120</v>
      </c>
      <c r="D32" s="67" t="s">
        <v>57</v>
      </c>
      <c r="E32" s="69">
        <v>844.95</v>
      </c>
      <c r="F32" s="69">
        <f>SUM(E32/1000)</f>
        <v>0.84495000000000009</v>
      </c>
      <c r="G32" s="69">
        <v>3228.73</v>
      </c>
      <c r="H32" s="70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hidden="1" customHeight="1">
      <c r="A33" s="30">
        <v>9</v>
      </c>
      <c r="B33" s="67" t="s">
        <v>154</v>
      </c>
      <c r="C33" s="68" t="s">
        <v>42</v>
      </c>
      <c r="D33" s="67" t="s">
        <v>67</v>
      </c>
      <c r="E33" s="69">
        <v>8</v>
      </c>
      <c r="F33" s="69">
        <v>12.4</v>
      </c>
      <c r="G33" s="69">
        <v>1391.86</v>
      </c>
      <c r="H33" s="70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hidden="1" customHeight="1">
      <c r="A34" s="30">
        <v>10</v>
      </c>
      <c r="B34" s="67" t="s">
        <v>123</v>
      </c>
      <c r="C34" s="68" t="s">
        <v>31</v>
      </c>
      <c r="D34" s="67" t="s">
        <v>67</v>
      </c>
      <c r="E34" s="74">
        <v>0.33333333333333331</v>
      </c>
      <c r="F34" s="69">
        <f>155/3</f>
        <v>51.666666666666664</v>
      </c>
      <c r="G34" s="69">
        <v>60.6</v>
      </c>
      <c r="H34" s="70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67" t="s">
        <v>69</v>
      </c>
      <c r="C35" s="68" t="s">
        <v>34</v>
      </c>
      <c r="D35" s="67" t="s">
        <v>71</v>
      </c>
      <c r="E35" s="50"/>
      <c r="F35" s="69">
        <v>3</v>
      </c>
      <c r="G35" s="69">
        <v>204.32</v>
      </c>
      <c r="H35" s="70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67" t="s">
        <v>70</v>
      </c>
      <c r="C36" s="68" t="s">
        <v>33</v>
      </c>
      <c r="D36" s="67" t="s">
        <v>71</v>
      </c>
      <c r="E36" s="50"/>
      <c r="F36" s="69">
        <v>2</v>
      </c>
      <c r="G36" s="69">
        <v>1214.73</v>
      </c>
      <c r="H36" s="70">
        <f t="shared" si="1"/>
        <v>2.4294600000000002</v>
      </c>
      <c r="I36" s="13">
        <v>0</v>
      </c>
      <c r="J36" s="24"/>
    </row>
    <row r="37" spans="1:14" ht="15.75" customHeight="1">
      <c r="A37" s="30"/>
      <c r="B37" s="89" t="s">
        <v>5</v>
      </c>
      <c r="C37" s="68"/>
      <c r="D37" s="67"/>
      <c r="E37" s="50"/>
      <c r="F37" s="69"/>
      <c r="G37" s="69"/>
      <c r="H37" s="70" t="s">
        <v>139</v>
      </c>
      <c r="I37" s="13"/>
      <c r="J37" s="24"/>
    </row>
    <row r="38" spans="1:14" ht="15.75" customHeight="1">
      <c r="A38" s="30">
        <v>7</v>
      </c>
      <c r="B38" s="67" t="s">
        <v>26</v>
      </c>
      <c r="C38" s="68" t="s">
        <v>33</v>
      </c>
      <c r="D38" s="67"/>
      <c r="E38" s="50"/>
      <c r="F38" s="69">
        <v>10</v>
      </c>
      <c r="G38" s="69">
        <v>1632.6</v>
      </c>
      <c r="H38" s="70">
        <f t="shared" ref="H38:H44" si="3">SUM(F38*G38/1000)</f>
        <v>16.326000000000001</v>
      </c>
      <c r="I38" s="13">
        <f>F38/6*G38</f>
        <v>2721</v>
      </c>
      <c r="J38" s="24"/>
    </row>
    <row r="39" spans="1:14" ht="15.75" customHeight="1">
      <c r="A39" s="30">
        <v>8</v>
      </c>
      <c r="B39" s="67" t="s">
        <v>155</v>
      </c>
      <c r="C39" s="68" t="s">
        <v>29</v>
      </c>
      <c r="D39" s="67" t="s">
        <v>124</v>
      </c>
      <c r="E39" s="69">
        <v>254.8</v>
      </c>
      <c r="F39" s="69">
        <f>SUM(E39*30/1000)</f>
        <v>7.6440000000000001</v>
      </c>
      <c r="G39" s="69">
        <v>2247.8000000000002</v>
      </c>
      <c r="H39" s="70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67" t="s">
        <v>102</v>
      </c>
      <c r="C40" s="68" t="s">
        <v>125</v>
      </c>
      <c r="D40" s="67" t="s">
        <v>71</v>
      </c>
      <c r="E40" s="50"/>
      <c r="F40" s="69">
        <v>40</v>
      </c>
      <c r="G40" s="69">
        <v>213.2</v>
      </c>
      <c r="H40" s="70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customHeight="1">
      <c r="A41" s="30">
        <v>9</v>
      </c>
      <c r="B41" s="67" t="s">
        <v>72</v>
      </c>
      <c r="C41" s="68" t="s">
        <v>29</v>
      </c>
      <c r="D41" s="67" t="s">
        <v>126</v>
      </c>
      <c r="E41" s="69">
        <v>260.13</v>
      </c>
      <c r="F41" s="69">
        <f>SUM(E41*155/1000)</f>
        <v>40.320149999999998</v>
      </c>
      <c r="G41" s="69">
        <v>374.95</v>
      </c>
      <c r="H41" s="70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customHeight="1">
      <c r="A42" s="30">
        <v>10</v>
      </c>
      <c r="B42" s="67" t="s">
        <v>88</v>
      </c>
      <c r="C42" s="68" t="s">
        <v>120</v>
      </c>
      <c r="D42" s="67" t="s">
        <v>127</v>
      </c>
      <c r="E42" s="69">
        <v>132.72999999999999</v>
      </c>
      <c r="F42" s="69">
        <f>SUM(E42*35/1000)</f>
        <v>4.6455499999999992</v>
      </c>
      <c r="G42" s="69">
        <v>6203.7</v>
      </c>
      <c r="H42" s="70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customHeight="1">
      <c r="A43" s="30">
        <v>11</v>
      </c>
      <c r="B43" s="67" t="s">
        <v>128</v>
      </c>
      <c r="C43" s="68" t="s">
        <v>120</v>
      </c>
      <c r="D43" s="67" t="s">
        <v>73</v>
      </c>
      <c r="E43" s="69">
        <v>254.8</v>
      </c>
      <c r="F43" s="69">
        <f>SUM(E43*45/1000)</f>
        <v>11.465999999999999</v>
      </c>
      <c r="G43" s="69">
        <v>458.28</v>
      </c>
      <c r="H43" s="70">
        <f t="shared" si="3"/>
        <v>5.2546384799999997</v>
      </c>
      <c r="I43" s="13">
        <f>F43/7.5*G43</f>
        <v>700.6184639999999</v>
      </c>
      <c r="J43" s="24"/>
      <c r="L43" s="20"/>
      <c r="M43" s="21"/>
      <c r="N43" s="22"/>
    </row>
    <row r="44" spans="1:14" ht="15.75" customHeight="1">
      <c r="A44" s="30">
        <v>12</v>
      </c>
      <c r="B44" s="67" t="s">
        <v>74</v>
      </c>
      <c r="C44" s="68" t="s">
        <v>34</v>
      </c>
      <c r="D44" s="67"/>
      <c r="E44" s="50"/>
      <c r="F44" s="69">
        <v>0.9</v>
      </c>
      <c r="G44" s="69">
        <v>853.06</v>
      </c>
      <c r="H44" s="70">
        <f t="shared" si="3"/>
        <v>0.76775400000000005</v>
      </c>
      <c r="I44" s="13">
        <f>F44/7.5*G44</f>
        <v>102.3672</v>
      </c>
      <c r="J44" s="24"/>
      <c r="L44" s="20"/>
      <c r="M44" s="21"/>
      <c r="N44" s="22"/>
    </row>
    <row r="45" spans="1:14" ht="15.75" hidden="1" customHeight="1">
      <c r="A45" s="144" t="s">
        <v>149</v>
      </c>
      <c r="B45" s="145"/>
      <c r="C45" s="145"/>
      <c r="D45" s="145"/>
      <c r="E45" s="145"/>
      <c r="F45" s="145"/>
      <c r="G45" s="145"/>
      <c r="H45" s="145"/>
      <c r="I45" s="146"/>
      <c r="J45" s="24"/>
      <c r="L45" s="20"/>
      <c r="M45" s="21"/>
      <c r="N45" s="22"/>
    </row>
    <row r="46" spans="1:14" ht="15.75" hidden="1" customHeight="1">
      <c r="A46" s="30"/>
      <c r="B46" s="67" t="s">
        <v>143</v>
      </c>
      <c r="C46" s="68" t="s">
        <v>120</v>
      </c>
      <c r="D46" s="67" t="s">
        <v>44</v>
      </c>
      <c r="E46" s="50">
        <v>1795.9</v>
      </c>
      <c r="F46" s="69">
        <f>SUM(E46*2/1000)</f>
        <v>3.5918000000000001</v>
      </c>
      <c r="G46" s="13">
        <v>865.61</v>
      </c>
      <c r="H46" s="70">
        <f t="shared" ref="H46:H55" si="4">SUM(F46*G46/1000)</f>
        <v>3.1090979980000002</v>
      </c>
      <c r="I46" s="13">
        <v>0</v>
      </c>
      <c r="J46" s="24"/>
      <c r="L46" s="20"/>
      <c r="M46" s="21"/>
      <c r="N46" s="22"/>
    </row>
    <row r="47" spans="1:14" ht="15.75" hidden="1" customHeight="1">
      <c r="A47" s="30"/>
      <c r="B47" s="67" t="s">
        <v>37</v>
      </c>
      <c r="C47" s="68" t="s">
        <v>120</v>
      </c>
      <c r="D47" s="67" t="s">
        <v>44</v>
      </c>
      <c r="E47" s="50">
        <v>104</v>
      </c>
      <c r="F47" s="69">
        <f>SUM(E47*2/1000)</f>
        <v>0.20799999999999999</v>
      </c>
      <c r="G47" s="13">
        <v>619.46</v>
      </c>
      <c r="H47" s="70">
        <f t="shared" si="4"/>
        <v>0.12884767999999999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30"/>
      <c r="B48" s="67" t="s">
        <v>38</v>
      </c>
      <c r="C48" s="68" t="s">
        <v>120</v>
      </c>
      <c r="D48" s="67" t="s">
        <v>44</v>
      </c>
      <c r="E48" s="50">
        <v>1996.87</v>
      </c>
      <c r="F48" s="69">
        <f>SUM(E48*2/1000)</f>
        <v>3.9937399999999998</v>
      </c>
      <c r="G48" s="13">
        <v>619.46</v>
      </c>
      <c r="H48" s="70">
        <f t="shared" si="4"/>
        <v>2.4739621804</v>
      </c>
      <c r="I48" s="13">
        <v>0</v>
      </c>
      <c r="J48" s="24"/>
      <c r="L48" s="20"/>
      <c r="M48" s="21"/>
      <c r="N48" s="22"/>
    </row>
    <row r="49" spans="1:14" ht="15.75" hidden="1" customHeight="1">
      <c r="A49" s="30"/>
      <c r="B49" s="67" t="s">
        <v>39</v>
      </c>
      <c r="C49" s="68" t="s">
        <v>120</v>
      </c>
      <c r="D49" s="67" t="s">
        <v>44</v>
      </c>
      <c r="E49" s="50">
        <v>2630.35</v>
      </c>
      <c r="F49" s="69">
        <f>SUM(E49*2/1000)</f>
        <v>5.2606999999999999</v>
      </c>
      <c r="G49" s="13">
        <v>648.64</v>
      </c>
      <c r="H49" s="70">
        <f t="shared" si="4"/>
        <v>3.4123004479999999</v>
      </c>
      <c r="I49" s="13">
        <v>0</v>
      </c>
      <c r="J49" s="24"/>
      <c r="L49" s="20"/>
      <c r="M49" s="21"/>
      <c r="N49" s="22"/>
    </row>
    <row r="50" spans="1:14" ht="15.75" hidden="1" customHeight="1">
      <c r="A50" s="30"/>
      <c r="B50" s="67" t="s">
        <v>35</v>
      </c>
      <c r="C50" s="68" t="s">
        <v>36</v>
      </c>
      <c r="D50" s="67" t="s">
        <v>44</v>
      </c>
      <c r="E50" s="50">
        <v>131.47</v>
      </c>
      <c r="F50" s="69">
        <f>SUM(E50*2/100)</f>
        <v>2.6294</v>
      </c>
      <c r="G50" s="13">
        <v>77.84</v>
      </c>
      <c r="H50" s="70">
        <f t="shared" si="4"/>
        <v>0.20467249599999998</v>
      </c>
      <c r="I50" s="13">
        <v>0</v>
      </c>
      <c r="J50" s="24"/>
      <c r="L50" s="20"/>
      <c r="M50" s="21"/>
      <c r="N50" s="22"/>
    </row>
    <row r="51" spans="1:14" ht="15.75" hidden="1" customHeight="1">
      <c r="A51" s="30">
        <v>14</v>
      </c>
      <c r="B51" s="67" t="s">
        <v>60</v>
      </c>
      <c r="C51" s="68" t="s">
        <v>120</v>
      </c>
      <c r="D51" s="67" t="s">
        <v>168</v>
      </c>
      <c r="E51" s="50">
        <v>2872.4</v>
      </c>
      <c r="F51" s="69">
        <f>SUM(E51*5/1000)</f>
        <v>14.362</v>
      </c>
      <c r="G51" s="13">
        <v>1297.28</v>
      </c>
      <c r="H51" s="70">
        <f t="shared" si="4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14" ht="31.5" hidden="1" customHeight="1">
      <c r="A52" s="30">
        <v>11</v>
      </c>
      <c r="B52" s="67" t="s">
        <v>129</v>
      </c>
      <c r="C52" s="68" t="s">
        <v>120</v>
      </c>
      <c r="D52" s="67" t="s">
        <v>44</v>
      </c>
      <c r="E52" s="50">
        <v>2872.4</v>
      </c>
      <c r="F52" s="69">
        <f>SUM(E52*2/1000)</f>
        <v>5.7448000000000006</v>
      </c>
      <c r="G52" s="13">
        <v>1297.28</v>
      </c>
      <c r="H52" s="70">
        <f t="shared" si="4"/>
        <v>7.4526141440000009</v>
      </c>
      <c r="I52" s="13">
        <f>F52/2*G52</f>
        <v>3726.3070720000005</v>
      </c>
      <c r="J52" s="24"/>
      <c r="L52" s="20"/>
      <c r="M52" s="21"/>
      <c r="N52" s="22"/>
    </row>
    <row r="53" spans="1:14" ht="31.5" hidden="1" customHeight="1">
      <c r="A53" s="30">
        <v>12</v>
      </c>
      <c r="B53" s="67" t="s">
        <v>130</v>
      </c>
      <c r="C53" s="68" t="s">
        <v>40</v>
      </c>
      <c r="D53" s="67" t="s">
        <v>44</v>
      </c>
      <c r="E53" s="50">
        <v>40</v>
      </c>
      <c r="F53" s="69">
        <f>SUM(E53*2/100)</f>
        <v>0.8</v>
      </c>
      <c r="G53" s="13">
        <v>2918.89</v>
      </c>
      <c r="H53" s="70">
        <f t="shared" si="4"/>
        <v>2.3351120000000001</v>
      </c>
      <c r="I53" s="13">
        <f t="shared" ref="I53:I54" si="5">F53/2*G53</f>
        <v>1167.556</v>
      </c>
      <c r="J53" s="24"/>
      <c r="L53" s="20"/>
      <c r="M53" s="21"/>
      <c r="N53" s="22"/>
    </row>
    <row r="54" spans="1:14" ht="15.75" hidden="1" customHeight="1">
      <c r="A54" s="30">
        <v>13</v>
      </c>
      <c r="B54" s="67" t="s">
        <v>41</v>
      </c>
      <c r="C54" s="68" t="s">
        <v>42</v>
      </c>
      <c r="D54" s="67" t="s">
        <v>44</v>
      </c>
      <c r="E54" s="50">
        <v>1</v>
      </c>
      <c r="F54" s="69">
        <v>0.02</v>
      </c>
      <c r="G54" s="13">
        <v>6042.12</v>
      </c>
      <c r="H54" s="70">
        <f t="shared" si="4"/>
        <v>0.1208424</v>
      </c>
      <c r="I54" s="13">
        <f t="shared" si="5"/>
        <v>60.421199999999999</v>
      </c>
      <c r="J54" s="24"/>
      <c r="L54" s="20"/>
      <c r="M54" s="21"/>
      <c r="N54" s="22"/>
    </row>
    <row r="55" spans="1:14" ht="3" hidden="1" customHeight="1">
      <c r="A55" s="30">
        <v>14</v>
      </c>
      <c r="B55" s="67" t="s">
        <v>43</v>
      </c>
      <c r="C55" s="68" t="s">
        <v>31</v>
      </c>
      <c r="D55" s="67" t="s">
        <v>75</v>
      </c>
      <c r="E55" s="50">
        <v>160</v>
      </c>
      <c r="F55" s="69">
        <f>SUM(E55)*3</f>
        <v>480</v>
      </c>
      <c r="G55" s="13">
        <v>70.209999999999994</v>
      </c>
      <c r="H55" s="70">
        <f t="shared" si="4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14" ht="15.75" customHeight="1">
      <c r="A56" s="144" t="s">
        <v>171</v>
      </c>
      <c r="B56" s="145"/>
      <c r="C56" s="145"/>
      <c r="D56" s="145"/>
      <c r="E56" s="145"/>
      <c r="F56" s="145"/>
      <c r="G56" s="145"/>
      <c r="H56" s="145"/>
      <c r="I56" s="146"/>
      <c r="J56" s="24"/>
      <c r="L56" s="20"/>
      <c r="M56" s="21"/>
      <c r="N56" s="22"/>
    </row>
    <row r="57" spans="1:14" ht="17.25" customHeight="1">
      <c r="A57" s="30"/>
      <c r="B57" s="89" t="s">
        <v>45</v>
      </c>
      <c r="C57" s="68"/>
      <c r="D57" s="67"/>
      <c r="E57" s="50"/>
      <c r="F57" s="69"/>
      <c r="G57" s="69"/>
      <c r="H57" s="70"/>
      <c r="I57" s="13"/>
      <c r="J57" s="24"/>
      <c r="L57" s="20"/>
      <c r="M57" s="21"/>
      <c r="N57" s="22"/>
    </row>
    <row r="58" spans="1:14" ht="16.5" hidden="1" customHeight="1">
      <c r="A58" s="30">
        <v>14</v>
      </c>
      <c r="B58" s="67" t="s">
        <v>132</v>
      </c>
      <c r="C58" s="68" t="s">
        <v>111</v>
      </c>
      <c r="D58" s="67" t="s">
        <v>76</v>
      </c>
      <c r="E58" s="50">
        <v>239.59</v>
      </c>
      <c r="F58" s="69">
        <f>E58*6/100</f>
        <v>14.375399999999999</v>
      </c>
      <c r="G58" s="76">
        <v>1654.04</v>
      </c>
      <c r="H58" s="70">
        <f>F58*G58/1000</f>
        <v>23.777486615999997</v>
      </c>
      <c r="I58" s="13">
        <f>F58/6*G58</f>
        <v>3962.9144359999996</v>
      </c>
      <c r="J58" s="24"/>
      <c r="L58" s="20"/>
      <c r="M58" s="21"/>
      <c r="N58" s="22"/>
    </row>
    <row r="59" spans="1:14" ht="30.75" customHeight="1">
      <c r="A59" s="30">
        <v>13</v>
      </c>
      <c r="B59" s="105" t="s">
        <v>93</v>
      </c>
      <c r="C59" s="106" t="s">
        <v>209</v>
      </c>
      <c r="D59" s="105" t="s">
        <v>331</v>
      </c>
      <c r="E59" s="107">
        <v>2</v>
      </c>
      <c r="F59" s="108">
        <v>2</v>
      </c>
      <c r="G59" s="116">
        <v>1501</v>
      </c>
      <c r="H59" s="83"/>
      <c r="I59" s="13">
        <f>G59*4</f>
        <v>6004</v>
      </c>
      <c r="J59" s="24"/>
      <c r="L59" s="20"/>
      <c r="M59" s="21"/>
      <c r="N59" s="22"/>
    </row>
    <row r="60" spans="1:14" ht="15.75" customHeight="1">
      <c r="A60" s="30"/>
      <c r="B60" s="90" t="s">
        <v>46</v>
      </c>
      <c r="C60" s="77"/>
      <c r="D60" s="78"/>
      <c r="E60" s="79"/>
      <c r="F60" s="81"/>
      <c r="G60" s="13"/>
      <c r="H60" s="83"/>
      <c r="I60" s="13"/>
      <c r="J60" s="24"/>
      <c r="L60" s="20"/>
      <c r="M60" s="21"/>
      <c r="N60" s="22"/>
    </row>
    <row r="61" spans="1:14" ht="15.75" hidden="1" customHeight="1">
      <c r="A61" s="30"/>
      <c r="B61" s="78" t="s">
        <v>47</v>
      </c>
      <c r="C61" s="77" t="s">
        <v>56</v>
      </c>
      <c r="D61" s="78" t="s">
        <v>57</v>
      </c>
      <c r="E61" s="79">
        <v>2686</v>
      </c>
      <c r="F61" s="81">
        <f>E61/100</f>
        <v>26.86</v>
      </c>
      <c r="G61" s="13">
        <v>848.37</v>
      </c>
      <c r="H61" s="83">
        <f>G61*F61/1000</f>
        <v>22.787218199999998</v>
      </c>
      <c r="I61" s="13">
        <v>0</v>
      </c>
      <c r="J61" s="24"/>
      <c r="L61" s="20"/>
    </row>
    <row r="62" spans="1:14" ht="15.75" customHeight="1">
      <c r="A62" s="30">
        <v>14</v>
      </c>
      <c r="B62" s="78" t="s">
        <v>103</v>
      </c>
      <c r="C62" s="77" t="s">
        <v>25</v>
      </c>
      <c r="D62" s="78" t="s">
        <v>30</v>
      </c>
      <c r="E62" s="79">
        <v>343</v>
      </c>
      <c r="F62" s="81">
        <v>4116</v>
      </c>
      <c r="G62" s="13">
        <v>1.2</v>
      </c>
      <c r="H62" s="83">
        <f>F62*G62</f>
        <v>4939.2</v>
      </c>
      <c r="I62" s="13">
        <f>F62/12*G62</f>
        <v>411.59999999999997</v>
      </c>
    </row>
    <row r="63" spans="1:14" ht="15.75" hidden="1" customHeight="1">
      <c r="A63" s="30"/>
      <c r="B63" s="90" t="s">
        <v>144</v>
      </c>
      <c r="C63" s="77"/>
      <c r="D63" s="78"/>
      <c r="E63" s="79"/>
      <c r="F63" s="81"/>
      <c r="G63" s="13"/>
      <c r="H63" s="83"/>
      <c r="I63" s="13"/>
    </row>
    <row r="64" spans="1:14" ht="15.75" hidden="1" customHeight="1">
      <c r="A64" s="30"/>
      <c r="B64" s="78" t="s">
        <v>145</v>
      </c>
      <c r="C64" s="77" t="s">
        <v>31</v>
      </c>
      <c r="D64" s="78" t="s">
        <v>71</v>
      </c>
      <c r="E64" s="79">
        <v>3</v>
      </c>
      <c r="F64" s="80">
        <v>3</v>
      </c>
      <c r="G64" s="82">
        <v>254.16</v>
      </c>
      <c r="H64" s="81">
        <v>0.76200000000000001</v>
      </c>
      <c r="I64" s="13">
        <v>0</v>
      </c>
    </row>
    <row r="65" spans="1:22" ht="15.75" hidden="1" customHeight="1">
      <c r="A65" s="30"/>
      <c r="B65" s="90" t="s">
        <v>48</v>
      </c>
      <c r="C65" s="77"/>
      <c r="D65" s="78"/>
      <c r="E65" s="79"/>
      <c r="F65" s="80"/>
      <c r="G65" s="80"/>
      <c r="H65" s="81" t="s">
        <v>139</v>
      </c>
      <c r="I65" s="1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0">
        <v>16</v>
      </c>
      <c r="B66" s="14" t="s">
        <v>49</v>
      </c>
      <c r="C66" s="16" t="s">
        <v>131</v>
      </c>
      <c r="D66" s="78" t="s">
        <v>71</v>
      </c>
      <c r="E66" s="19">
        <v>15</v>
      </c>
      <c r="F66" s="69">
        <v>15</v>
      </c>
      <c r="G66" s="13">
        <v>237.74</v>
      </c>
      <c r="H66" s="84">
        <f t="shared" ref="H66:H79" si="6">SUM(F66*G66/1000)</f>
        <v>3.5661000000000005</v>
      </c>
      <c r="I66" s="13">
        <f>G66*2</f>
        <v>475.48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0"/>
      <c r="B67" s="14" t="s">
        <v>50</v>
      </c>
      <c r="C67" s="16" t="s">
        <v>131</v>
      </c>
      <c r="D67" s="78" t="s">
        <v>71</v>
      </c>
      <c r="E67" s="19">
        <v>5</v>
      </c>
      <c r="F67" s="69">
        <v>5</v>
      </c>
      <c r="G67" s="13">
        <v>81.510000000000005</v>
      </c>
      <c r="H67" s="84">
        <f t="shared" si="6"/>
        <v>0.40755000000000002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0"/>
      <c r="B68" s="14" t="s">
        <v>51</v>
      </c>
      <c r="C68" s="16" t="s">
        <v>133</v>
      </c>
      <c r="D68" s="14" t="s">
        <v>57</v>
      </c>
      <c r="E68" s="50">
        <v>24123</v>
      </c>
      <c r="F68" s="13">
        <f>SUM(E68/100)</f>
        <v>241.23</v>
      </c>
      <c r="G68" s="13">
        <v>226.79</v>
      </c>
      <c r="H68" s="84">
        <f t="shared" si="6"/>
        <v>54.708551699999994</v>
      </c>
      <c r="I68" s="13">
        <f>F68*G68</f>
        <v>54708.551699999996</v>
      </c>
      <c r="J68" s="5"/>
      <c r="K68" s="5"/>
      <c r="L68" s="5"/>
      <c r="M68" s="5"/>
      <c r="N68" s="5"/>
      <c r="O68" s="5"/>
      <c r="P68" s="5"/>
      <c r="Q68" s="5"/>
      <c r="R68" s="140"/>
      <c r="S68" s="140"/>
      <c r="T68" s="140"/>
      <c r="U68" s="140"/>
    </row>
    <row r="69" spans="1:22" ht="15.75" hidden="1" customHeight="1">
      <c r="A69" s="30"/>
      <c r="B69" s="14" t="s">
        <v>52</v>
      </c>
      <c r="C69" s="16" t="s">
        <v>134</v>
      </c>
      <c r="D69" s="14"/>
      <c r="E69" s="50">
        <v>24123</v>
      </c>
      <c r="F69" s="13">
        <f>SUM(E69/1000)</f>
        <v>24.123000000000001</v>
      </c>
      <c r="G69" s="13">
        <v>176.61</v>
      </c>
      <c r="H69" s="84">
        <f t="shared" si="6"/>
        <v>4.2603630300000006</v>
      </c>
      <c r="I69" s="13">
        <f t="shared" ref="I69:I73" si="7">F69*G69</f>
        <v>4260.3630300000004</v>
      </c>
    </row>
    <row r="70" spans="1:22" ht="15.75" hidden="1" customHeight="1">
      <c r="A70" s="30"/>
      <c r="B70" s="14" t="s">
        <v>53</v>
      </c>
      <c r="C70" s="16" t="s">
        <v>81</v>
      </c>
      <c r="D70" s="14" t="s">
        <v>57</v>
      </c>
      <c r="E70" s="50">
        <v>2730</v>
      </c>
      <c r="F70" s="13">
        <f>SUM(E70/100)</f>
        <v>27.3</v>
      </c>
      <c r="G70" s="13">
        <v>2217.7800000000002</v>
      </c>
      <c r="H70" s="84">
        <f t="shared" si="6"/>
        <v>60.545394000000009</v>
      </c>
      <c r="I70" s="13">
        <f t="shared" si="7"/>
        <v>60545.394000000008</v>
      </c>
    </row>
    <row r="71" spans="1:22" ht="15.75" hidden="1" customHeight="1">
      <c r="A71" s="30"/>
      <c r="B71" s="85" t="s">
        <v>135</v>
      </c>
      <c r="C71" s="16" t="s">
        <v>34</v>
      </c>
      <c r="D71" s="14"/>
      <c r="E71" s="50">
        <v>23</v>
      </c>
      <c r="F71" s="13">
        <f>SUM(E71)</f>
        <v>23</v>
      </c>
      <c r="G71" s="13">
        <v>42.67</v>
      </c>
      <c r="H71" s="84">
        <f t="shared" si="6"/>
        <v>0.98141000000000012</v>
      </c>
      <c r="I71" s="13">
        <f t="shared" si="7"/>
        <v>981.41000000000008</v>
      </c>
    </row>
    <row r="72" spans="1:22" ht="15.75" hidden="1" customHeight="1">
      <c r="A72" s="30"/>
      <c r="B72" s="85" t="s">
        <v>136</v>
      </c>
      <c r="C72" s="16" t="s">
        <v>34</v>
      </c>
      <c r="D72" s="14"/>
      <c r="E72" s="50">
        <v>23</v>
      </c>
      <c r="F72" s="13">
        <f>SUM(E72)</f>
        <v>23</v>
      </c>
      <c r="G72" s="13">
        <v>39.81</v>
      </c>
      <c r="H72" s="84">
        <f t="shared" si="6"/>
        <v>0.91563000000000005</v>
      </c>
      <c r="I72" s="13">
        <f t="shared" si="7"/>
        <v>915.63000000000011</v>
      </c>
    </row>
    <row r="73" spans="1:22" ht="15.75" hidden="1" customHeight="1">
      <c r="A73" s="30"/>
      <c r="B73" s="14" t="s">
        <v>61</v>
      </c>
      <c r="C73" s="16" t="s">
        <v>62</v>
      </c>
      <c r="D73" s="14" t="s">
        <v>57</v>
      </c>
      <c r="E73" s="19">
        <v>10</v>
      </c>
      <c r="F73" s="69">
        <f>SUM(E73)</f>
        <v>10</v>
      </c>
      <c r="G73" s="13">
        <v>53.32</v>
      </c>
      <c r="H73" s="84">
        <f t="shared" si="6"/>
        <v>0.53320000000000001</v>
      </c>
      <c r="I73" s="13">
        <f t="shared" si="7"/>
        <v>533.20000000000005</v>
      </c>
    </row>
    <row r="74" spans="1:22" ht="12.75" customHeight="1">
      <c r="A74" s="30"/>
      <c r="B74" s="97" t="s">
        <v>77</v>
      </c>
      <c r="C74" s="16"/>
      <c r="D74" s="14"/>
      <c r="E74" s="19"/>
      <c r="F74" s="13"/>
      <c r="G74" s="13"/>
      <c r="H74" s="84" t="s">
        <v>139</v>
      </c>
      <c r="I74" s="13"/>
    </row>
    <row r="75" spans="1:22" ht="18.75" customHeight="1">
      <c r="A75" s="30">
        <v>15</v>
      </c>
      <c r="B75" s="14" t="s">
        <v>78</v>
      </c>
      <c r="C75" s="16" t="s">
        <v>32</v>
      </c>
      <c r="D75" s="14"/>
      <c r="E75" s="19">
        <v>2</v>
      </c>
      <c r="F75" s="61">
        <v>0.2</v>
      </c>
      <c r="G75" s="13">
        <v>536.23</v>
      </c>
      <c r="H75" s="84">
        <v>0.251</v>
      </c>
      <c r="I75" s="13">
        <f>G75*0.4</f>
        <v>214.49200000000002</v>
      </c>
    </row>
    <row r="76" spans="1:22" ht="18" hidden="1" customHeight="1">
      <c r="A76" s="30"/>
      <c r="B76" s="14" t="s">
        <v>94</v>
      </c>
      <c r="C76" s="16" t="s">
        <v>31</v>
      </c>
      <c r="D76" s="14"/>
      <c r="E76" s="19">
        <v>1</v>
      </c>
      <c r="F76" s="69">
        <f>SUM(E76)</f>
        <v>1</v>
      </c>
      <c r="G76" s="13">
        <v>383.25</v>
      </c>
      <c r="H76" s="84">
        <f t="shared" si="6"/>
        <v>0.38324999999999998</v>
      </c>
      <c r="I76" s="13">
        <v>0</v>
      </c>
    </row>
    <row r="77" spans="1:22" ht="22.5" hidden="1" customHeight="1">
      <c r="A77" s="30"/>
      <c r="B77" s="14" t="s">
        <v>79</v>
      </c>
      <c r="C77" s="16" t="s">
        <v>31</v>
      </c>
      <c r="D77" s="14"/>
      <c r="E77" s="19">
        <v>2</v>
      </c>
      <c r="F77" s="13">
        <v>2</v>
      </c>
      <c r="G77" s="13">
        <v>911.85</v>
      </c>
      <c r="H77" s="84">
        <f>F77*G77/1000</f>
        <v>1.8237000000000001</v>
      </c>
      <c r="I77" s="13">
        <v>0</v>
      </c>
    </row>
    <row r="78" spans="1:22" ht="21" hidden="1" customHeight="1">
      <c r="A78" s="30"/>
      <c r="B78" s="86" t="s">
        <v>80</v>
      </c>
      <c r="C78" s="16"/>
      <c r="D78" s="14"/>
      <c r="E78" s="19"/>
      <c r="F78" s="13"/>
      <c r="G78" s="13" t="s">
        <v>139</v>
      </c>
      <c r="H78" s="84" t="s">
        <v>139</v>
      </c>
      <c r="I78" s="13"/>
    </row>
    <row r="79" spans="1:22" ht="21" hidden="1" customHeight="1">
      <c r="A79" s="30"/>
      <c r="B79" s="45" t="s">
        <v>140</v>
      </c>
      <c r="C79" s="16" t="s">
        <v>81</v>
      </c>
      <c r="D79" s="14"/>
      <c r="E79" s="19"/>
      <c r="F79" s="13">
        <v>1.35</v>
      </c>
      <c r="G79" s="13">
        <v>2949.85</v>
      </c>
      <c r="H79" s="84">
        <f t="shared" si="6"/>
        <v>3.9822975</v>
      </c>
      <c r="I79" s="13">
        <v>0</v>
      </c>
    </row>
    <row r="80" spans="1:22" ht="19.5" hidden="1" customHeight="1">
      <c r="A80" s="30"/>
      <c r="B80" s="72" t="s">
        <v>137</v>
      </c>
      <c r="C80" s="86"/>
      <c r="D80" s="32"/>
      <c r="E80" s="33"/>
      <c r="F80" s="73"/>
      <c r="G80" s="73"/>
      <c r="H80" s="87">
        <f>SUM(H58:H79)</f>
        <v>5118.885151045999</v>
      </c>
      <c r="I80" s="73"/>
    </row>
    <row r="81" spans="1:9" ht="15" hidden="1" customHeight="1">
      <c r="A81" s="30"/>
      <c r="B81" s="67" t="s">
        <v>138</v>
      </c>
      <c r="C81" s="16"/>
      <c r="D81" s="14"/>
      <c r="E81" s="62"/>
      <c r="F81" s="13">
        <v>1</v>
      </c>
      <c r="G81" s="13">
        <v>19342.2</v>
      </c>
      <c r="H81" s="84">
        <f>G81*F81/1000</f>
        <v>19.342200000000002</v>
      </c>
      <c r="I81" s="13">
        <v>0</v>
      </c>
    </row>
    <row r="82" spans="1:9" ht="15.75" customHeight="1">
      <c r="A82" s="153" t="s">
        <v>172</v>
      </c>
      <c r="B82" s="154"/>
      <c r="C82" s="154"/>
      <c r="D82" s="154"/>
      <c r="E82" s="154"/>
      <c r="F82" s="154"/>
      <c r="G82" s="154"/>
      <c r="H82" s="154"/>
      <c r="I82" s="155"/>
    </row>
    <row r="83" spans="1:9" ht="15.75" customHeight="1">
      <c r="A83" s="30">
        <v>16</v>
      </c>
      <c r="B83" s="67" t="s">
        <v>141</v>
      </c>
      <c r="C83" s="16" t="s">
        <v>58</v>
      </c>
      <c r="D83" s="88" t="s">
        <v>59</v>
      </c>
      <c r="E83" s="13">
        <v>4591.2</v>
      </c>
      <c r="F83" s="13">
        <f>SUM(E83*12)</f>
        <v>55094.399999999994</v>
      </c>
      <c r="G83" s="13">
        <v>2.54</v>
      </c>
      <c r="H83" s="84">
        <f>SUM(F83*G83/1000)</f>
        <v>139.93977599999999</v>
      </c>
      <c r="I83" s="13">
        <f>F83/12*G83</f>
        <v>11661.647999999999</v>
      </c>
    </row>
    <row r="84" spans="1:9" ht="31.5" customHeight="1">
      <c r="A84" s="30">
        <v>17</v>
      </c>
      <c r="B84" s="14" t="s">
        <v>82</v>
      </c>
      <c r="C84" s="16"/>
      <c r="D84" s="88" t="s">
        <v>59</v>
      </c>
      <c r="E84" s="50">
        <f>E83</f>
        <v>4591.2</v>
      </c>
      <c r="F84" s="13">
        <f>E84*12</f>
        <v>55094.399999999994</v>
      </c>
      <c r="G84" s="13">
        <v>2.0499999999999998</v>
      </c>
      <c r="H84" s="84">
        <f>F84*G84/1000</f>
        <v>112.94351999999998</v>
      </c>
      <c r="I84" s="13">
        <f>F84/12*G84</f>
        <v>9411.9599999999991</v>
      </c>
    </row>
    <row r="85" spans="1:9" ht="15.75" customHeight="1">
      <c r="A85" s="95"/>
      <c r="B85" s="37" t="s">
        <v>85</v>
      </c>
      <c r="C85" s="38"/>
      <c r="D85" s="15"/>
      <c r="E85" s="15"/>
      <c r="F85" s="15"/>
      <c r="G85" s="19"/>
      <c r="H85" s="19"/>
      <c r="I85" s="33">
        <f>I84+I83+I75+I62+I59+I44+I43+I42+I41+I39+I38+I26+I21+I20+I18+I17+I16</f>
        <v>60288.355384249997</v>
      </c>
    </row>
    <row r="86" spans="1:9" ht="15.75" customHeight="1">
      <c r="A86" s="150" t="s">
        <v>64</v>
      </c>
      <c r="B86" s="151"/>
      <c r="C86" s="151"/>
      <c r="D86" s="151"/>
      <c r="E86" s="151"/>
      <c r="F86" s="151"/>
      <c r="G86" s="151"/>
      <c r="H86" s="151"/>
      <c r="I86" s="152"/>
    </row>
    <row r="87" spans="1:9" ht="29.25" customHeight="1">
      <c r="A87" s="30">
        <v>18</v>
      </c>
      <c r="B87" s="98" t="s">
        <v>315</v>
      </c>
      <c r="C87" s="99" t="s">
        <v>29</v>
      </c>
      <c r="D87" s="45"/>
      <c r="E87" s="35"/>
      <c r="F87" s="35">
        <f>134/3</f>
        <v>44.666666666666664</v>
      </c>
      <c r="G87" s="35">
        <v>18798.34</v>
      </c>
      <c r="H87" s="100">
        <f t="shared" ref="H87:H89" si="8">G87*F87/1000</f>
        <v>839.65918666666664</v>
      </c>
      <c r="I87" s="13">
        <f>G87*0.004594</f>
        <v>86.359573960000006</v>
      </c>
    </row>
    <row r="88" spans="1:9" ht="15" customHeight="1">
      <c r="A88" s="30">
        <v>19</v>
      </c>
      <c r="B88" s="98" t="s">
        <v>316</v>
      </c>
      <c r="C88" s="99" t="s">
        <v>104</v>
      </c>
      <c r="D88" s="45"/>
      <c r="E88" s="35"/>
      <c r="F88" s="35">
        <v>0.11</v>
      </c>
      <c r="G88" s="35">
        <v>10688.06</v>
      </c>
      <c r="H88" s="100">
        <f t="shared" si="8"/>
        <v>1.1756865999999999</v>
      </c>
      <c r="I88" s="13">
        <f>G88*0.2</f>
        <v>2137.6120000000001</v>
      </c>
    </row>
    <row r="89" spans="1:9" ht="17.25" customHeight="1">
      <c r="A89" s="30">
        <v>20</v>
      </c>
      <c r="B89" s="104" t="s">
        <v>317</v>
      </c>
      <c r="C89" s="38" t="s">
        <v>34</v>
      </c>
      <c r="D89" s="45"/>
      <c r="E89" s="35"/>
      <c r="F89" s="35">
        <v>5</v>
      </c>
      <c r="G89" s="35">
        <v>20935.490000000002</v>
      </c>
      <c r="H89" s="100">
        <f t="shared" si="8"/>
        <v>104.67745000000001</v>
      </c>
      <c r="I89" s="13">
        <f>G89*0.5</f>
        <v>10467.745000000001</v>
      </c>
    </row>
    <row r="90" spans="1:9" ht="18" customHeight="1">
      <c r="A90" s="30" t="s">
        <v>332</v>
      </c>
      <c r="B90" s="98" t="s">
        <v>298</v>
      </c>
      <c r="C90" s="99" t="s">
        <v>131</v>
      </c>
      <c r="D90" s="45"/>
      <c r="E90" s="35"/>
      <c r="F90" s="35"/>
      <c r="G90" s="35">
        <v>55.55</v>
      </c>
      <c r="H90" s="100"/>
      <c r="I90" s="13">
        <f>G90*1</f>
        <v>55.55</v>
      </c>
    </row>
    <row r="91" spans="1:9" ht="15.75" customHeight="1">
      <c r="A91" s="30">
        <v>22</v>
      </c>
      <c r="B91" s="98" t="s">
        <v>318</v>
      </c>
      <c r="C91" s="99" t="s">
        <v>131</v>
      </c>
      <c r="D91" s="45"/>
      <c r="E91" s="35"/>
      <c r="F91" s="35"/>
      <c r="G91" s="35">
        <v>15.51</v>
      </c>
      <c r="H91" s="100"/>
      <c r="I91" s="13">
        <f>G91*1</f>
        <v>15.51</v>
      </c>
    </row>
    <row r="92" spans="1:9" ht="17.25" customHeight="1">
      <c r="A92" s="30">
        <v>23</v>
      </c>
      <c r="B92" s="98" t="s">
        <v>319</v>
      </c>
      <c r="C92" s="99" t="s">
        <v>131</v>
      </c>
      <c r="D92" s="45"/>
      <c r="E92" s="35"/>
      <c r="F92" s="35"/>
      <c r="G92" s="35">
        <v>8.73</v>
      </c>
      <c r="H92" s="100"/>
      <c r="I92" s="13">
        <f>G92*10</f>
        <v>87.300000000000011</v>
      </c>
    </row>
    <row r="93" spans="1:9" ht="18.75" customHeight="1">
      <c r="A93" s="30">
        <v>24</v>
      </c>
      <c r="B93" s="98" t="s">
        <v>320</v>
      </c>
      <c r="C93" s="99" t="s">
        <v>131</v>
      </c>
      <c r="D93" s="45"/>
      <c r="E93" s="35"/>
      <c r="F93" s="35"/>
      <c r="G93" s="35">
        <v>86.15</v>
      </c>
      <c r="H93" s="100"/>
      <c r="I93" s="13">
        <f>G93*1</f>
        <v>86.15</v>
      </c>
    </row>
    <row r="94" spans="1:9" ht="16.5" customHeight="1">
      <c r="A94" s="30">
        <v>25</v>
      </c>
      <c r="B94" s="98" t="s">
        <v>321</v>
      </c>
      <c r="C94" s="99" t="s">
        <v>131</v>
      </c>
      <c r="D94" s="45"/>
      <c r="E94" s="35"/>
      <c r="F94" s="35"/>
      <c r="G94" s="35">
        <v>19.059999999999999</v>
      </c>
      <c r="H94" s="100"/>
      <c r="I94" s="13">
        <f>G94*7</f>
        <v>133.41999999999999</v>
      </c>
    </row>
    <row r="95" spans="1:9" ht="15.75" customHeight="1">
      <c r="A95" s="30">
        <v>26</v>
      </c>
      <c r="B95" s="98" t="s">
        <v>322</v>
      </c>
      <c r="C95" s="99" t="s">
        <v>131</v>
      </c>
      <c r="D95" s="45"/>
      <c r="E95" s="35"/>
      <c r="F95" s="35"/>
      <c r="G95" s="35">
        <v>48.69</v>
      </c>
      <c r="H95" s="100"/>
      <c r="I95" s="13">
        <f>G95*1</f>
        <v>48.69</v>
      </c>
    </row>
    <row r="96" spans="1:9" ht="17.25" customHeight="1">
      <c r="A96" s="30">
        <v>27</v>
      </c>
      <c r="B96" s="49" t="s">
        <v>186</v>
      </c>
      <c r="C96" s="51" t="s">
        <v>131</v>
      </c>
      <c r="D96" s="45"/>
      <c r="E96" s="35"/>
      <c r="F96" s="35"/>
      <c r="G96" s="35">
        <v>140</v>
      </c>
      <c r="H96" s="100"/>
      <c r="I96" s="13">
        <f>G96*1</f>
        <v>140</v>
      </c>
    </row>
    <row r="97" spans="1:9" ht="17.25" customHeight="1">
      <c r="A97" s="30">
        <v>28</v>
      </c>
      <c r="B97" s="49" t="s">
        <v>323</v>
      </c>
      <c r="C97" s="51" t="s">
        <v>131</v>
      </c>
      <c r="D97" s="45"/>
      <c r="E97" s="35"/>
      <c r="F97" s="35"/>
      <c r="G97" s="35">
        <v>53.17</v>
      </c>
      <c r="H97" s="100"/>
      <c r="I97" s="13">
        <f>G97*3</f>
        <v>159.51</v>
      </c>
    </row>
    <row r="98" spans="1:9" ht="13.5" customHeight="1">
      <c r="A98" s="30">
        <v>29</v>
      </c>
      <c r="B98" s="98" t="s">
        <v>324</v>
      </c>
      <c r="C98" s="99" t="s">
        <v>131</v>
      </c>
      <c r="D98" s="45"/>
      <c r="E98" s="35"/>
      <c r="F98" s="35"/>
      <c r="G98" s="35">
        <v>864.9</v>
      </c>
      <c r="H98" s="100"/>
      <c r="I98" s="13">
        <f>G98*1</f>
        <v>864.9</v>
      </c>
    </row>
    <row r="99" spans="1:9" ht="15.75" customHeight="1">
      <c r="A99" s="30">
        <v>30</v>
      </c>
      <c r="B99" s="98" t="s">
        <v>87</v>
      </c>
      <c r="C99" s="99" t="s">
        <v>131</v>
      </c>
      <c r="D99" s="101"/>
      <c r="E99" s="35"/>
      <c r="F99" s="35">
        <f>3.125/10</f>
        <v>0.3125</v>
      </c>
      <c r="G99" s="35">
        <v>197.48</v>
      </c>
      <c r="H99" s="35">
        <f>G99*F99/1000</f>
        <v>6.1712499999999997E-2</v>
      </c>
      <c r="I99" s="13">
        <f>G99*8</f>
        <v>1579.84</v>
      </c>
    </row>
    <row r="100" spans="1:9" ht="15.75" customHeight="1">
      <c r="A100" s="30">
        <v>31</v>
      </c>
      <c r="B100" s="98" t="s">
        <v>325</v>
      </c>
      <c r="C100" s="102" t="s">
        <v>326</v>
      </c>
      <c r="D100" s="101"/>
      <c r="E100" s="35"/>
      <c r="F100" s="35"/>
      <c r="G100" s="133">
        <v>160.33000000000001</v>
      </c>
      <c r="H100" s="35"/>
      <c r="I100" s="13">
        <f>G100*1</f>
        <v>160.33000000000001</v>
      </c>
    </row>
    <row r="101" spans="1:9" ht="15.75" customHeight="1">
      <c r="A101" s="30">
        <v>32</v>
      </c>
      <c r="B101" s="98" t="s">
        <v>327</v>
      </c>
      <c r="C101" s="99" t="s">
        <v>328</v>
      </c>
      <c r="D101" s="101"/>
      <c r="E101" s="35"/>
      <c r="F101" s="35"/>
      <c r="G101" s="35">
        <v>6312</v>
      </c>
      <c r="H101" s="35"/>
      <c r="I101" s="13">
        <f>G101*2</f>
        <v>12624</v>
      </c>
    </row>
    <row r="102" spans="1:9" ht="33" customHeight="1">
      <c r="A102" s="30">
        <v>33</v>
      </c>
      <c r="B102" s="98" t="s">
        <v>330</v>
      </c>
      <c r="C102" s="99" t="s">
        <v>29</v>
      </c>
      <c r="D102" s="101"/>
      <c r="E102" s="35"/>
      <c r="F102" s="35"/>
      <c r="G102" s="133">
        <v>1655.67</v>
      </c>
      <c r="H102" s="35"/>
      <c r="I102" s="13">
        <f>G102*0.718</f>
        <v>1188.77106</v>
      </c>
    </row>
    <row r="103" spans="1:9" ht="17.25" customHeight="1">
      <c r="A103" s="30">
        <v>34</v>
      </c>
      <c r="B103" s="98" t="s">
        <v>334</v>
      </c>
      <c r="C103" s="99" t="s">
        <v>328</v>
      </c>
      <c r="D103" s="101"/>
      <c r="E103" s="35"/>
      <c r="F103" s="35"/>
      <c r="G103" s="35">
        <v>253.69</v>
      </c>
      <c r="H103" s="35"/>
      <c r="I103" s="13">
        <f>G103*6</f>
        <v>1522.1399999999999</v>
      </c>
    </row>
    <row r="104" spans="1:9" ht="17.25" customHeight="1">
      <c r="A104" s="30">
        <v>35</v>
      </c>
      <c r="B104" s="98" t="s">
        <v>335</v>
      </c>
      <c r="C104" s="99" t="s">
        <v>107</v>
      </c>
      <c r="D104" s="101"/>
      <c r="E104" s="35"/>
      <c r="F104" s="35"/>
      <c r="G104" s="35">
        <v>1765</v>
      </c>
      <c r="H104" s="35"/>
      <c r="I104" s="13">
        <f>G104*2</f>
        <v>3530</v>
      </c>
    </row>
    <row r="105" spans="1:9" ht="30" customHeight="1">
      <c r="A105" s="30">
        <v>36</v>
      </c>
      <c r="B105" s="98" t="s">
        <v>336</v>
      </c>
      <c r="C105" s="99" t="s">
        <v>337</v>
      </c>
      <c r="D105" s="101"/>
      <c r="E105" s="35"/>
      <c r="F105" s="35"/>
      <c r="G105" s="133">
        <v>56.34</v>
      </c>
      <c r="H105" s="35"/>
      <c r="I105" s="13">
        <f>G105*1</f>
        <v>56.34</v>
      </c>
    </row>
    <row r="106" spans="1:9" ht="15" customHeight="1">
      <c r="A106" s="30">
        <v>37</v>
      </c>
      <c r="B106" s="98" t="s">
        <v>197</v>
      </c>
      <c r="C106" s="99" t="s">
        <v>89</v>
      </c>
      <c r="D106" s="101"/>
      <c r="E106" s="35"/>
      <c r="F106" s="35"/>
      <c r="G106" s="35">
        <v>203.68</v>
      </c>
      <c r="H106" s="35"/>
      <c r="I106" s="13">
        <f>G106*1</f>
        <v>203.68</v>
      </c>
    </row>
    <row r="107" spans="1:9" ht="15.75" customHeight="1">
      <c r="A107" s="30"/>
      <c r="B107" s="43" t="s">
        <v>54</v>
      </c>
      <c r="C107" s="39"/>
      <c r="D107" s="47"/>
      <c r="E107" s="39">
        <v>1</v>
      </c>
      <c r="F107" s="39"/>
      <c r="G107" s="39"/>
      <c r="H107" s="39"/>
      <c r="I107" s="33">
        <f>SUM(I87:I106)-I90</f>
        <v>35092.297633959992</v>
      </c>
    </row>
    <row r="108" spans="1:9" ht="15.75" customHeight="1">
      <c r="A108" s="30"/>
      <c r="B108" s="45" t="s">
        <v>83</v>
      </c>
      <c r="C108" s="15"/>
      <c r="D108" s="15"/>
      <c r="E108" s="40"/>
      <c r="F108" s="40"/>
      <c r="G108" s="41"/>
      <c r="H108" s="41"/>
      <c r="I108" s="18">
        <v>0</v>
      </c>
    </row>
    <row r="109" spans="1:9" ht="15.75" customHeight="1">
      <c r="A109" s="48"/>
      <c r="B109" s="44" t="s">
        <v>55</v>
      </c>
      <c r="C109" s="34"/>
      <c r="D109" s="34"/>
      <c r="E109" s="34"/>
      <c r="F109" s="34"/>
      <c r="G109" s="34"/>
      <c r="H109" s="34"/>
      <c r="I109" s="42">
        <f>I85+I107</f>
        <v>95380.653018209996</v>
      </c>
    </row>
    <row r="110" spans="1:9" ht="15.75" customHeight="1">
      <c r="A110" s="162" t="s">
        <v>333</v>
      </c>
      <c r="B110" s="163"/>
      <c r="C110" s="163"/>
      <c r="D110" s="163"/>
      <c r="E110" s="163"/>
      <c r="F110" s="163"/>
      <c r="G110" s="163"/>
      <c r="H110" s="163"/>
      <c r="I110" s="163"/>
    </row>
    <row r="111" spans="1:9" ht="15.75" customHeight="1">
      <c r="A111" s="147" t="s">
        <v>338</v>
      </c>
      <c r="B111" s="147"/>
      <c r="C111" s="147"/>
      <c r="D111" s="147"/>
      <c r="E111" s="147"/>
      <c r="F111" s="147"/>
      <c r="G111" s="147"/>
      <c r="H111" s="147"/>
      <c r="I111" s="147"/>
    </row>
    <row r="112" spans="1:9" ht="15.75" customHeight="1">
      <c r="A112" s="58"/>
      <c r="B112" s="148" t="s">
        <v>339</v>
      </c>
      <c r="C112" s="148"/>
      <c r="D112" s="148"/>
      <c r="E112" s="148"/>
      <c r="F112" s="148"/>
      <c r="G112" s="148"/>
      <c r="H112" s="66"/>
      <c r="I112" s="3"/>
    </row>
    <row r="113" spans="1:9" ht="15.75" customHeight="1">
      <c r="A113" s="93"/>
      <c r="B113" s="138" t="s">
        <v>6</v>
      </c>
      <c r="C113" s="138"/>
      <c r="D113" s="138"/>
      <c r="E113" s="138"/>
      <c r="F113" s="138"/>
      <c r="G113" s="138"/>
      <c r="H113" s="25"/>
      <c r="I113" s="5"/>
    </row>
    <row r="114" spans="1:9" ht="15.75" customHeight="1">
      <c r="A114" s="10"/>
      <c r="B114" s="10"/>
      <c r="C114" s="10"/>
      <c r="D114" s="10"/>
      <c r="E114" s="10"/>
      <c r="F114" s="10"/>
      <c r="G114" s="10"/>
      <c r="H114" s="10"/>
      <c r="I114" s="10"/>
    </row>
    <row r="115" spans="1:9" ht="15.75" customHeight="1">
      <c r="A115" s="149" t="s">
        <v>7</v>
      </c>
      <c r="B115" s="149"/>
      <c r="C115" s="149"/>
      <c r="D115" s="149"/>
      <c r="E115" s="149"/>
      <c r="F115" s="149"/>
      <c r="G115" s="149"/>
      <c r="H115" s="149"/>
      <c r="I115" s="149"/>
    </row>
    <row r="116" spans="1:9" ht="15.75" customHeight="1">
      <c r="A116" s="149" t="s">
        <v>8</v>
      </c>
      <c r="B116" s="149"/>
      <c r="C116" s="149"/>
      <c r="D116" s="149"/>
      <c r="E116" s="149"/>
      <c r="F116" s="149"/>
      <c r="G116" s="149"/>
      <c r="H116" s="149"/>
      <c r="I116" s="149"/>
    </row>
    <row r="117" spans="1:9" ht="15.75" customHeight="1">
      <c r="A117" s="142" t="s">
        <v>65</v>
      </c>
      <c r="B117" s="142"/>
      <c r="C117" s="142"/>
      <c r="D117" s="142"/>
      <c r="E117" s="142"/>
      <c r="F117" s="142"/>
      <c r="G117" s="142"/>
      <c r="H117" s="142"/>
      <c r="I117" s="142"/>
    </row>
    <row r="118" spans="1:9" ht="15.75" customHeight="1">
      <c r="A118" s="11"/>
    </row>
    <row r="119" spans="1:9" ht="15.75" customHeight="1">
      <c r="A119" s="136" t="s">
        <v>9</v>
      </c>
      <c r="B119" s="136"/>
      <c r="C119" s="136"/>
      <c r="D119" s="136"/>
      <c r="E119" s="136"/>
      <c r="F119" s="136"/>
      <c r="G119" s="136"/>
      <c r="H119" s="136"/>
      <c r="I119" s="136"/>
    </row>
    <row r="120" spans="1:9" ht="15.75" customHeight="1">
      <c r="A120" s="4"/>
    </row>
    <row r="121" spans="1:9" ht="15.75" customHeight="1">
      <c r="B121" s="94" t="s">
        <v>10</v>
      </c>
      <c r="C121" s="137" t="s">
        <v>95</v>
      </c>
      <c r="D121" s="137"/>
      <c r="E121" s="137"/>
      <c r="F121" s="64"/>
      <c r="I121" s="92"/>
    </row>
    <row r="122" spans="1:9" ht="15.75" customHeight="1">
      <c r="A122" s="93"/>
      <c r="C122" s="138" t="s">
        <v>11</v>
      </c>
      <c r="D122" s="138"/>
      <c r="E122" s="138"/>
      <c r="F122" s="25"/>
      <c r="I122" s="91" t="s">
        <v>12</v>
      </c>
    </row>
    <row r="123" spans="1:9" ht="15.75" customHeight="1">
      <c r="A123" s="26"/>
      <c r="C123" s="12"/>
      <c r="D123" s="12"/>
      <c r="G123" s="12"/>
      <c r="H123" s="12"/>
    </row>
    <row r="124" spans="1:9" ht="15.75" customHeight="1">
      <c r="B124" s="94" t="s">
        <v>13</v>
      </c>
      <c r="C124" s="139"/>
      <c r="D124" s="139"/>
      <c r="E124" s="139"/>
      <c r="F124" s="65"/>
      <c r="I124" s="92"/>
    </row>
    <row r="125" spans="1:9" ht="15.75" customHeight="1">
      <c r="A125" s="93"/>
      <c r="C125" s="140" t="s">
        <v>11</v>
      </c>
      <c r="D125" s="140"/>
      <c r="E125" s="140"/>
      <c r="F125" s="93"/>
      <c r="I125" s="91" t="s">
        <v>12</v>
      </c>
    </row>
    <row r="126" spans="1:9" ht="15.75" customHeight="1">
      <c r="A126" s="4" t="s">
        <v>14</v>
      </c>
    </row>
    <row r="127" spans="1:9" ht="15.75" customHeight="1">
      <c r="A127" s="141" t="s">
        <v>15</v>
      </c>
      <c r="B127" s="141"/>
      <c r="C127" s="141"/>
      <c r="D127" s="141"/>
      <c r="E127" s="141"/>
      <c r="F127" s="141"/>
      <c r="G127" s="141"/>
      <c r="H127" s="141"/>
      <c r="I127" s="141"/>
    </row>
    <row r="128" spans="1:9" ht="45" customHeight="1">
      <c r="A128" s="135" t="s">
        <v>16</v>
      </c>
      <c r="B128" s="135"/>
      <c r="C128" s="135"/>
      <c r="D128" s="135"/>
      <c r="E128" s="135"/>
      <c r="F128" s="135"/>
      <c r="G128" s="135"/>
      <c r="H128" s="135"/>
      <c r="I128" s="135"/>
    </row>
    <row r="129" spans="1:9" ht="30" customHeight="1">
      <c r="A129" s="135" t="s">
        <v>17</v>
      </c>
      <c r="B129" s="135"/>
      <c r="C129" s="135"/>
      <c r="D129" s="135"/>
      <c r="E129" s="135"/>
      <c r="F129" s="135"/>
      <c r="G129" s="135"/>
      <c r="H129" s="135"/>
      <c r="I129" s="135"/>
    </row>
    <row r="130" spans="1:9" ht="30" customHeight="1">
      <c r="A130" s="135" t="s">
        <v>21</v>
      </c>
      <c r="B130" s="135"/>
      <c r="C130" s="135"/>
      <c r="D130" s="135"/>
      <c r="E130" s="135"/>
      <c r="F130" s="135"/>
      <c r="G130" s="135"/>
      <c r="H130" s="135"/>
      <c r="I130" s="135"/>
    </row>
    <row r="131" spans="1:9" ht="15" customHeight="1">
      <c r="A131" s="135" t="s">
        <v>20</v>
      </c>
      <c r="B131" s="135"/>
      <c r="C131" s="135"/>
      <c r="D131" s="135"/>
      <c r="E131" s="135"/>
      <c r="F131" s="135"/>
      <c r="G131" s="135"/>
      <c r="H131" s="135"/>
      <c r="I131" s="135"/>
    </row>
  </sheetData>
  <autoFilter ref="I12:I63"/>
  <mergeCells count="30">
    <mergeCell ref="A14:I14"/>
    <mergeCell ref="A15:I15"/>
    <mergeCell ref="A28:I28"/>
    <mergeCell ref="A45:I45"/>
    <mergeCell ref="A56:I56"/>
    <mergeCell ref="A3:I3"/>
    <mergeCell ref="A4:I4"/>
    <mergeCell ref="A5:I5"/>
    <mergeCell ref="A8:I8"/>
    <mergeCell ref="A10:I10"/>
    <mergeCell ref="R68:U68"/>
    <mergeCell ref="C125:E125"/>
    <mergeCell ref="A86:I86"/>
    <mergeCell ref="A111:I111"/>
    <mergeCell ref="B112:G112"/>
    <mergeCell ref="B113:G113"/>
    <mergeCell ref="A115:I115"/>
    <mergeCell ref="A116:I116"/>
    <mergeCell ref="A117:I117"/>
    <mergeCell ref="A119:I119"/>
    <mergeCell ref="C121:E121"/>
    <mergeCell ref="C122:E122"/>
    <mergeCell ref="C124:E124"/>
    <mergeCell ref="A82:I82"/>
    <mergeCell ref="A110:I110"/>
    <mergeCell ref="A127:I127"/>
    <mergeCell ref="A128:I128"/>
    <mergeCell ref="A129:I129"/>
    <mergeCell ref="A130:I130"/>
    <mergeCell ref="A131:I13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K95" sqref="K95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0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270</v>
      </c>
      <c r="I1" s="27"/>
      <c r="J1" s="1"/>
      <c r="K1" s="1"/>
      <c r="L1" s="1"/>
      <c r="M1" s="1"/>
    </row>
    <row r="2" spans="1:13" ht="15.75" customHeight="1">
      <c r="A2" s="29" t="s">
        <v>66</v>
      </c>
      <c r="J2" s="2"/>
      <c r="K2" s="2"/>
      <c r="L2" s="2"/>
      <c r="M2" s="2"/>
    </row>
    <row r="3" spans="1:13" ht="15.75" customHeight="1">
      <c r="A3" s="156" t="s">
        <v>193</v>
      </c>
      <c r="B3" s="156"/>
      <c r="C3" s="156"/>
      <c r="D3" s="156"/>
      <c r="E3" s="156"/>
      <c r="F3" s="156"/>
      <c r="G3" s="156"/>
      <c r="H3" s="156"/>
      <c r="I3" s="156"/>
      <c r="J3" s="3"/>
      <c r="K3" s="3"/>
      <c r="L3" s="3"/>
    </row>
    <row r="4" spans="1:13" ht="31.5" customHeight="1">
      <c r="A4" s="157" t="s">
        <v>142</v>
      </c>
      <c r="B4" s="157"/>
      <c r="C4" s="157"/>
      <c r="D4" s="157"/>
      <c r="E4" s="157"/>
      <c r="F4" s="157"/>
      <c r="G4" s="157"/>
      <c r="H4" s="157"/>
      <c r="I4" s="157"/>
    </row>
    <row r="5" spans="1:13" ht="15.75" customHeight="1">
      <c r="A5" s="156" t="s">
        <v>340</v>
      </c>
      <c r="B5" s="158"/>
      <c r="C5" s="158"/>
      <c r="D5" s="158"/>
      <c r="E5" s="158"/>
      <c r="F5" s="158"/>
      <c r="G5" s="158"/>
      <c r="H5" s="158"/>
      <c r="I5" s="158"/>
      <c r="J5" s="2"/>
      <c r="K5" s="2"/>
      <c r="L5" s="2"/>
      <c r="M5" s="2"/>
    </row>
    <row r="6" spans="1:13" ht="15.75" customHeight="1">
      <c r="A6" s="2"/>
      <c r="B6" s="96"/>
      <c r="C6" s="96"/>
      <c r="D6" s="96"/>
      <c r="E6" s="96"/>
      <c r="F6" s="96"/>
      <c r="G6" s="96"/>
      <c r="H6" s="96"/>
      <c r="I6" s="31">
        <v>43465</v>
      </c>
      <c r="J6" s="2"/>
      <c r="K6" s="2"/>
      <c r="L6" s="2"/>
      <c r="M6" s="2"/>
    </row>
    <row r="7" spans="1:13" ht="15.75" customHeight="1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9" t="s">
        <v>272</v>
      </c>
      <c r="B8" s="159"/>
      <c r="C8" s="159"/>
      <c r="D8" s="159"/>
      <c r="E8" s="159"/>
      <c r="F8" s="159"/>
      <c r="G8" s="159"/>
      <c r="H8" s="159"/>
      <c r="I8" s="15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60" t="s">
        <v>195</v>
      </c>
      <c r="B10" s="160"/>
      <c r="C10" s="160"/>
      <c r="D10" s="160"/>
      <c r="E10" s="160"/>
      <c r="F10" s="160"/>
      <c r="G10" s="160"/>
      <c r="H10" s="160"/>
      <c r="I10" s="16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61" t="s">
        <v>63</v>
      </c>
      <c r="B14" s="161"/>
      <c r="C14" s="161"/>
      <c r="D14" s="161"/>
      <c r="E14" s="161"/>
      <c r="F14" s="161"/>
      <c r="G14" s="161"/>
      <c r="H14" s="161"/>
      <c r="I14" s="161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7" t="s">
        <v>92</v>
      </c>
      <c r="C16" s="68" t="s">
        <v>111</v>
      </c>
      <c r="D16" s="67" t="s">
        <v>112</v>
      </c>
      <c r="E16" s="50">
        <v>127.9</v>
      </c>
      <c r="F16" s="69">
        <f>SUM(E16*156/100)</f>
        <v>199.524</v>
      </c>
      <c r="G16" s="69">
        <v>187.48</v>
      </c>
      <c r="H16" s="70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67" t="s">
        <v>100</v>
      </c>
      <c r="C17" s="68" t="s">
        <v>111</v>
      </c>
      <c r="D17" s="67" t="s">
        <v>166</v>
      </c>
      <c r="E17" s="50">
        <v>511.6</v>
      </c>
      <c r="F17" s="69">
        <f>SUM(E17*104/100)</f>
        <v>532.06399999999996</v>
      </c>
      <c r="G17" s="69">
        <v>185.48</v>
      </c>
      <c r="H17" s="70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67" t="s">
        <v>101</v>
      </c>
      <c r="C18" s="68" t="s">
        <v>111</v>
      </c>
      <c r="D18" s="67" t="s">
        <v>113</v>
      </c>
      <c r="E18" s="50">
        <f>SUM(E16+E17)</f>
        <v>639.5</v>
      </c>
      <c r="F18" s="69">
        <f>SUM(E18*24/100)</f>
        <v>153.47999999999999</v>
      </c>
      <c r="G18" s="69">
        <v>539.30999999999995</v>
      </c>
      <c r="H18" s="70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67" t="s">
        <v>114</v>
      </c>
      <c r="C19" s="68" t="s">
        <v>115</v>
      </c>
      <c r="D19" s="67" t="s">
        <v>116</v>
      </c>
      <c r="E19" s="50">
        <v>38.4</v>
      </c>
      <c r="F19" s="69">
        <f>SUM(E19/10)</f>
        <v>3.84</v>
      </c>
      <c r="G19" s="69">
        <v>181.91</v>
      </c>
      <c r="H19" s="70">
        <f t="shared" si="0"/>
        <v>0.6985344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67" t="s">
        <v>105</v>
      </c>
      <c r="C20" s="68" t="s">
        <v>111</v>
      </c>
      <c r="D20" s="67" t="s">
        <v>30</v>
      </c>
      <c r="E20" s="50">
        <v>58.4</v>
      </c>
      <c r="F20" s="69">
        <f>SUM(E20*12/100)</f>
        <v>7.0079999999999991</v>
      </c>
      <c r="G20" s="69">
        <v>232.92</v>
      </c>
      <c r="H20" s="70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7" t="s">
        <v>106</v>
      </c>
      <c r="C21" s="68" t="s">
        <v>111</v>
      </c>
      <c r="D21" s="67" t="s">
        <v>110</v>
      </c>
      <c r="E21" s="50">
        <v>9.08</v>
      </c>
      <c r="F21" s="69">
        <f>SUM(E21*6/100)</f>
        <v>0.54480000000000006</v>
      </c>
      <c r="G21" s="69">
        <v>231.03</v>
      </c>
      <c r="H21" s="70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67" t="s">
        <v>117</v>
      </c>
      <c r="C22" s="68" t="s">
        <v>56</v>
      </c>
      <c r="D22" s="67" t="s">
        <v>116</v>
      </c>
      <c r="E22" s="50">
        <v>714</v>
      </c>
      <c r="F22" s="69">
        <f>SUM(E22/100)</f>
        <v>7.14</v>
      </c>
      <c r="G22" s="69">
        <v>287.83999999999997</v>
      </c>
      <c r="H22" s="70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67" t="s">
        <v>118</v>
      </c>
      <c r="C23" s="68" t="s">
        <v>56</v>
      </c>
      <c r="D23" s="67" t="s">
        <v>116</v>
      </c>
      <c r="E23" s="63">
        <v>96.6</v>
      </c>
      <c r="F23" s="69">
        <f>SUM(E23/100)</f>
        <v>0.96599999999999997</v>
      </c>
      <c r="G23" s="69">
        <v>47.34</v>
      </c>
      <c r="H23" s="70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67" t="s">
        <v>108</v>
      </c>
      <c r="C24" s="68" t="s">
        <v>56</v>
      </c>
      <c r="D24" s="67" t="s">
        <v>116</v>
      </c>
      <c r="E24" s="19">
        <v>40</v>
      </c>
      <c r="F24" s="71">
        <v>4.8</v>
      </c>
      <c r="G24" s="69">
        <v>416.62</v>
      </c>
      <c r="H24" s="70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67" t="s">
        <v>109</v>
      </c>
      <c r="C25" s="68" t="s">
        <v>56</v>
      </c>
      <c r="D25" s="67" t="s">
        <v>116</v>
      </c>
      <c r="E25" s="50">
        <v>17</v>
      </c>
      <c r="F25" s="69">
        <f>SUM(E25/100)</f>
        <v>0.17</v>
      </c>
      <c r="G25" s="69">
        <v>556.74</v>
      </c>
      <c r="H25" s="70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customHeight="1">
      <c r="A26" s="30">
        <v>5</v>
      </c>
      <c r="B26" s="67" t="s">
        <v>68</v>
      </c>
      <c r="C26" s="68" t="s">
        <v>34</v>
      </c>
      <c r="D26" s="67"/>
      <c r="E26" s="50">
        <v>0.1</v>
      </c>
      <c r="F26" s="69">
        <f>SUM(E26*365)</f>
        <v>36.5</v>
      </c>
      <c r="G26" s="69">
        <v>157.18</v>
      </c>
      <c r="H26" s="70">
        <f>SUM(F26*G26/1000)</f>
        <v>5.737070000000001</v>
      </c>
      <c r="I26" s="13">
        <f>F26/12*G26</f>
        <v>478.08916666666664</v>
      </c>
      <c r="J26" s="24"/>
    </row>
    <row r="27" spans="1:13" ht="15.75" hidden="1" customHeight="1">
      <c r="A27" s="30">
        <v>6</v>
      </c>
      <c r="B27" s="75" t="s">
        <v>23</v>
      </c>
      <c r="C27" s="68" t="s">
        <v>24</v>
      </c>
      <c r="D27" s="75"/>
      <c r="E27" s="50">
        <v>4591.2</v>
      </c>
      <c r="F27" s="69">
        <f>SUM(E27*12)</f>
        <v>55094.399999999994</v>
      </c>
      <c r="G27" s="69">
        <v>5.85</v>
      </c>
      <c r="H27" s="70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43" t="s">
        <v>90</v>
      </c>
      <c r="B28" s="143"/>
      <c r="C28" s="143"/>
      <c r="D28" s="143"/>
      <c r="E28" s="143"/>
      <c r="F28" s="143"/>
      <c r="G28" s="143"/>
      <c r="H28" s="143"/>
      <c r="I28" s="143"/>
      <c r="J28" s="23"/>
      <c r="K28" s="8"/>
      <c r="L28" s="8"/>
      <c r="M28" s="8"/>
    </row>
    <row r="29" spans="1:13" ht="15.75" hidden="1" customHeight="1">
      <c r="A29" s="30"/>
      <c r="B29" s="89" t="s">
        <v>28</v>
      </c>
      <c r="C29" s="68"/>
      <c r="D29" s="67"/>
      <c r="E29" s="50"/>
      <c r="F29" s="69"/>
      <c r="G29" s="69"/>
      <c r="H29" s="70"/>
      <c r="I29" s="13"/>
      <c r="J29" s="23"/>
      <c r="K29" s="8"/>
      <c r="L29" s="8"/>
      <c r="M29" s="8"/>
    </row>
    <row r="30" spans="1:13" ht="15.75" hidden="1" customHeight="1">
      <c r="A30" s="30">
        <v>7</v>
      </c>
      <c r="B30" s="67" t="s">
        <v>119</v>
      </c>
      <c r="C30" s="68" t="s">
        <v>120</v>
      </c>
      <c r="D30" s="67" t="s">
        <v>121</v>
      </c>
      <c r="E30" s="69">
        <v>844.95</v>
      </c>
      <c r="F30" s="69">
        <f>SUM(E30*52/1000)</f>
        <v>43.937400000000004</v>
      </c>
      <c r="G30" s="69">
        <v>166.65</v>
      </c>
      <c r="H30" s="70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hidden="1" customHeight="1">
      <c r="A31" s="30">
        <v>8</v>
      </c>
      <c r="B31" s="67" t="s">
        <v>167</v>
      </c>
      <c r="C31" s="68" t="s">
        <v>120</v>
      </c>
      <c r="D31" s="67" t="s">
        <v>122</v>
      </c>
      <c r="E31" s="69">
        <v>260.13</v>
      </c>
      <c r="F31" s="69">
        <f>SUM(E31*78/1000)</f>
        <v>20.290140000000001</v>
      </c>
      <c r="G31" s="69">
        <v>276.48</v>
      </c>
      <c r="H31" s="70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67" t="s">
        <v>27</v>
      </c>
      <c r="C32" s="68" t="s">
        <v>120</v>
      </c>
      <c r="D32" s="67" t="s">
        <v>57</v>
      </c>
      <c r="E32" s="69">
        <v>844.95</v>
      </c>
      <c r="F32" s="69">
        <f>SUM(E32/1000)</f>
        <v>0.84495000000000009</v>
      </c>
      <c r="G32" s="69">
        <v>3228.73</v>
      </c>
      <c r="H32" s="70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hidden="1" customHeight="1">
      <c r="A33" s="30">
        <v>9</v>
      </c>
      <c r="B33" s="67" t="s">
        <v>154</v>
      </c>
      <c r="C33" s="68" t="s">
        <v>42</v>
      </c>
      <c r="D33" s="67" t="s">
        <v>67</v>
      </c>
      <c r="E33" s="69">
        <v>8</v>
      </c>
      <c r="F33" s="69">
        <v>12.4</v>
      </c>
      <c r="G33" s="69">
        <v>1391.86</v>
      </c>
      <c r="H33" s="70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hidden="1" customHeight="1">
      <c r="A34" s="30">
        <v>10</v>
      </c>
      <c r="B34" s="67" t="s">
        <v>123</v>
      </c>
      <c r="C34" s="68" t="s">
        <v>31</v>
      </c>
      <c r="D34" s="67" t="s">
        <v>67</v>
      </c>
      <c r="E34" s="74">
        <v>0.33333333333333331</v>
      </c>
      <c r="F34" s="69">
        <f>155/3</f>
        <v>51.666666666666664</v>
      </c>
      <c r="G34" s="69">
        <v>60.6</v>
      </c>
      <c r="H34" s="70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67" t="s">
        <v>69</v>
      </c>
      <c r="C35" s="68" t="s">
        <v>34</v>
      </c>
      <c r="D35" s="67" t="s">
        <v>71</v>
      </c>
      <c r="E35" s="50"/>
      <c r="F35" s="69">
        <v>3</v>
      </c>
      <c r="G35" s="69">
        <v>204.32</v>
      </c>
      <c r="H35" s="70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67" t="s">
        <v>70</v>
      </c>
      <c r="C36" s="68" t="s">
        <v>33</v>
      </c>
      <c r="D36" s="67" t="s">
        <v>71</v>
      </c>
      <c r="E36" s="50"/>
      <c r="F36" s="69">
        <v>2</v>
      </c>
      <c r="G36" s="69">
        <v>1214.73</v>
      </c>
      <c r="H36" s="70">
        <f t="shared" si="1"/>
        <v>2.4294600000000002</v>
      </c>
      <c r="I36" s="13">
        <v>0</v>
      </c>
      <c r="J36" s="24"/>
    </row>
    <row r="37" spans="1:14" ht="15.75" customHeight="1">
      <c r="A37" s="30"/>
      <c r="B37" s="89" t="s">
        <v>5</v>
      </c>
      <c r="C37" s="68"/>
      <c r="D37" s="67"/>
      <c r="E37" s="50"/>
      <c r="F37" s="69"/>
      <c r="G37" s="69"/>
      <c r="H37" s="70" t="s">
        <v>139</v>
      </c>
      <c r="I37" s="13"/>
      <c r="J37" s="24"/>
    </row>
    <row r="38" spans="1:14" ht="15.75" customHeight="1">
      <c r="A38" s="30">
        <v>6</v>
      </c>
      <c r="B38" s="67" t="s">
        <v>26</v>
      </c>
      <c r="C38" s="68" t="s">
        <v>33</v>
      </c>
      <c r="D38" s="67"/>
      <c r="E38" s="50"/>
      <c r="F38" s="69">
        <v>10</v>
      </c>
      <c r="G38" s="69">
        <v>1632.6</v>
      </c>
      <c r="H38" s="70">
        <f t="shared" ref="H38:H44" si="3">SUM(F38*G38/1000)</f>
        <v>16.326000000000001</v>
      </c>
      <c r="I38" s="13">
        <f>F38/6*G38</f>
        <v>2721</v>
      </c>
      <c r="J38" s="24"/>
    </row>
    <row r="39" spans="1:14" ht="15.75" customHeight="1">
      <c r="A39" s="30">
        <v>7</v>
      </c>
      <c r="B39" s="67" t="s">
        <v>155</v>
      </c>
      <c r="C39" s="68" t="s">
        <v>29</v>
      </c>
      <c r="D39" s="67" t="s">
        <v>124</v>
      </c>
      <c r="E39" s="69">
        <v>254.8</v>
      </c>
      <c r="F39" s="69">
        <f>SUM(E39*30/1000)</f>
        <v>7.6440000000000001</v>
      </c>
      <c r="G39" s="69">
        <v>2247.8000000000002</v>
      </c>
      <c r="H39" s="70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67" t="s">
        <v>102</v>
      </c>
      <c r="C40" s="68" t="s">
        <v>125</v>
      </c>
      <c r="D40" s="67" t="s">
        <v>71</v>
      </c>
      <c r="E40" s="50"/>
      <c r="F40" s="69">
        <v>40</v>
      </c>
      <c r="G40" s="69">
        <v>213.2</v>
      </c>
      <c r="H40" s="70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customHeight="1">
      <c r="A41" s="30">
        <v>8</v>
      </c>
      <c r="B41" s="67" t="s">
        <v>72</v>
      </c>
      <c r="C41" s="68" t="s">
        <v>29</v>
      </c>
      <c r="D41" s="67" t="s">
        <v>126</v>
      </c>
      <c r="E41" s="69">
        <v>260.13</v>
      </c>
      <c r="F41" s="69">
        <f>SUM(E41*155/1000)</f>
        <v>40.320149999999998</v>
      </c>
      <c r="G41" s="69">
        <v>374.95</v>
      </c>
      <c r="H41" s="70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customHeight="1">
      <c r="A42" s="30">
        <v>9</v>
      </c>
      <c r="B42" s="67" t="s">
        <v>88</v>
      </c>
      <c r="C42" s="68" t="s">
        <v>120</v>
      </c>
      <c r="D42" s="67" t="s">
        <v>127</v>
      </c>
      <c r="E42" s="69">
        <v>132.72999999999999</v>
      </c>
      <c r="F42" s="69">
        <f>SUM(E42*35/1000)</f>
        <v>4.6455499999999992</v>
      </c>
      <c r="G42" s="69">
        <v>6203.7</v>
      </c>
      <c r="H42" s="70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customHeight="1">
      <c r="A43" s="30">
        <v>10</v>
      </c>
      <c r="B43" s="67" t="s">
        <v>128</v>
      </c>
      <c r="C43" s="68" t="s">
        <v>120</v>
      </c>
      <c r="D43" s="67" t="s">
        <v>73</v>
      </c>
      <c r="E43" s="69">
        <v>254.8</v>
      </c>
      <c r="F43" s="69">
        <f>SUM(E43*45/1000)</f>
        <v>11.465999999999999</v>
      </c>
      <c r="G43" s="69">
        <v>458.28</v>
      </c>
      <c r="H43" s="70">
        <f t="shared" si="3"/>
        <v>5.2546384799999997</v>
      </c>
      <c r="I43" s="13">
        <f>F43/7.5*1.5*G43</f>
        <v>1050.9276959999997</v>
      </c>
      <c r="J43" s="24"/>
      <c r="L43" s="20"/>
      <c r="M43" s="21"/>
      <c r="N43" s="22"/>
    </row>
    <row r="44" spans="1:14" ht="15.75" customHeight="1">
      <c r="A44" s="30">
        <v>11</v>
      </c>
      <c r="B44" s="67" t="s">
        <v>74</v>
      </c>
      <c r="C44" s="68" t="s">
        <v>34</v>
      </c>
      <c r="D44" s="67"/>
      <c r="E44" s="50"/>
      <c r="F44" s="69">
        <v>0.9</v>
      </c>
      <c r="G44" s="69">
        <v>853.06</v>
      </c>
      <c r="H44" s="70">
        <f t="shared" si="3"/>
        <v>0.76775400000000005</v>
      </c>
      <c r="I44" s="13">
        <f>F44/7.5*1.5*G44</f>
        <v>153.55080000000001</v>
      </c>
      <c r="J44" s="24"/>
      <c r="L44" s="20"/>
      <c r="M44" s="21"/>
      <c r="N44" s="22"/>
    </row>
    <row r="45" spans="1:14" ht="15.75" customHeight="1">
      <c r="A45" s="144" t="s">
        <v>149</v>
      </c>
      <c r="B45" s="145"/>
      <c r="C45" s="145"/>
      <c r="D45" s="145"/>
      <c r="E45" s="145"/>
      <c r="F45" s="145"/>
      <c r="G45" s="145"/>
      <c r="H45" s="145"/>
      <c r="I45" s="146"/>
      <c r="J45" s="24"/>
      <c r="L45" s="20"/>
      <c r="M45" s="21"/>
      <c r="N45" s="22"/>
    </row>
    <row r="46" spans="1:14" ht="15.75" hidden="1" customHeight="1">
      <c r="A46" s="30"/>
      <c r="B46" s="67" t="s">
        <v>143</v>
      </c>
      <c r="C46" s="68" t="s">
        <v>120</v>
      </c>
      <c r="D46" s="67" t="s">
        <v>44</v>
      </c>
      <c r="E46" s="50">
        <v>1795.9</v>
      </c>
      <c r="F46" s="69">
        <f>SUM(E46*2/1000)</f>
        <v>3.5918000000000001</v>
      </c>
      <c r="G46" s="13">
        <v>865.61</v>
      </c>
      <c r="H46" s="70">
        <f t="shared" ref="H46:H55" si="4">SUM(F46*G46/1000)</f>
        <v>3.1090979980000002</v>
      </c>
      <c r="I46" s="13">
        <v>0</v>
      </c>
      <c r="J46" s="24"/>
      <c r="L46" s="20"/>
      <c r="M46" s="21"/>
      <c r="N46" s="22"/>
    </row>
    <row r="47" spans="1:14" ht="15.75" hidden="1" customHeight="1">
      <c r="A47" s="30"/>
      <c r="B47" s="67" t="s">
        <v>37</v>
      </c>
      <c r="C47" s="68" t="s">
        <v>120</v>
      </c>
      <c r="D47" s="67" t="s">
        <v>44</v>
      </c>
      <c r="E47" s="50">
        <v>104</v>
      </c>
      <c r="F47" s="69">
        <f>SUM(E47*2/1000)</f>
        <v>0.20799999999999999</v>
      </c>
      <c r="G47" s="13">
        <v>619.46</v>
      </c>
      <c r="H47" s="70">
        <f t="shared" si="4"/>
        <v>0.12884767999999999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30"/>
      <c r="B48" s="67" t="s">
        <v>38</v>
      </c>
      <c r="C48" s="68" t="s">
        <v>120</v>
      </c>
      <c r="D48" s="67" t="s">
        <v>44</v>
      </c>
      <c r="E48" s="50">
        <v>1996.87</v>
      </c>
      <c r="F48" s="69">
        <f>SUM(E48*2/1000)</f>
        <v>3.9937399999999998</v>
      </c>
      <c r="G48" s="13">
        <v>619.46</v>
      </c>
      <c r="H48" s="70">
        <f t="shared" si="4"/>
        <v>2.4739621804</v>
      </c>
      <c r="I48" s="13">
        <v>0</v>
      </c>
      <c r="J48" s="24"/>
      <c r="L48" s="20"/>
      <c r="M48" s="21"/>
      <c r="N48" s="22"/>
    </row>
    <row r="49" spans="1:14" ht="15.75" hidden="1" customHeight="1">
      <c r="A49" s="30"/>
      <c r="B49" s="67" t="s">
        <v>39</v>
      </c>
      <c r="C49" s="68" t="s">
        <v>120</v>
      </c>
      <c r="D49" s="67" t="s">
        <v>44</v>
      </c>
      <c r="E49" s="50">
        <v>2630.35</v>
      </c>
      <c r="F49" s="69">
        <f>SUM(E49*2/1000)</f>
        <v>5.2606999999999999</v>
      </c>
      <c r="G49" s="13">
        <v>648.64</v>
      </c>
      <c r="H49" s="70">
        <f t="shared" si="4"/>
        <v>3.4123004479999999</v>
      </c>
      <c r="I49" s="13">
        <v>0</v>
      </c>
      <c r="J49" s="24"/>
      <c r="L49" s="20"/>
      <c r="M49" s="21"/>
      <c r="N49" s="22"/>
    </row>
    <row r="50" spans="1:14" ht="15.75" hidden="1" customHeight="1">
      <c r="A50" s="30"/>
      <c r="B50" s="67" t="s">
        <v>35</v>
      </c>
      <c r="C50" s="68" t="s">
        <v>36</v>
      </c>
      <c r="D50" s="67" t="s">
        <v>44</v>
      </c>
      <c r="E50" s="50">
        <v>131.47</v>
      </c>
      <c r="F50" s="69">
        <f>SUM(E50*2/100)</f>
        <v>2.6294</v>
      </c>
      <c r="G50" s="13">
        <v>77.84</v>
      </c>
      <c r="H50" s="70">
        <f t="shared" si="4"/>
        <v>0.20467249599999998</v>
      </c>
      <c r="I50" s="13">
        <v>0</v>
      </c>
      <c r="J50" s="24"/>
      <c r="L50" s="20"/>
      <c r="M50" s="21"/>
      <c r="N50" s="22"/>
    </row>
    <row r="51" spans="1:14" ht="15.75" customHeight="1">
      <c r="A51" s="30">
        <v>12</v>
      </c>
      <c r="B51" s="67" t="s">
        <v>60</v>
      </c>
      <c r="C51" s="68" t="s">
        <v>120</v>
      </c>
      <c r="D51" s="67" t="s">
        <v>168</v>
      </c>
      <c r="E51" s="50">
        <v>2872.4</v>
      </c>
      <c r="F51" s="69">
        <f>SUM(E51*5/1000)</f>
        <v>14.362</v>
      </c>
      <c r="G51" s="13">
        <v>1297.28</v>
      </c>
      <c r="H51" s="70">
        <f t="shared" si="4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14" ht="31.5" hidden="1" customHeight="1">
      <c r="A52" s="30">
        <v>11</v>
      </c>
      <c r="B52" s="67" t="s">
        <v>129</v>
      </c>
      <c r="C52" s="68" t="s">
        <v>120</v>
      </c>
      <c r="D52" s="67" t="s">
        <v>44</v>
      </c>
      <c r="E52" s="50">
        <v>2872.4</v>
      </c>
      <c r="F52" s="69">
        <f>SUM(E52*2/1000)</f>
        <v>5.7448000000000006</v>
      </c>
      <c r="G52" s="13">
        <v>1297.28</v>
      </c>
      <c r="H52" s="70">
        <f t="shared" si="4"/>
        <v>7.4526141440000009</v>
      </c>
      <c r="I52" s="13">
        <f>F52/2*G52</f>
        <v>3726.3070720000005</v>
      </c>
      <c r="J52" s="24"/>
      <c r="L52" s="20"/>
      <c r="M52" s="21"/>
      <c r="N52" s="22"/>
    </row>
    <row r="53" spans="1:14" ht="31.5" hidden="1" customHeight="1">
      <c r="A53" s="30">
        <v>12</v>
      </c>
      <c r="B53" s="67" t="s">
        <v>130</v>
      </c>
      <c r="C53" s="68" t="s">
        <v>40</v>
      </c>
      <c r="D53" s="67" t="s">
        <v>44</v>
      </c>
      <c r="E53" s="50">
        <v>40</v>
      </c>
      <c r="F53" s="69">
        <f>SUM(E53*2/100)</f>
        <v>0.8</v>
      </c>
      <c r="G53" s="13">
        <v>2918.89</v>
      </c>
      <c r="H53" s="70">
        <f t="shared" si="4"/>
        <v>2.3351120000000001</v>
      </c>
      <c r="I53" s="13">
        <f t="shared" ref="I53:I54" si="5">F53/2*G53</f>
        <v>1167.556</v>
      </c>
      <c r="J53" s="24"/>
      <c r="L53" s="20"/>
      <c r="M53" s="21"/>
      <c r="N53" s="22"/>
    </row>
    <row r="54" spans="1:14" ht="15.75" hidden="1" customHeight="1">
      <c r="A54" s="30">
        <v>13</v>
      </c>
      <c r="B54" s="67" t="s">
        <v>41</v>
      </c>
      <c r="C54" s="68" t="s">
        <v>42</v>
      </c>
      <c r="D54" s="67" t="s">
        <v>44</v>
      </c>
      <c r="E54" s="50">
        <v>1</v>
      </c>
      <c r="F54" s="69">
        <v>0.02</v>
      </c>
      <c r="G54" s="13">
        <v>6042.12</v>
      </c>
      <c r="H54" s="70">
        <f t="shared" si="4"/>
        <v>0.1208424</v>
      </c>
      <c r="I54" s="13">
        <f t="shared" si="5"/>
        <v>60.421199999999999</v>
      </c>
      <c r="J54" s="24"/>
      <c r="L54" s="20"/>
      <c r="M54" s="21"/>
      <c r="N54" s="22"/>
    </row>
    <row r="55" spans="1:14" ht="15.75" hidden="1" customHeight="1">
      <c r="A55" s="30">
        <v>14</v>
      </c>
      <c r="B55" s="67" t="s">
        <v>43</v>
      </c>
      <c r="C55" s="68" t="s">
        <v>31</v>
      </c>
      <c r="D55" s="67" t="s">
        <v>75</v>
      </c>
      <c r="E55" s="50">
        <v>160</v>
      </c>
      <c r="F55" s="69">
        <f>SUM(E55)*3</f>
        <v>480</v>
      </c>
      <c r="G55" s="13">
        <v>70.209999999999994</v>
      </c>
      <c r="H55" s="70">
        <f t="shared" si="4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14" ht="15.75" customHeight="1">
      <c r="A56" s="144" t="s">
        <v>150</v>
      </c>
      <c r="B56" s="145"/>
      <c r="C56" s="145"/>
      <c r="D56" s="145"/>
      <c r="E56" s="145"/>
      <c r="F56" s="145"/>
      <c r="G56" s="145"/>
      <c r="H56" s="145"/>
      <c r="I56" s="146"/>
      <c r="J56" s="24"/>
      <c r="L56" s="20"/>
      <c r="M56" s="21"/>
      <c r="N56" s="22"/>
    </row>
    <row r="57" spans="1:14" ht="15.75" customHeight="1">
      <c r="A57" s="30"/>
      <c r="B57" s="89" t="s">
        <v>45</v>
      </c>
      <c r="C57" s="68"/>
      <c r="D57" s="67"/>
      <c r="E57" s="50"/>
      <c r="F57" s="69"/>
      <c r="G57" s="69"/>
      <c r="H57" s="70"/>
      <c r="I57" s="13"/>
      <c r="J57" s="24"/>
      <c r="L57" s="20"/>
      <c r="M57" s="21"/>
      <c r="N57" s="22"/>
    </row>
    <row r="58" spans="1:14" ht="31.5" customHeight="1">
      <c r="A58" s="30">
        <v>13</v>
      </c>
      <c r="B58" s="67" t="s">
        <v>132</v>
      </c>
      <c r="C58" s="68" t="s">
        <v>111</v>
      </c>
      <c r="D58" s="67" t="s">
        <v>76</v>
      </c>
      <c r="E58" s="50">
        <v>239.59</v>
      </c>
      <c r="F58" s="69">
        <f>E58*6/100</f>
        <v>14.375399999999999</v>
      </c>
      <c r="G58" s="76">
        <v>1654.04</v>
      </c>
      <c r="H58" s="70">
        <f>F58*G58/1000</f>
        <v>23.777486615999997</v>
      </c>
      <c r="I58" s="13">
        <f>F58/6*G58*2</f>
        <v>7925.8288719999991</v>
      </c>
      <c r="J58" s="24"/>
      <c r="L58" s="20"/>
      <c r="M58" s="21"/>
      <c r="N58" s="22"/>
    </row>
    <row r="59" spans="1:14" ht="16.5" customHeight="1">
      <c r="A59" s="30">
        <v>14</v>
      </c>
      <c r="B59" s="105" t="s">
        <v>93</v>
      </c>
      <c r="C59" s="106" t="s">
        <v>209</v>
      </c>
      <c r="D59" s="78"/>
      <c r="E59" s="79"/>
      <c r="F59" s="81"/>
      <c r="G59" s="116">
        <v>1501</v>
      </c>
      <c r="H59" s="83"/>
      <c r="I59" s="13">
        <f>G59*5</f>
        <v>7505</v>
      </c>
      <c r="J59" s="24"/>
      <c r="L59" s="20"/>
      <c r="M59" s="21"/>
      <c r="N59" s="22"/>
    </row>
    <row r="60" spans="1:14" ht="15.75" customHeight="1">
      <c r="A60" s="30"/>
      <c r="B60" s="90" t="s">
        <v>46</v>
      </c>
      <c r="C60" s="77"/>
      <c r="D60" s="78"/>
      <c r="E60" s="79"/>
      <c r="F60" s="81"/>
      <c r="G60" s="13"/>
      <c r="H60" s="83"/>
      <c r="I60" s="13"/>
      <c r="J60" s="24"/>
      <c r="L60" s="20"/>
      <c r="M60" s="21"/>
      <c r="N60" s="22"/>
    </row>
    <row r="61" spans="1:14" ht="15.75" hidden="1" customHeight="1">
      <c r="A61" s="30"/>
      <c r="B61" s="78" t="s">
        <v>47</v>
      </c>
      <c r="C61" s="77" t="s">
        <v>56</v>
      </c>
      <c r="D61" s="78" t="s">
        <v>57</v>
      </c>
      <c r="E61" s="79">
        <v>2686</v>
      </c>
      <c r="F61" s="81">
        <f>E61/100</f>
        <v>26.86</v>
      </c>
      <c r="G61" s="13">
        <v>848.37</v>
      </c>
      <c r="H61" s="83">
        <f>G61*F61/1000</f>
        <v>22.787218199999998</v>
      </c>
      <c r="I61" s="13">
        <v>0</v>
      </c>
      <c r="J61" s="24"/>
      <c r="L61" s="20"/>
    </row>
    <row r="62" spans="1:14" ht="15.75" customHeight="1">
      <c r="A62" s="30">
        <v>15</v>
      </c>
      <c r="B62" s="78" t="s">
        <v>103</v>
      </c>
      <c r="C62" s="77" t="s">
        <v>25</v>
      </c>
      <c r="D62" s="78" t="s">
        <v>30</v>
      </c>
      <c r="E62" s="79">
        <v>343</v>
      </c>
      <c r="F62" s="81">
        <v>4116</v>
      </c>
      <c r="G62" s="13">
        <v>1.2</v>
      </c>
      <c r="H62" s="83">
        <f>F62*G62</f>
        <v>4939.2</v>
      </c>
      <c r="I62" s="13">
        <f>F62/12*G62</f>
        <v>411.59999999999997</v>
      </c>
    </row>
    <row r="63" spans="1:14" ht="15.75" hidden="1" customHeight="1">
      <c r="A63" s="30"/>
      <c r="B63" s="90" t="s">
        <v>144</v>
      </c>
      <c r="C63" s="77"/>
      <c r="D63" s="78"/>
      <c r="E63" s="79"/>
      <c r="F63" s="81"/>
      <c r="G63" s="13"/>
      <c r="H63" s="83"/>
      <c r="I63" s="13"/>
    </row>
    <row r="64" spans="1:14" ht="15.75" hidden="1" customHeight="1">
      <c r="A64" s="30"/>
      <c r="B64" s="78" t="s">
        <v>145</v>
      </c>
      <c r="C64" s="77" t="s">
        <v>31</v>
      </c>
      <c r="D64" s="78" t="s">
        <v>71</v>
      </c>
      <c r="E64" s="79">
        <v>3</v>
      </c>
      <c r="F64" s="80">
        <v>3</v>
      </c>
      <c r="G64" s="82">
        <v>254.16</v>
      </c>
      <c r="H64" s="81">
        <v>0.76200000000000001</v>
      </c>
      <c r="I64" s="13">
        <v>0</v>
      </c>
    </row>
    <row r="65" spans="1:22" ht="15.75" hidden="1" customHeight="1">
      <c r="A65" s="30"/>
      <c r="B65" s="90" t="s">
        <v>48</v>
      </c>
      <c r="C65" s="77"/>
      <c r="D65" s="78"/>
      <c r="E65" s="79"/>
      <c r="F65" s="80"/>
      <c r="G65" s="80"/>
      <c r="H65" s="81" t="s">
        <v>139</v>
      </c>
      <c r="I65" s="1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0">
        <v>16</v>
      </c>
      <c r="B66" s="14" t="s">
        <v>49</v>
      </c>
      <c r="C66" s="16" t="s">
        <v>131</v>
      </c>
      <c r="D66" s="78" t="s">
        <v>71</v>
      </c>
      <c r="E66" s="19">
        <v>15</v>
      </c>
      <c r="F66" s="69">
        <v>15</v>
      </c>
      <c r="G66" s="13">
        <v>237.74</v>
      </c>
      <c r="H66" s="84">
        <f t="shared" ref="H66:H79" si="6">SUM(F66*G66/1000)</f>
        <v>3.5661000000000005</v>
      </c>
      <c r="I66" s="13">
        <f>G66*2</f>
        <v>475.48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0"/>
      <c r="B67" s="14" t="s">
        <v>50</v>
      </c>
      <c r="C67" s="16" t="s">
        <v>131</v>
      </c>
      <c r="D67" s="78" t="s">
        <v>71</v>
      </c>
      <c r="E67" s="19">
        <v>5</v>
      </c>
      <c r="F67" s="69">
        <v>5</v>
      </c>
      <c r="G67" s="13">
        <v>81.510000000000005</v>
      </c>
      <c r="H67" s="84">
        <f t="shared" si="6"/>
        <v>0.40755000000000002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0"/>
      <c r="B68" s="14" t="s">
        <v>51</v>
      </c>
      <c r="C68" s="16" t="s">
        <v>133</v>
      </c>
      <c r="D68" s="14" t="s">
        <v>57</v>
      </c>
      <c r="E68" s="50">
        <v>24123</v>
      </c>
      <c r="F68" s="13">
        <f>SUM(E68/100)</f>
        <v>241.23</v>
      </c>
      <c r="G68" s="13">
        <v>226.79</v>
      </c>
      <c r="H68" s="84">
        <f t="shared" si="6"/>
        <v>54.708551699999994</v>
      </c>
      <c r="I68" s="13">
        <f>F68*G68</f>
        <v>54708.551699999996</v>
      </c>
      <c r="J68" s="5"/>
      <c r="K68" s="5"/>
      <c r="L68" s="5"/>
      <c r="M68" s="5"/>
      <c r="N68" s="5"/>
      <c r="O68" s="5"/>
      <c r="P68" s="5"/>
      <c r="Q68" s="5"/>
      <c r="R68" s="140"/>
      <c r="S68" s="140"/>
      <c r="T68" s="140"/>
      <c r="U68" s="140"/>
    </row>
    <row r="69" spans="1:22" ht="15.75" hidden="1" customHeight="1">
      <c r="A69" s="30"/>
      <c r="B69" s="14" t="s">
        <v>52</v>
      </c>
      <c r="C69" s="16" t="s">
        <v>134</v>
      </c>
      <c r="D69" s="14"/>
      <c r="E69" s="50">
        <v>24123</v>
      </c>
      <c r="F69" s="13">
        <f>SUM(E69/1000)</f>
        <v>24.123000000000001</v>
      </c>
      <c r="G69" s="13">
        <v>176.61</v>
      </c>
      <c r="H69" s="84">
        <f t="shared" si="6"/>
        <v>4.2603630300000006</v>
      </c>
      <c r="I69" s="13">
        <f t="shared" ref="I69:I73" si="7">F69*G69</f>
        <v>4260.3630300000004</v>
      </c>
    </row>
    <row r="70" spans="1:22" ht="15.75" hidden="1" customHeight="1">
      <c r="A70" s="30"/>
      <c r="B70" s="14" t="s">
        <v>53</v>
      </c>
      <c r="C70" s="16" t="s">
        <v>81</v>
      </c>
      <c r="D70" s="14" t="s">
        <v>57</v>
      </c>
      <c r="E70" s="50">
        <v>2730</v>
      </c>
      <c r="F70" s="13">
        <f>SUM(E70/100)</f>
        <v>27.3</v>
      </c>
      <c r="G70" s="13">
        <v>2217.7800000000002</v>
      </c>
      <c r="H70" s="84">
        <f t="shared" si="6"/>
        <v>60.545394000000009</v>
      </c>
      <c r="I70" s="13">
        <f t="shared" si="7"/>
        <v>60545.394000000008</v>
      </c>
    </row>
    <row r="71" spans="1:22" ht="15.75" hidden="1" customHeight="1">
      <c r="A71" s="30"/>
      <c r="B71" s="85" t="s">
        <v>135</v>
      </c>
      <c r="C71" s="16" t="s">
        <v>34</v>
      </c>
      <c r="D71" s="14"/>
      <c r="E71" s="50">
        <v>23</v>
      </c>
      <c r="F71" s="13">
        <f>SUM(E71)</f>
        <v>23</v>
      </c>
      <c r="G71" s="13">
        <v>42.67</v>
      </c>
      <c r="H71" s="84">
        <f t="shared" si="6"/>
        <v>0.98141000000000012</v>
      </c>
      <c r="I71" s="13">
        <f t="shared" si="7"/>
        <v>981.41000000000008</v>
      </c>
    </row>
    <row r="72" spans="1:22" ht="15.75" hidden="1" customHeight="1">
      <c r="A72" s="30"/>
      <c r="B72" s="85" t="s">
        <v>136</v>
      </c>
      <c r="C72" s="16" t="s">
        <v>34</v>
      </c>
      <c r="D72" s="14"/>
      <c r="E72" s="50">
        <v>23</v>
      </c>
      <c r="F72" s="13">
        <f>SUM(E72)</f>
        <v>23</v>
      </c>
      <c r="G72" s="13">
        <v>39.81</v>
      </c>
      <c r="H72" s="84">
        <f t="shared" si="6"/>
        <v>0.91563000000000005</v>
      </c>
      <c r="I72" s="13">
        <f t="shared" si="7"/>
        <v>915.63000000000011</v>
      </c>
    </row>
    <row r="73" spans="1:22" ht="15.75" hidden="1" customHeight="1">
      <c r="A73" s="30"/>
      <c r="B73" s="14" t="s">
        <v>61</v>
      </c>
      <c r="C73" s="16" t="s">
        <v>62</v>
      </c>
      <c r="D73" s="14" t="s">
        <v>57</v>
      </c>
      <c r="E73" s="19">
        <v>10</v>
      </c>
      <c r="F73" s="69">
        <f>SUM(E73)</f>
        <v>10</v>
      </c>
      <c r="G73" s="13">
        <v>53.32</v>
      </c>
      <c r="H73" s="84">
        <f t="shared" si="6"/>
        <v>0.53320000000000001</v>
      </c>
      <c r="I73" s="13">
        <f t="shared" si="7"/>
        <v>533.20000000000005</v>
      </c>
    </row>
    <row r="74" spans="1:22" ht="16.5" customHeight="1">
      <c r="A74" s="30"/>
      <c r="B74" s="97" t="s">
        <v>77</v>
      </c>
      <c r="C74" s="16"/>
      <c r="D74" s="14"/>
      <c r="E74" s="19"/>
      <c r="F74" s="13"/>
      <c r="G74" s="13"/>
      <c r="H74" s="84" t="s">
        <v>139</v>
      </c>
      <c r="I74" s="13"/>
    </row>
    <row r="75" spans="1:22" ht="17.25" customHeight="1">
      <c r="A75" s="30">
        <v>16</v>
      </c>
      <c r="B75" s="14" t="s">
        <v>78</v>
      </c>
      <c r="C75" s="16" t="s">
        <v>32</v>
      </c>
      <c r="D75" s="14"/>
      <c r="E75" s="19">
        <v>2</v>
      </c>
      <c r="F75" s="61">
        <v>0.2</v>
      </c>
      <c r="G75" s="13">
        <v>536.23</v>
      </c>
      <c r="H75" s="84">
        <v>0.251</v>
      </c>
      <c r="I75" s="13">
        <f>G75*0.2</f>
        <v>107.24600000000001</v>
      </c>
    </row>
    <row r="76" spans="1:22" ht="16.5" hidden="1" customHeight="1">
      <c r="A76" s="30"/>
      <c r="B76" s="14" t="s">
        <v>94</v>
      </c>
      <c r="C76" s="16" t="s">
        <v>31</v>
      </c>
      <c r="D76" s="14"/>
      <c r="E76" s="19">
        <v>1</v>
      </c>
      <c r="F76" s="69">
        <f>SUM(E76)</f>
        <v>1</v>
      </c>
      <c r="G76" s="13">
        <v>383.25</v>
      </c>
      <c r="H76" s="84">
        <f t="shared" si="6"/>
        <v>0.38324999999999998</v>
      </c>
      <c r="I76" s="13">
        <v>0</v>
      </c>
    </row>
    <row r="77" spans="1:22" ht="15.75" hidden="1" customHeight="1">
      <c r="A77" s="30"/>
      <c r="B77" s="14" t="s">
        <v>79</v>
      </c>
      <c r="C77" s="16" t="s">
        <v>31</v>
      </c>
      <c r="D77" s="14"/>
      <c r="E77" s="19">
        <v>2</v>
      </c>
      <c r="F77" s="13">
        <v>2</v>
      </c>
      <c r="G77" s="13">
        <v>911.85</v>
      </c>
      <c r="H77" s="84">
        <f>F77*G77/1000</f>
        <v>1.8237000000000001</v>
      </c>
      <c r="I77" s="13">
        <v>0</v>
      </c>
    </row>
    <row r="78" spans="1:22" ht="17.25" hidden="1" customHeight="1">
      <c r="A78" s="30"/>
      <c r="B78" s="86" t="s">
        <v>80</v>
      </c>
      <c r="C78" s="16"/>
      <c r="D78" s="14"/>
      <c r="E78" s="19"/>
      <c r="F78" s="13"/>
      <c r="G78" s="13" t="s">
        <v>139</v>
      </c>
      <c r="H78" s="84" t="s">
        <v>139</v>
      </c>
      <c r="I78" s="13"/>
    </row>
    <row r="79" spans="1:22" ht="15" hidden="1" customHeight="1">
      <c r="A79" s="30"/>
      <c r="B79" s="45" t="s">
        <v>140</v>
      </c>
      <c r="C79" s="16" t="s">
        <v>81</v>
      </c>
      <c r="D79" s="14"/>
      <c r="E79" s="19"/>
      <c r="F79" s="13">
        <v>1.35</v>
      </c>
      <c r="G79" s="13">
        <v>2949.85</v>
      </c>
      <c r="H79" s="84">
        <f t="shared" si="6"/>
        <v>3.9822975</v>
      </c>
      <c r="I79" s="13">
        <v>0</v>
      </c>
    </row>
    <row r="80" spans="1:22" ht="16.5" hidden="1" customHeight="1">
      <c r="A80" s="30"/>
      <c r="B80" s="72" t="s">
        <v>137</v>
      </c>
      <c r="C80" s="86"/>
      <c r="D80" s="32"/>
      <c r="E80" s="33"/>
      <c r="F80" s="73"/>
      <c r="G80" s="73"/>
      <c r="H80" s="87">
        <f>SUM(H58:H79)</f>
        <v>5118.885151045999</v>
      </c>
      <c r="I80" s="73"/>
    </row>
    <row r="81" spans="1:9" ht="16.5" hidden="1" customHeight="1">
      <c r="A81" s="30"/>
      <c r="B81" s="67" t="s">
        <v>138</v>
      </c>
      <c r="C81" s="16"/>
      <c r="D81" s="14"/>
      <c r="E81" s="62"/>
      <c r="F81" s="13">
        <v>1</v>
      </c>
      <c r="G81" s="13">
        <v>19342.2</v>
      </c>
      <c r="H81" s="84">
        <f>G81*F81/1000</f>
        <v>19.342200000000002</v>
      </c>
      <c r="I81" s="13">
        <v>0</v>
      </c>
    </row>
    <row r="82" spans="1:9" ht="15.75" customHeight="1">
      <c r="A82" s="153" t="s">
        <v>151</v>
      </c>
      <c r="B82" s="154"/>
      <c r="C82" s="154"/>
      <c r="D82" s="154"/>
      <c r="E82" s="154"/>
      <c r="F82" s="154"/>
      <c r="G82" s="154"/>
      <c r="H82" s="154"/>
      <c r="I82" s="155"/>
    </row>
    <row r="83" spans="1:9" ht="15.75" customHeight="1">
      <c r="A83" s="30">
        <v>17</v>
      </c>
      <c r="B83" s="67" t="s">
        <v>141</v>
      </c>
      <c r="C83" s="16" t="s">
        <v>58</v>
      </c>
      <c r="D83" s="88" t="s">
        <v>59</v>
      </c>
      <c r="E83" s="13">
        <v>4591.2</v>
      </c>
      <c r="F83" s="13">
        <f>SUM(E83*12)</f>
        <v>55094.399999999994</v>
      </c>
      <c r="G83" s="13">
        <v>2.54</v>
      </c>
      <c r="H83" s="84">
        <f>SUM(F83*G83/1000)</f>
        <v>139.93977599999999</v>
      </c>
      <c r="I83" s="13">
        <f>F83/12*G83</f>
        <v>11661.647999999999</v>
      </c>
    </row>
    <row r="84" spans="1:9" ht="31.5" customHeight="1">
      <c r="A84" s="30">
        <v>18</v>
      </c>
      <c r="B84" s="14" t="s">
        <v>82</v>
      </c>
      <c r="C84" s="16"/>
      <c r="D84" s="88" t="s">
        <v>59</v>
      </c>
      <c r="E84" s="50">
        <f>E83</f>
        <v>4591.2</v>
      </c>
      <c r="F84" s="13">
        <f>E84*12</f>
        <v>55094.399999999994</v>
      </c>
      <c r="G84" s="13">
        <v>2.0499999999999998</v>
      </c>
      <c r="H84" s="84">
        <f>F84*G84/1000</f>
        <v>112.94351999999998</v>
      </c>
      <c r="I84" s="13">
        <f>F84/12*G84</f>
        <v>9411.9599999999991</v>
      </c>
    </row>
    <row r="85" spans="1:9" ht="15.75" customHeight="1">
      <c r="A85" s="95"/>
      <c r="B85" s="37" t="s">
        <v>85</v>
      </c>
      <c r="C85" s="38"/>
      <c r="D85" s="15"/>
      <c r="E85" s="15"/>
      <c r="F85" s="15"/>
      <c r="G85" s="19"/>
      <c r="H85" s="19"/>
      <c r="I85" s="33">
        <f>I84+I83+I75+I62+I59+I58+I51+I44+I43+I42+I41+I39+I38+I26+I20+I18+I17+I16</f>
        <v>73714.760636249979</v>
      </c>
    </row>
    <row r="86" spans="1:9" ht="15.75" customHeight="1">
      <c r="A86" s="150" t="s">
        <v>64</v>
      </c>
      <c r="B86" s="151"/>
      <c r="C86" s="151"/>
      <c r="D86" s="151"/>
      <c r="E86" s="151"/>
      <c r="F86" s="151"/>
      <c r="G86" s="151"/>
      <c r="H86" s="151"/>
      <c r="I86" s="152"/>
    </row>
    <row r="87" spans="1:9" ht="31.5" customHeight="1">
      <c r="A87" s="30">
        <v>19</v>
      </c>
      <c r="B87" s="98" t="s">
        <v>315</v>
      </c>
      <c r="C87" s="99" t="s">
        <v>29</v>
      </c>
      <c r="D87" s="45"/>
      <c r="E87" s="35"/>
      <c r="F87" s="35">
        <f>134/3</f>
        <v>44.666666666666664</v>
      </c>
      <c r="G87" s="35">
        <v>18798.34</v>
      </c>
      <c r="H87" s="100">
        <f t="shared" ref="H87" si="8">G87*F87/1000</f>
        <v>839.65918666666664</v>
      </c>
      <c r="I87" s="13">
        <f>G87*((1+12*0.599)/1000)</f>
        <v>153.92080791999999</v>
      </c>
    </row>
    <row r="88" spans="1:9" ht="17.25" customHeight="1">
      <c r="A88" s="30" t="s">
        <v>342</v>
      </c>
      <c r="B88" s="98" t="s">
        <v>298</v>
      </c>
      <c r="C88" s="99" t="s">
        <v>131</v>
      </c>
      <c r="D88" s="45"/>
      <c r="E88" s="35"/>
      <c r="F88" s="35">
        <v>5</v>
      </c>
      <c r="G88" s="35">
        <v>55.55</v>
      </c>
      <c r="H88" s="100">
        <f t="shared" ref="H88:H90" si="9">G88*F88/1000</f>
        <v>0.27775</v>
      </c>
      <c r="I88" s="13">
        <f>G88*1</f>
        <v>55.55</v>
      </c>
    </row>
    <row r="89" spans="1:9" ht="15.75" customHeight="1">
      <c r="A89" s="30">
        <v>21</v>
      </c>
      <c r="B89" s="98" t="s">
        <v>87</v>
      </c>
      <c r="C89" s="99" t="s">
        <v>131</v>
      </c>
      <c r="D89" s="101"/>
      <c r="E89" s="35"/>
      <c r="F89" s="35">
        <v>16</v>
      </c>
      <c r="G89" s="35">
        <v>197.48</v>
      </c>
      <c r="H89" s="100">
        <f t="shared" si="9"/>
        <v>3.1596799999999998</v>
      </c>
      <c r="I89" s="13">
        <f>G89*1</f>
        <v>197.48</v>
      </c>
    </row>
    <row r="90" spans="1:9" ht="15.75" customHeight="1">
      <c r="A90" s="30">
        <v>22</v>
      </c>
      <c r="B90" s="49" t="s">
        <v>206</v>
      </c>
      <c r="C90" s="51" t="s">
        <v>207</v>
      </c>
      <c r="D90" s="45"/>
      <c r="E90" s="35"/>
      <c r="F90" s="35">
        <v>2</v>
      </c>
      <c r="G90" s="35">
        <v>134.12</v>
      </c>
      <c r="H90" s="100">
        <f t="shared" si="9"/>
        <v>0.26824000000000003</v>
      </c>
      <c r="I90" s="13">
        <f>G90*5</f>
        <v>670.6</v>
      </c>
    </row>
    <row r="91" spans="1:9" ht="33.75" customHeight="1">
      <c r="A91" s="30">
        <v>23</v>
      </c>
      <c r="B91" s="98" t="s">
        <v>327</v>
      </c>
      <c r="C91" s="99" t="s">
        <v>341</v>
      </c>
      <c r="D91" s="45"/>
      <c r="E91" s="35"/>
      <c r="F91" s="35"/>
      <c r="G91" s="35">
        <v>6312</v>
      </c>
      <c r="H91" s="100"/>
      <c r="I91" s="13">
        <f>G91*0.5</f>
        <v>3156</v>
      </c>
    </row>
    <row r="92" spans="1:9" ht="15.75" customHeight="1">
      <c r="A92" s="30"/>
      <c r="B92" s="43" t="s">
        <v>54</v>
      </c>
      <c r="C92" s="39"/>
      <c r="D92" s="47"/>
      <c r="E92" s="39">
        <v>1</v>
      </c>
      <c r="F92" s="39"/>
      <c r="G92" s="39"/>
      <c r="H92" s="39"/>
      <c r="I92" s="33">
        <f>SUM(I87:I91)-I88</f>
        <v>4178.0008079199997</v>
      </c>
    </row>
    <row r="93" spans="1:9" ht="15.75" customHeight="1">
      <c r="A93" s="30"/>
      <c r="B93" s="45" t="s">
        <v>83</v>
      </c>
      <c r="C93" s="15"/>
      <c r="D93" s="15"/>
      <c r="E93" s="40"/>
      <c r="F93" s="40"/>
      <c r="G93" s="41"/>
      <c r="H93" s="41"/>
      <c r="I93" s="18">
        <v>0</v>
      </c>
    </row>
    <row r="94" spans="1:9" ht="15.75" customHeight="1">
      <c r="A94" s="48"/>
      <c r="B94" s="44" t="s">
        <v>55</v>
      </c>
      <c r="C94" s="34"/>
      <c r="D94" s="34"/>
      <c r="E94" s="34"/>
      <c r="F94" s="34"/>
      <c r="G94" s="34"/>
      <c r="H94" s="34"/>
      <c r="I94" s="42">
        <f>I85+I92</f>
        <v>77892.761444169984</v>
      </c>
    </row>
    <row r="95" spans="1:9" ht="15.75" customHeight="1">
      <c r="A95" s="162" t="s">
        <v>343</v>
      </c>
      <c r="B95" s="163"/>
      <c r="C95" s="163"/>
      <c r="D95" s="163"/>
      <c r="E95" s="163"/>
      <c r="F95" s="163"/>
      <c r="G95" s="163"/>
      <c r="H95" s="163"/>
      <c r="I95" s="163"/>
    </row>
    <row r="96" spans="1:9" ht="15.75" customHeight="1">
      <c r="A96" s="147" t="s">
        <v>344</v>
      </c>
      <c r="B96" s="147"/>
      <c r="C96" s="147"/>
      <c r="D96" s="147"/>
      <c r="E96" s="147"/>
      <c r="F96" s="147"/>
      <c r="G96" s="147"/>
      <c r="H96" s="147"/>
      <c r="I96" s="147"/>
    </row>
    <row r="97" spans="1:9" ht="15.75" customHeight="1">
      <c r="A97" s="58"/>
      <c r="B97" s="148" t="s">
        <v>345</v>
      </c>
      <c r="C97" s="148"/>
      <c r="D97" s="148"/>
      <c r="E97" s="148"/>
      <c r="F97" s="148"/>
      <c r="G97" s="148"/>
      <c r="H97" s="66"/>
      <c r="I97" s="3"/>
    </row>
    <row r="98" spans="1:9" ht="15.75" customHeight="1">
      <c r="A98" s="93"/>
      <c r="B98" s="138" t="s">
        <v>6</v>
      </c>
      <c r="C98" s="138"/>
      <c r="D98" s="138"/>
      <c r="E98" s="138"/>
      <c r="F98" s="138"/>
      <c r="G98" s="138"/>
      <c r="H98" s="25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49" t="s">
        <v>7</v>
      </c>
      <c r="B100" s="149"/>
      <c r="C100" s="149"/>
      <c r="D100" s="149"/>
      <c r="E100" s="149"/>
      <c r="F100" s="149"/>
      <c r="G100" s="149"/>
      <c r="H100" s="149"/>
      <c r="I100" s="149"/>
    </row>
    <row r="101" spans="1:9" ht="15.75" customHeight="1">
      <c r="A101" s="149" t="s">
        <v>8</v>
      </c>
      <c r="B101" s="149"/>
      <c r="C101" s="149"/>
      <c r="D101" s="149"/>
      <c r="E101" s="149"/>
      <c r="F101" s="149"/>
      <c r="G101" s="149"/>
      <c r="H101" s="149"/>
      <c r="I101" s="149"/>
    </row>
    <row r="102" spans="1:9" ht="15.75" customHeight="1">
      <c r="A102" s="142" t="s">
        <v>65</v>
      </c>
      <c r="B102" s="142"/>
      <c r="C102" s="142"/>
      <c r="D102" s="142"/>
      <c r="E102" s="142"/>
      <c r="F102" s="142"/>
      <c r="G102" s="142"/>
      <c r="H102" s="142"/>
      <c r="I102" s="142"/>
    </row>
    <row r="103" spans="1:9" ht="15.75" customHeight="1">
      <c r="A103" s="11"/>
    </row>
    <row r="104" spans="1:9" ht="15.75" customHeight="1">
      <c r="A104" s="136" t="s">
        <v>9</v>
      </c>
      <c r="B104" s="136"/>
      <c r="C104" s="136"/>
      <c r="D104" s="136"/>
      <c r="E104" s="136"/>
      <c r="F104" s="136"/>
      <c r="G104" s="136"/>
      <c r="H104" s="136"/>
      <c r="I104" s="136"/>
    </row>
    <row r="105" spans="1:9" ht="15.75" customHeight="1">
      <c r="A105" s="4"/>
    </row>
    <row r="106" spans="1:9" ht="15.75" customHeight="1">
      <c r="B106" s="94" t="s">
        <v>10</v>
      </c>
      <c r="C106" s="137" t="s">
        <v>95</v>
      </c>
      <c r="D106" s="137"/>
      <c r="E106" s="137"/>
      <c r="F106" s="64"/>
      <c r="I106" s="92"/>
    </row>
    <row r="107" spans="1:9" ht="15.75" customHeight="1">
      <c r="A107" s="93"/>
      <c r="C107" s="138" t="s">
        <v>11</v>
      </c>
      <c r="D107" s="138"/>
      <c r="E107" s="138"/>
      <c r="F107" s="25"/>
      <c r="I107" s="91" t="s">
        <v>12</v>
      </c>
    </row>
    <row r="108" spans="1:9" ht="15.75" customHeight="1">
      <c r="A108" s="26"/>
      <c r="C108" s="12"/>
      <c r="D108" s="12"/>
      <c r="G108" s="12"/>
      <c r="H108" s="12"/>
    </row>
    <row r="109" spans="1:9" ht="15.75" customHeight="1">
      <c r="B109" s="94" t="s">
        <v>13</v>
      </c>
      <c r="C109" s="139"/>
      <c r="D109" s="139"/>
      <c r="E109" s="139"/>
      <c r="F109" s="65"/>
      <c r="I109" s="92"/>
    </row>
    <row r="110" spans="1:9" ht="15.75" customHeight="1">
      <c r="A110" s="93"/>
      <c r="C110" s="140" t="s">
        <v>11</v>
      </c>
      <c r="D110" s="140"/>
      <c r="E110" s="140"/>
      <c r="F110" s="93"/>
      <c r="I110" s="91" t="s">
        <v>12</v>
      </c>
    </row>
    <row r="111" spans="1:9" ht="15.75" customHeight="1">
      <c r="A111" s="4" t="s">
        <v>14</v>
      </c>
    </row>
    <row r="112" spans="1:9" ht="15.75" customHeight="1">
      <c r="A112" s="141" t="s">
        <v>15</v>
      </c>
      <c r="B112" s="141"/>
      <c r="C112" s="141"/>
      <c r="D112" s="141"/>
      <c r="E112" s="141"/>
      <c r="F112" s="141"/>
      <c r="G112" s="141"/>
      <c r="H112" s="141"/>
      <c r="I112" s="141"/>
    </row>
    <row r="113" spans="1:9" ht="45" customHeight="1">
      <c r="A113" s="135" t="s">
        <v>16</v>
      </c>
      <c r="B113" s="135"/>
      <c r="C113" s="135"/>
      <c r="D113" s="135"/>
      <c r="E113" s="135"/>
      <c r="F113" s="135"/>
      <c r="G113" s="135"/>
      <c r="H113" s="135"/>
      <c r="I113" s="135"/>
    </row>
    <row r="114" spans="1:9" ht="30" customHeight="1">
      <c r="A114" s="135" t="s">
        <v>17</v>
      </c>
      <c r="B114" s="135"/>
      <c r="C114" s="135"/>
      <c r="D114" s="135"/>
      <c r="E114" s="135"/>
      <c r="F114" s="135"/>
      <c r="G114" s="135"/>
      <c r="H114" s="135"/>
      <c r="I114" s="135"/>
    </row>
    <row r="115" spans="1:9" ht="30" customHeight="1">
      <c r="A115" s="135" t="s">
        <v>21</v>
      </c>
      <c r="B115" s="135"/>
      <c r="C115" s="135"/>
      <c r="D115" s="135"/>
      <c r="E115" s="135"/>
      <c r="F115" s="135"/>
      <c r="G115" s="135"/>
      <c r="H115" s="135"/>
      <c r="I115" s="135"/>
    </row>
    <row r="116" spans="1:9" ht="15" customHeight="1">
      <c r="A116" s="135" t="s">
        <v>20</v>
      </c>
      <c r="B116" s="135"/>
      <c r="C116" s="135"/>
      <c r="D116" s="135"/>
      <c r="E116" s="135"/>
      <c r="F116" s="135"/>
      <c r="G116" s="135"/>
      <c r="H116" s="135"/>
      <c r="I116" s="135"/>
    </row>
  </sheetData>
  <autoFilter ref="I12:I63"/>
  <mergeCells count="30">
    <mergeCell ref="A14:I14"/>
    <mergeCell ref="A15:I15"/>
    <mergeCell ref="A28:I28"/>
    <mergeCell ref="A45:I45"/>
    <mergeCell ref="A56:I56"/>
    <mergeCell ref="A3:I3"/>
    <mergeCell ref="A4:I4"/>
    <mergeCell ref="A5:I5"/>
    <mergeCell ref="A8:I8"/>
    <mergeCell ref="A10:I10"/>
    <mergeCell ref="R68:U68"/>
    <mergeCell ref="C110:E110"/>
    <mergeCell ref="A86:I86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2:I82"/>
    <mergeCell ref="A95:I95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0"/>
  <sheetViews>
    <sheetView topLeftCell="A88" workbookViewId="0">
      <selection activeCell="B101" sqref="B101:G101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91</v>
      </c>
      <c r="I1" s="27"/>
      <c r="J1" s="1"/>
      <c r="K1" s="1"/>
      <c r="L1" s="1"/>
      <c r="M1" s="1"/>
    </row>
    <row r="2" spans="1:13" ht="15.75" customHeight="1">
      <c r="A2" s="29" t="s">
        <v>66</v>
      </c>
      <c r="J2" s="2"/>
      <c r="K2" s="2"/>
      <c r="L2" s="2"/>
      <c r="M2" s="2"/>
    </row>
    <row r="3" spans="1:13" ht="15.75" customHeight="1">
      <c r="A3" s="156" t="s">
        <v>169</v>
      </c>
      <c r="B3" s="156"/>
      <c r="C3" s="156"/>
      <c r="D3" s="156"/>
      <c r="E3" s="156"/>
      <c r="F3" s="156"/>
      <c r="G3" s="156"/>
      <c r="H3" s="156"/>
      <c r="I3" s="156"/>
      <c r="J3" s="3"/>
      <c r="K3" s="3"/>
      <c r="L3" s="3"/>
    </row>
    <row r="4" spans="1:13" ht="31.5" customHeight="1">
      <c r="A4" s="157" t="s">
        <v>142</v>
      </c>
      <c r="B4" s="157"/>
      <c r="C4" s="157"/>
      <c r="D4" s="157"/>
      <c r="E4" s="157"/>
      <c r="F4" s="157"/>
      <c r="G4" s="157"/>
      <c r="H4" s="157"/>
      <c r="I4" s="157"/>
    </row>
    <row r="5" spans="1:13" ht="15.75" customHeight="1">
      <c r="A5" s="156" t="s">
        <v>199</v>
      </c>
      <c r="B5" s="158"/>
      <c r="C5" s="158"/>
      <c r="D5" s="158"/>
      <c r="E5" s="158"/>
      <c r="F5" s="158"/>
      <c r="G5" s="158"/>
      <c r="H5" s="158"/>
      <c r="I5" s="158"/>
      <c r="J5" s="2"/>
      <c r="K5" s="2"/>
      <c r="L5" s="2"/>
      <c r="M5" s="2"/>
    </row>
    <row r="6" spans="1:13" ht="15.75" customHeight="1">
      <c r="A6" s="2"/>
      <c r="B6" s="56"/>
      <c r="C6" s="56"/>
      <c r="D6" s="56"/>
      <c r="E6" s="56"/>
      <c r="F6" s="56"/>
      <c r="G6" s="56"/>
      <c r="H6" s="56"/>
      <c r="I6" s="31">
        <v>43159</v>
      </c>
      <c r="J6" s="2"/>
      <c r="K6" s="2"/>
      <c r="L6" s="2"/>
      <c r="M6" s="2"/>
    </row>
    <row r="7" spans="1:13" ht="15.75" customHeight="1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9" t="s">
        <v>152</v>
      </c>
      <c r="B8" s="159"/>
      <c r="C8" s="159"/>
      <c r="D8" s="159"/>
      <c r="E8" s="159"/>
      <c r="F8" s="159"/>
      <c r="G8" s="159"/>
      <c r="H8" s="159"/>
      <c r="I8" s="15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60" t="s">
        <v>195</v>
      </c>
      <c r="B10" s="160"/>
      <c r="C10" s="160"/>
      <c r="D10" s="160"/>
      <c r="E10" s="160"/>
      <c r="F10" s="160"/>
      <c r="G10" s="160"/>
      <c r="H10" s="160"/>
      <c r="I10" s="16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61" t="s">
        <v>63</v>
      </c>
      <c r="B14" s="161"/>
      <c r="C14" s="161"/>
      <c r="D14" s="161"/>
      <c r="E14" s="161"/>
      <c r="F14" s="161"/>
      <c r="G14" s="161"/>
      <c r="H14" s="161"/>
      <c r="I14" s="161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7" t="s">
        <v>92</v>
      </c>
      <c r="C16" s="68" t="s">
        <v>111</v>
      </c>
      <c r="D16" s="67" t="s">
        <v>112</v>
      </c>
      <c r="E16" s="50">
        <v>127.9</v>
      </c>
      <c r="F16" s="69">
        <f>SUM(E16*156/100)</f>
        <v>199.524</v>
      </c>
      <c r="G16" s="69">
        <v>187.48</v>
      </c>
      <c r="H16" s="70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67" t="s">
        <v>100</v>
      </c>
      <c r="C17" s="68" t="s">
        <v>111</v>
      </c>
      <c r="D17" s="67" t="s">
        <v>166</v>
      </c>
      <c r="E17" s="50">
        <v>511.6</v>
      </c>
      <c r="F17" s="69">
        <f>SUM(E17*104/100)</f>
        <v>532.06399999999996</v>
      </c>
      <c r="G17" s="69">
        <v>185.48</v>
      </c>
      <c r="H17" s="70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67" t="s">
        <v>101</v>
      </c>
      <c r="C18" s="68" t="s">
        <v>111</v>
      </c>
      <c r="D18" s="67" t="s">
        <v>113</v>
      </c>
      <c r="E18" s="50">
        <f>SUM(E16+E17)</f>
        <v>639.5</v>
      </c>
      <c r="F18" s="69">
        <f>SUM(E18*24/100)</f>
        <v>153.47999999999999</v>
      </c>
      <c r="G18" s="69">
        <v>539.30999999999995</v>
      </c>
      <c r="H18" s="70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67" t="s">
        <v>114</v>
      </c>
      <c r="C19" s="68" t="s">
        <v>115</v>
      </c>
      <c r="D19" s="67" t="s">
        <v>116</v>
      </c>
      <c r="E19" s="50">
        <v>38.4</v>
      </c>
      <c r="F19" s="69">
        <f>SUM(E19/10)</f>
        <v>3.84</v>
      </c>
      <c r="G19" s="69">
        <v>181.91</v>
      </c>
      <c r="H19" s="70">
        <f t="shared" si="0"/>
        <v>0.6985344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67" t="s">
        <v>105</v>
      </c>
      <c r="C20" s="68" t="s">
        <v>111</v>
      </c>
      <c r="D20" s="67" t="s">
        <v>30</v>
      </c>
      <c r="E20" s="50">
        <v>58.4</v>
      </c>
      <c r="F20" s="69">
        <f>SUM(E20*12/100)</f>
        <v>7.0079999999999991</v>
      </c>
      <c r="G20" s="69">
        <v>232.92</v>
      </c>
      <c r="H20" s="70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7" t="s">
        <v>106</v>
      </c>
      <c r="C21" s="68" t="s">
        <v>111</v>
      </c>
      <c r="D21" s="67" t="s">
        <v>110</v>
      </c>
      <c r="E21" s="50">
        <v>9.08</v>
      </c>
      <c r="F21" s="69">
        <f>SUM(E21*6/100)</f>
        <v>0.54480000000000006</v>
      </c>
      <c r="G21" s="69">
        <v>231.03</v>
      </c>
      <c r="H21" s="70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67" t="s">
        <v>117</v>
      </c>
      <c r="C22" s="68" t="s">
        <v>56</v>
      </c>
      <c r="D22" s="67" t="s">
        <v>116</v>
      </c>
      <c r="E22" s="50">
        <v>714</v>
      </c>
      <c r="F22" s="69">
        <f>SUM(E22/100)</f>
        <v>7.14</v>
      </c>
      <c r="G22" s="69">
        <v>287.83999999999997</v>
      </c>
      <c r="H22" s="70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67" t="s">
        <v>118</v>
      </c>
      <c r="C23" s="68" t="s">
        <v>56</v>
      </c>
      <c r="D23" s="67" t="s">
        <v>116</v>
      </c>
      <c r="E23" s="63">
        <v>96.6</v>
      </c>
      <c r="F23" s="69">
        <f>SUM(E23/100)</f>
        <v>0.96599999999999997</v>
      </c>
      <c r="G23" s="69">
        <v>47.34</v>
      </c>
      <c r="H23" s="70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67" t="s">
        <v>108</v>
      </c>
      <c r="C24" s="68" t="s">
        <v>56</v>
      </c>
      <c r="D24" s="67" t="s">
        <v>116</v>
      </c>
      <c r="E24" s="19">
        <v>40</v>
      </c>
      <c r="F24" s="71">
        <v>4.8</v>
      </c>
      <c r="G24" s="69">
        <v>416.62</v>
      </c>
      <c r="H24" s="70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67" t="s">
        <v>109</v>
      </c>
      <c r="C25" s="68" t="s">
        <v>56</v>
      </c>
      <c r="D25" s="67" t="s">
        <v>116</v>
      </c>
      <c r="E25" s="50">
        <v>17</v>
      </c>
      <c r="F25" s="69">
        <f>SUM(E25/100)</f>
        <v>0.17</v>
      </c>
      <c r="G25" s="69">
        <v>556.74</v>
      </c>
      <c r="H25" s="70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customHeight="1">
      <c r="A26" s="30">
        <v>5</v>
      </c>
      <c r="B26" s="67" t="s">
        <v>68</v>
      </c>
      <c r="C26" s="68" t="s">
        <v>34</v>
      </c>
      <c r="D26" s="67"/>
      <c r="E26" s="50">
        <v>0.1</v>
      </c>
      <c r="F26" s="69">
        <f>SUM(E26*365)</f>
        <v>36.5</v>
      </c>
      <c r="G26" s="69">
        <v>157.18</v>
      </c>
      <c r="H26" s="70">
        <f>SUM(F26*G26/1000)</f>
        <v>5.737070000000001</v>
      </c>
      <c r="I26" s="13">
        <f>F26/12*G26</f>
        <v>478.08916666666664</v>
      </c>
      <c r="J26" s="24"/>
    </row>
    <row r="27" spans="1:13" ht="15.75" customHeight="1">
      <c r="A27" s="30">
        <v>6</v>
      </c>
      <c r="B27" s="75" t="s">
        <v>23</v>
      </c>
      <c r="C27" s="68" t="s">
        <v>24</v>
      </c>
      <c r="D27" s="75"/>
      <c r="E27" s="50">
        <v>4591.2</v>
      </c>
      <c r="F27" s="69">
        <f>SUM(E27*12)</f>
        <v>55094.399999999994</v>
      </c>
      <c r="G27" s="69">
        <v>5.85</v>
      </c>
      <c r="H27" s="70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43" t="s">
        <v>90</v>
      </c>
      <c r="B28" s="143"/>
      <c r="C28" s="143"/>
      <c r="D28" s="143"/>
      <c r="E28" s="143"/>
      <c r="F28" s="143"/>
      <c r="G28" s="143"/>
      <c r="H28" s="143"/>
      <c r="I28" s="143"/>
      <c r="J28" s="23"/>
      <c r="K28" s="8"/>
      <c r="L28" s="8"/>
      <c r="M28" s="8"/>
    </row>
    <row r="29" spans="1:13" ht="15.75" hidden="1" customHeight="1">
      <c r="A29" s="30"/>
      <c r="B29" s="89" t="s">
        <v>28</v>
      </c>
      <c r="C29" s="68"/>
      <c r="D29" s="67"/>
      <c r="E29" s="50"/>
      <c r="F29" s="69"/>
      <c r="G29" s="69"/>
      <c r="H29" s="70"/>
      <c r="I29" s="13"/>
      <c r="J29" s="23"/>
      <c r="K29" s="8"/>
      <c r="L29" s="8"/>
      <c r="M29" s="8"/>
    </row>
    <row r="30" spans="1:13" ht="15.75" hidden="1" customHeight="1">
      <c r="A30" s="30">
        <v>7</v>
      </c>
      <c r="B30" s="67" t="s">
        <v>119</v>
      </c>
      <c r="C30" s="68" t="s">
        <v>120</v>
      </c>
      <c r="D30" s="67" t="s">
        <v>121</v>
      </c>
      <c r="E30" s="69">
        <v>844.95</v>
      </c>
      <c r="F30" s="69">
        <f>SUM(E30*52/1000)</f>
        <v>43.937400000000004</v>
      </c>
      <c r="G30" s="69">
        <v>166.65</v>
      </c>
      <c r="H30" s="70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hidden="1" customHeight="1">
      <c r="A31" s="30">
        <v>8</v>
      </c>
      <c r="B31" s="67" t="s">
        <v>167</v>
      </c>
      <c r="C31" s="68" t="s">
        <v>120</v>
      </c>
      <c r="D31" s="67" t="s">
        <v>122</v>
      </c>
      <c r="E31" s="69">
        <v>260.13</v>
      </c>
      <c r="F31" s="69">
        <f>SUM(E31*78/1000)</f>
        <v>20.290140000000001</v>
      </c>
      <c r="G31" s="69">
        <v>276.48</v>
      </c>
      <c r="H31" s="70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67" t="s">
        <v>27</v>
      </c>
      <c r="C32" s="68" t="s">
        <v>120</v>
      </c>
      <c r="D32" s="67" t="s">
        <v>57</v>
      </c>
      <c r="E32" s="69">
        <v>844.95</v>
      </c>
      <c r="F32" s="69">
        <f>SUM(E32/1000)</f>
        <v>0.84495000000000009</v>
      </c>
      <c r="G32" s="69">
        <v>3228.73</v>
      </c>
      <c r="H32" s="70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hidden="1" customHeight="1">
      <c r="A33" s="30">
        <v>9</v>
      </c>
      <c r="B33" s="67" t="s">
        <v>154</v>
      </c>
      <c r="C33" s="68" t="s">
        <v>42</v>
      </c>
      <c r="D33" s="67" t="s">
        <v>67</v>
      </c>
      <c r="E33" s="69">
        <v>8</v>
      </c>
      <c r="F33" s="69">
        <v>12.4</v>
      </c>
      <c r="G33" s="69">
        <v>1391.86</v>
      </c>
      <c r="H33" s="70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hidden="1" customHeight="1">
      <c r="A34" s="30">
        <v>10</v>
      </c>
      <c r="B34" s="67" t="s">
        <v>123</v>
      </c>
      <c r="C34" s="68" t="s">
        <v>31</v>
      </c>
      <c r="D34" s="67" t="s">
        <v>67</v>
      </c>
      <c r="E34" s="74">
        <v>0.33333333333333331</v>
      </c>
      <c r="F34" s="69">
        <f>155/3</f>
        <v>51.666666666666664</v>
      </c>
      <c r="G34" s="69">
        <v>60.6</v>
      </c>
      <c r="H34" s="70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67" t="s">
        <v>69</v>
      </c>
      <c r="C35" s="68" t="s">
        <v>34</v>
      </c>
      <c r="D35" s="67" t="s">
        <v>71</v>
      </c>
      <c r="E35" s="50"/>
      <c r="F35" s="69">
        <v>3</v>
      </c>
      <c r="G35" s="69">
        <v>204.32</v>
      </c>
      <c r="H35" s="70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67" t="s">
        <v>70</v>
      </c>
      <c r="C36" s="68" t="s">
        <v>33</v>
      </c>
      <c r="D36" s="67" t="s">
        <v>71</v>
      </c>
      <c r="E36" s="50"/>
      <c r="F36" s="69">
        <v>2</v>
      </c>
      <c r="G36" s="69">
        <v>1214.73</v>
      </c>
      <c r="H36" s="70">
        <f t="shared" si="1"/>
        <v>2.4294600000000002</v>
      </c>
      <c r="I36" s="13">
        <v>0</v>
      </c>
      <c r="J36" s="24"/>
    </row>
    <row r="37" spans="1:14" ht="15.75" customHeight="1">
      <c r="A37" s="30"/>
      <c r="B37" s="89" t="s">
        <v>5</v>
      </c>
      <c r="C37" s="68"/>
      <c r="D37" s="67"/>
      <c r="E37" s="50"/>
      <c r="F37" s="69"/>
      <c r="G37" s="69"/>
      <c r="H37" s="70" t="s">
        <v>139</v>
      </c>
      <c r="I37" s="13"/>
      <c r="J37" s="24"/>
    </row>
    <row r="38" spans="1:14" ht="15.75" customHeight="1">
      <c r="A38" s="30">
        <v>7</v>
      </c>
      <c r="B38" s="67" t="s">
        <v>26</v>
      </c>
      <c r="C38" s="68" t="s">
        <v>33</v>
      </c>
      <c r="D38" s="67"/>
      <c r="E38" s="50"/>
      <c r="F38" s="69">
        <v>10</v>
      </c>
      <c r="G38" s="69">
        <v>1632.6</v>
      </c>
      <c r="H38" s="70">
        <f t="shared" ref="H38:H44" si="3">SUM(F38*G38/1000)</f>
        <v>16.326000000000001</v>
      </c>
      <c r="I38" s="13">
        <f>F38/6*G38</f>
        <v>2721</v>
      </c>
      <c r="J38" s="24"/>
    </row>
    <row r="39" spans="1:14" ht="15.75" customHeight="1">
      <c r="A39" s="30">
        <v>8</v>
      </c>
      <c r="B39" s="67" t="s">
        <v>155</v>
      </c>
      <c r="C39" s="68" t="s">
        <v>29</v>
      </c>
      <c r="D39" s="67" t="s">
        <v>124</v>
      </c>
      <c r="E39" s="69">
        <v>254.8</v>
      </c>
      <c r="F39" s="69">
        <f>SUM(E39*30/1000)</f>
        <v>7.6440000000000001</v>
      </c>
      <c r="G39" s="69">
        <v>2247.8000000000002</v>
      </c>
      <c r="H39" s="70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67" t="s">
        <v>102</v>
      </c>
      <c r="C40" s="68" t="s">
        <v>125</v>
      </c>
      <c r="D40" s="67" t="s">
        <v>71</v>
      </c>
      <c r="E40" s="50"/>
      <c r="F40" s="69">
        <v>40</v>
      </c>
      <c r="G40" s="69">
        <v>213.2</v>
      </c>
      <c r="H40" s="70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customHeight="1">
      <c r="A41" s="30">
        <v>9</v>
      </c>
      <c r="B41" s="67" t="s">
        <v>72</v>
      </c>
      <c r="C41" s="68" t="s">
        <v>29</v>
      </c>
      <c r="D41" s="67" t="s">
        <v>126</v>
      </c>
      <c r="E41" s="69">
        <v>260.13</v>
      </c>
      <c r="F41" s="69">
        <f>SUM(E41*155/1000)</f>
        <v>40.320149999999998</v>
      </c>
      <c r="G41" s="69">
        <v>374.95</v>
      </c>
      <c r="H41" s="70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customHeight="1">
      <c r="A42" s="30">
        <v>10</v>
      </c>
      <c r="B42" s="67" t="s">
        <v>88</v>
      </c>
      <c r="C42" s="68" t="s">
        <v>120</v>
      </c>
      <c r="D42" s="67" t="s">
        <v>127</v>
      </c>
      <c r="E42" s="69">
        <v>132.72999999999999</v>
      </c>
      <c r="F42" s="69">
        <f>SUM(E42*35/1000)</f>
        <v>4.6455499999999992</v>
      </c>
      <c r="G42" s="69">
        <v>6203.7</v>
      </c>
      <c r="H42" s="70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customHeight="1">
      <c r="A43" s="30">
        <v>11</v>
      </c>
      <c r="B43" s="67" t="s">
        <v>128</v>
      </c>
      <c r="C43" s="68" t="s">
        <v>120</v>
      </c>
      <c r="D43" s="67" t="s">
        <v>73</v>
      </c>
      <c r="E43" s="69">
        <v>254.8</v>
      </c>
      <c r="F43" s="69">
        <f>SUM(E43*45/1000)</f>
        <v>11.465999999999999</v>
      </c>
      <c r="G43" s="69">
        <v>458.28</v>
      </c>
      <c r="H43" s="70">
        <f t="shared" si="3"/>
        <v>5.2546384799999997</v>
      </c>
      <c r="I43" s="13">
        <f>F43/7.5*G43</f>
        <v>700.6184639999999</v>
      </c>
      <c r="J43" s="24"/>
      <c r="L43" s="20"/>
      <c r="M43" s="21"/>
      <c r="N43" s="22"/>
    </row>
    <row r="44" spans="1:14" ht="15.75" customHeight="1">
      <c r="A44" s="30">
        <v>12</v>
      </c>
      <c r="B44" s="67" t="s">
        <v>74</v>
      </c>
      <c r="C44" s="68" t="s">
        <v>34</v>
      </c>
      <c r="D44" s="67"/>
      <c r="E44" s="50"/>
      <c r="F44" s="69">
        <v>0.9</v>
      </c>
      <c r="G44" s="69">
        <v>853.06</v>
      </c>
      <c r="H44" s="70">
        <f t="shared" si="3"/>
        <v>0.76775400000000005</v>
      </c>
      <c r="I44" s="13">
        <f>F44/7.5*G44</f>
        <v>102.3672</v>
      </c>
      <c r="J44" s="24"/>
      <c r="L44" s="20"/>
      <c r="M44" s="21"/>
      <c r="N44" s="22"/>
    </row>
    <row r="45" spans="1:14" ht="15.75" customHeight="1">
      <c r="A45" s="144" t="s">
        <v>149</v>
      </c>
      <c r="B45" s="145"/>
      <c r="C45" s="145"/>
      <c r="D45" s="145"/>
      <c r="E45" s="145"/>
      <c r="F45" s="145"/>
      <c r="G45" s="145"/>
      <c r="H45" s="145"/>
      <c r="I45" s="146"/>
      <c r="J45" s="24"/>
      <c r="L45" s="20"/>
      <c r="M45" s="21"/>
      <c r="N45" s="22"/>
    </row>
    <row r="46" spans="1:14" ht="15.75" hidden="1" customHeight="1">
      <c r="A46" s="30"/>
      <c r="B46" s="67" t="s">
        <v>143</v>
      </c>
      <c r="C46" s="68" t="s">
        <v>120</v>
      </c>
      <c r="D46" s="67" t="s">
        <v>44</v>
      </c>
      <c r="E46" s="50">
        <v>1795.9</v>
      </c>
      <c r="F46" s="69">
        <f>SUM(E46*2/1000)</f>
        <v>3.5918000000000001</v>
      </c>
      <c r="G46" s="13">
        <v>865.61</v>
      </c>
      <c r="H46" s="70">
        <f t="shared" ref="H46:H55" si="4">SUM(F46*G46/1000)</f>
        <v>3.1090979980000002</v>
      </c>
      <c r="I46" s="13">
        <v>0</v>
      </c>
      <c r="J46" s="24"/>
      <c r="L46" s="20"/>
      <c r="M46" s="21"/>
      <c r="N46" s="22"/>
    </row>
    <row r="47" spans="1:14" ht="15.75" hidden="1" customHeight="1">
      <c r="A47" s="30"/>
      <c r="B47" s="67" t="s">
        <v>37</v>
      </c>
      <c r="C47" s="68" t="s">
        <v>120</v>
      </c>
      <c r="D47" s="67" t="s">
        <v>44</v>
      </c>
      <c r="E47" s="50">
        <v>104</v>
      </c>
      <c r="F47" s="69">
        <f>SUM(E47*2/1000)</f>
        <v>0.20799999999999999</v>
      </c>
      <c r="G47" s="13">
        <v>619.46</v>
      </c>
      <c r="H47" s="70">
        <f t="shared" si="4"/>
        <v>0.12884767999999999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30"/>
      <c r="B48" s="67" t="s">
        <v>38</v>
      </c>
      <c r="C48" s="68" t="s">
        <v>120</v>
      </c>
      <c r="D48" s="67" t="s">
        <v>44</v>
      </c>
      <c r="E48" s="50">
        <v>1996.87</v>
      </c>
      <c r="F48" s="69">
        <f>SUM(E48*2/1000)</f>
        <v>3.9937399999999998</v>
      </c>
      <c r="G48" s="13">
        <v>619.46</v>
      </c>
      <c r="H48" s="70">
        <f t="shared" si="4"/>
        <v>2.4739621804</v>
      </c>
      <c r="I48" s="13">
        <v>0</v>
      </c>
      <c r="J48" s="24"/>
      <c r="L48" s="20"/>
      <c r="M48" s="21"/>
      <c r="N48" s="22"/>
    </row>
    <row r="49" spans="1:22" ht="15.75" hidden="1" customHeight="1">
      <c r="A49" s="30"/>
      <c r="B49" s="67" t="s">
        <v>39</v>
      </c>
      <c r="C49" s="68" t="s">
        <v>120</v>
      </c>
      <c r="D49" s="67" t="s">
        <v>44</v>
      </c>
      <c r="E49" s="50">
        <v>2630.35</v>
      </c>
      <c r="F49" s="69">
        <f>SUM(E49*2/1000)</f>
        <v>5.2606999999999999</v>
      </c>
      <c r="G49" s="13">
        <v>648.64</v>
      </c>
      <c r="H49" s="70">
        <f t="shared" si="4"/>
        <v>3.4123004479999999</v>
      </c>
      <c r="I49" s="13">
        <v>0</v>
      </c>
      <c r="J49" s="24"/>
      <c r="L49" s="20"/>
      <c r="M49" s="21"/>
      <c r="N49" s="22"/>
    </row>
    <row r="50" spans="1:22" ht="15.75" hidden="1" customHeight="1">
      <c r="A50" s="30"/>
      <c r="B50" s="67" t="s">
        <v>35</v>
      </c>
      <c r="C50" s="68" t="s">
        <v>36</v>
      </c>
      <c r="D50" s="67" t="s">
        <v>44</v>
      </c>
      <c r="E50" s="50">
        <v>131.47</v>
      </c>
      <c r="F50" s="69">
        <f>SUM(E50*2/100)</f>
        <v>2.6294</v>
      </c>
      <c r="G50" s="13">
        <v>77.84</v>
      </c>
      <c r="H50" s="70">
        <f t="shared" si="4"/>
        <v>0.20467249599999998</v>
      </c>
      <c r="I50" s="13">
        <v>0</v>
      </c>
      <c r="J50" s="24"/>
      <c r="L50" s="20"/>
      <c r="M50" s="21"/>
      <c r="N50" s="22"/>
    </row>
    <row r="51" spans="1:22" ht="15.75" customHeight="1">
      <c r="A51" s="30">
        <v>13</v>
      </c>
      <c r="B51" s="67" t="s">
        <v>60</v>
      </c>
      <c r="C51" s="68" t="s">
        <v>120</v>
      </c>
      <c r="D51" s="67" t="s">
        <v>168</v>
      </c>
      <c r="E51" s="50">
        <v>2872.4</v>
      </c>
      <c r="F51" s="69">
        <f>SUM(E51*5/1000)</f>
        <v>14.362</v>
      </c>
      <c r="G51" s="13">
        <v>1297.28</v>
      </c>
      <c r="H51" s="70">
        <f t="shared" si="4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22" ht="31.5" hidden="1" customHeight="1">
      <c r="A52" s="30"/>
      <c r="B52" s="67" t="s">
        <v>129</v>
      </c>
      <c r="C52" s="68" t="s">
        <v>120</v>
      </c>
      <c r="D52" s="67" t="s">
        <v>44</v>
      </c>
      <c r="E52" s="50">
        <v>2872.4</v>
      </c>
      <c r="F52" s="69">
        <f>SUM(E52*2/1000)</f>
        <v>5.7448000000000006</v>
      </c>
      <c r="G52" s="13">
        <v>1297.28</v>
      </c>
      <c r="H52" s="70">
        <f t="shared" si="4"/>
        <v>7.4526141440000009</v>
      </c>
      <c r="I52" s="13">
        <v>0</v>
      </c>
      <c r="J52" s="24"/>
      <c r="L52" s="20"/>
      <c r="M52" s="21"/>
      <c r="N52" s="22"/>
    </row>
    <row r="53" spans="1:22" ht="31.5" hidden="1" customHeight="1">
      <c r="A53" s="30"/>
      <c r="B53" s="67" t="s">
        <v>130</v>
      </c>
      <c r="C53" s="68" t="s">
        <v>40</v>
      </c>
      <c r="D53" s="67" t="s">
        <v>44</v>
      </c>
      <c r="E53" s="50">
        <v>40</v>
      </c>
      <c r="F53" s="69">
        <f>SUM(E53*2/100)</f>
        <v>0.8</v>
      </c>
      <c r="G53" s="13">
        <v>2918.89</v>
      </c>
      <c r="H53" s="70">
        <f t="shared" si="4"/>
        <v>2.3351120000000001</v>
      </c>
      <c r="I53" s="13">
        <v>0</v>
      </c>
      <c r="J53" s="24"/>
      <c r="L53" s="20"/>
      <c r="M53" s="21"/>
      <c r="N53" s="22"/>
    </row>
    <row r="54" spans="1:22" ht="15.75" hidden="1" customHeight="1">
      <c r="A54" s="30"/>
      <c r="B54" s="67" t="s">
        <v>41</v>
      </c>
      <c r="C54" s="68" t="s">
        <v>42</v>
      </c>
      <c r="D54" s="67" t="s">
        <v>44</v>
      </c>
      <c r="E54" s="50">
        <v>1</v>
      </c>
      <c r="F54" s="69">
        <v>0.02</v>
      </c>
      <c r="G54" s="13">
        <v>6042.12</v>
      </c>
      <c r="H54" s="70">
        <f t="shared" si="4"/>
        <v>0.1208424</v>
      </c>
      <c r="I54" s="13">
        <v>0</v>
      </c>
      <c r="J54" s="24"/>
      <c r="L54" s="20"/>
      <c r="M54" s="21"/>
      <c r="N54" s="22"/>
    </row>
    <row r="55" spans="1:22" ht="15.75" hidden="1" customHeight="1">
      <c r="A55" s="30">
        <v>15</v>
      </c>
      <c r="B55" s="67" t="s">
        <v>43</v>
      </c>
      <c r="C55" s="68" t="s">
        <v>31</v>
      </c>
      <c r="D55" s="67" t="s">
        <v>75</v>
      </c>
      <c r="E55" s="50">
        <v>160</v>
      </c>
      <c r="F55" s="69">
        <f>SUM(E55)*3</f>
        <v>480</v>
      </c>
      <c r="G55" s="13">
        <v>70.209999999999994</v>
      </c>
      <c r="H55" s="70">
        <f t="shared" si="4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22" ht="15.75" customHeight="1">
      <c r="A56" s="144" t="s">
        <v>150</v>
      </c>
      <c r="B56" s="145"/>
      <c r="C56" s="145"/>
      <c r="D56" s="145"/>
      <c r="E56" s="145"/>
      <c r="F56" s="145"/>
      <c r="G56" s="145"/>
      <c r="H56" s="145"/>
      <c r="I56" s="146"/>
      <c r="J56" s="24"/>
      <c r="L56" s="20"/>
      <c r="M56" s="21"/>
      <c r="N56" s="22"/>
    </row>
    <row r="57" spans="1:22" ht="15.75" hidden="1" customHeight="1">
      <c r="A57" s="30"/>
      <c r="B57" s="89" t="s">
        <v>45</v>
      </c>
      <c r="C57" s="68"/>
      <c r="D57" s="67"/>
      <c r="E57" s="50"/>
      <c r="F57" s="69"/>
      <c r="G57" s="69"/>
      <c r="H57" s="70"/>
      <c r="I57" s="13"/>
      <c r="J57" s="24"/>
      <c r="L57" s="20"/>
      <c r="M57" s="21"/>
      <c r="N57" s="22"/>
    </row>
    <row r="58" spans="1:22" ht="31.5" hidden="1" customHeight="1">
      <c r="A58" s="30">
        <v>14</v>
      </c>
      <c r="B58" s="67" t="s">
        <v>132</v>
      </c>
      <c r="C58" s="68" t="s">
        <v>111</v>
      </c>
      <c r="D58" s="67" t="s">
        <v>76</v>
      </c>
      <c r="E58" s="50">
        <v>239.59</v>
      </c>
      <c r="F58" s="69">
        <f>E58*6/100</f>
        <v>14.375399999999999</v>
      </c>
      <c r="G58" s="76">
        <v>1654.04</v>
      </c>
      <c r="H58" s="70">
        <f>F58*G58/1000</f>
        <v>23.777486615999997</v>
      </c>
      <c r="I58" s="13">
        <v>0</v>
      </c>
      <c r="J58" s="24"/>
      <c r="L58" s="20"/>
      <c r="M58" s="21"/>
      <c r="N58" s="22"/>
    </row>
    <row r="59" spans="1:22" ht="15.75" customHeight="1">
      <c r="A59" s="30"/>
      <c r="B59" s="90" t="s">
        <v>46</v>
      </c>
      <c r="C59" s="77"/>
      <c r="D59" s="78"/>
      <c r="E59" s="79"/>
      <c r="F59" s="81"/>
      <c r="G59" s="13"/>
      <c r="H59" s="83"/>
      <c r="I59" s="13"/>
      <c r="J59" s="24"/>
      <c r="L59" s="20"/>
      <c r="M59" s="21"/>
      <c r="N59" s="22"/>
    </row>
    <row r="60" spans="1:22" ht="15.75" hidden="1" customHeight="1">
      <c r="A60" s="30"/>
      <c r="B60" s="78" t="s">
        <v>47</v>
      </c>
      <c r="C60" s="77" t="s">
        <v>56</v>
      </c>
      <c r="D60" s="78" t="s">
        <v>57</v>
      </c>
      <c r="E60" s="79">
        <v>2686</v>
      </c>
      <c r="F60" s="81">
        <f>E60/100</f>
        <v>26.86</v>
      </c>
      <c r="G60" s="13">
        <v>848.37</v>
      </c>
      <c r="H60" s="83">
        <f>G60*F60/1000</f>
        <v>22.787218199999998</v>
      </c>
      <c r="I60" s="13">
        <v>0</v>
      </c>
      <c r="J60" s="24"/>
      <c r="L60" s="20"/>
    </row>
    <row r="61" spans="1:22" ht="15.75" customHeight="1">
      <c r="A61" s="30">
        <v>14</v>
      </c>
      <c r="B61" s="105" t="s">
        <v>103</v>
      </c>
      <c r="C61" s="106" t="s">
        <v>25</v>
      </c>
      <c r="D61" s="105" t="s">
        <v>30</v>
      </c>
      <c r="E61" s="107">
        <v>200</v>
      </c>
      <c r="F61" s="108">
        <v>4116</v>
      </c>
      <c r="G61" s="109">
        <v>1.2</v>
      </c>
      <c r="H61" s="83">
        <f>F61*G61</f>
        <v>4939.2</v>
      </c>
      <c r="I61" s="13">
        <f>F61/12*G61</f>
        <v>411.59999999999997</v>
      </c>
    </row>
    <row r="62" spans="1:22" ht="15.75" hidden="1" customHeight="1">
      <c r="A62" s="30"/>
      <c r="B62" s="90" t="s">
        <v>144</v>
      </c>
      <c r="C62" s="77"/>
      <c r="D62" s="78"/>
      <c r="E62" s="79"/>
      <c r="F62" s="81"/>
      <c r="G62" s="13"/>
      <c r="H62" s="83"/>
      <c r="I62" s="13"/>
    </row>
    <row r="63" spans="1:22" ht="15.75" hidden="1" customHeight="1">
      <c r="A63" s="30"/>
      <c r="B63" s="78" t="s">
        <v>145</v>
      </c>
      <c r="C63" s="77" t="s">
        <v>31</v>
      </c>
      <c r="D63" s="78" t="s">
        <v>71</v>
      </c>
      <c r="E63" s="79">
        <v>3</v>
      </c>
      <c r="F63" s="80">
        <v>3</v>
      </c>
      <c r="G63" s="82">
        <v>254.16</v>
      </c>
      <c r="H63" s="81">
        <v>0.76200000000000001</v>
      </c>
      <c r="I63" s="13">
        <v>0</v>
      </c>
    </row>
    <row r="64" spans="1:22" ht="15.75" hidden="1" customHeight="1">
      <c r="A64" s="30"/>
      <c r="B64" s="90" t="s">
        <v>48</v>
      </c>
      <c r="C64" s="77"/>
      <c r="D64" s="78"/>
      <c r="E64" s="79"/>
      <c r="F64" s="80"/>
      <c r="G64" s="80"/>
      <c r="H64" s="81" t="s">
        <v>139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0"/>
      <c r="B65" s="14" t="s">
        <v>49</v>
      </c>
      <c r="C65" s="16" t="s">
        <v>131</v>
      </c>
      <c r="D65" s="78" t="s">
        <v>71</v>
      </c>
      <c r="E65" s="19">
        <v>15</v>
      </c>
      <c r="F65" s="69">
        <v>15</v>
      </c>
      <c r="G65" s="13">
        <v>237.74</v>
      </c>
      <c r="H65" s="84">
        <f t="shared" ref="H65:H78" si="5">SUM(F65*G65/1000)</f>
        <v>3.5661000000000005</v>
      </c>
      <c r="I65" s="13">
        <v>0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14" t="s">
        <v>50</v>
      </c>
      <c r="C66" s="16" t="s">
        <v>131</v>
      </c>
      <c r="D66" s="78" t="s">
        <v>71</v>
      </c>
      <c r="E66" s="19">
        <v>5</v>
      </c>
      <c r="F66" s="69">
        <v>5</v>
      </c>
      <c r="G66" s="13">
        <v>81.510000000000005</v>
      </c>
      <c r="H66" s="84">
        <f t="shared" si="5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14" t="s">
        <v>51</v>
      </c>
      <c r="C67" s="16" t="s">
        <v>133</v>
      </c>
      <c r="D67" s="14" t="s">
        <v>57</v>
      </c>
      <c r="E67" s="50">
        <v>24123</v>
      </c>
      <c r="F67" s="13">
        <f>SUM(E67/100)</f>
        <v>241.23</v>
      </c>
      <c r="G67" s="13">
        <v>226.79</v>
      </c>
      <c r="H67" s="84">
        <f t="shared" si="5"/>
        <v>54.708551699999994</v>
      </c>
      <c r="I67" s="13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140"/>
      <c r="S67" s="140"/>
      <c r="T67" s="140"/>
      <c r="U67" s="140"/>
    </row>
    <row r="68" spans="1:21" ht="15.75" hidden="1" customHeight="1">
      <c r="A68" s="30"/>
      <c r="B68" s="14" t="s">
        <v>52</v>
      </c>
      <c r="C68" s="16" t="s">
        <v>134</v>
      </c>
      <c r="D68" s="14"/>
      <c r="E68" s="50">
        <v>24123</v>
      </c>
      <c r="F68" s="13">
        <f>SUM(E68/1000)</f>
        <v>24.123000000000001</v>
      </c>
      <c r="G68" s="13">
        <v>176.61</v>
      </c>
      <c r="H68" s="84">
        <f t="shared" si="5"/>
        <v>4.2603630300000006</v>
      </c>
      <c r="I68" s="13">
        <f t="shared" ref="I68:I72" si="6">F68*G68</f>
        <v>4260.3630300000004</v>
      </c>
    </row>
    <row r="69" spans="1:21" ht="15.75" hidden="1" customHeight="1">
      <c r="A69" s="30"/>
      <c r="B69" s="14" t="s">
        <v>53</v>
      </c>
      <c r="C69" s="16" t="s">
        <v>81</v>
      </c>
      <c r="D69" s="14" t="s">
        <v>57</v>
      </c>
      <c r="E69" s="50">
        <v>2730</v>
      </c>
      <c r="F69" s="13">
        <f>SUM(E69/100)</f>
        <v>27.3</v>
      </c>
      <c r="G69" s="13">
        <v>2217.7800000000002</v>
      </c>
      <c r="H69" s="84">
        <f t="shared" si="5"/>
        <v>60.545394000000009</v>
      </c>
      <c r="I69" s="13">
        <f t="shared" si="6"/>
        <v>60545.394000000008</v>
      </c>
    </row>
    <row r="70" spans="1:21" ht="15.75" hidden="1" customHeight="1">
      <c r="A70" s="30"/>
      <c r="B70" s="85" t="s">
        <v>135</v>
      </c>
      <c r="C70" s="16" t="s">
        <v>34</v>
      </c>
      <c r="D70" s="14"/>
      <c r="E70" s="50">
        <v>23</v>
      </c>
      <c r="F70" s="13">
        <f>SUM(E70)</f>
        <v>23</v>
      </c>
      <c r="G70" s="13">
        <v>42.67</v>
      </c>
      <c r="H70" s="84">
        <f t="shared" si="5"/>
        <v>0.98141000000000012</v>
      </c>
      <c r="I70" s="13">
        <f t="shared" si="6"/>
        <v>981.41000000000008</v>
      </c>
    </row>
    <row r="71" spans="1:21" ht="15.75" hidden="1" customHeight="1">
      <c r="A71" s="30"/>
      <c r="B71" s="85" t="s">
        <v>136</v>
      </c>
      <c r="C71" s="16" t="s">
        <v>34</v>
      </c>
      <c r="D71" s="14"/>
      <c r="E71" s="50">
        <v>23</v>
      </c>
      <c r="F71" s="13">
        <f>SUM(E71)</f>
        <v>23</v>
      </c>
      <c r="G71" s="13">
        <v>39.81</v>
      </c>
      <c r="H71" s="84">
        <f t="shared" si="5"/>
        <v>0.91563000000000005</v>
      </c>
      <c r="I71" s="13">
        <f t="shared" si="6"/>
        <v>915.63000000000011</v>
      </c>
    </row>
    <row r="72" spans="1:21" ht="15.75" hidden="1" customHeight="1">
      <c r="A72" s="30"/>
      <c r="B72" s="14" t="s">
        <v>61</v>
      </c>
      <c r="C72" s="16" t="s">
        <v>62</v>
      </c>
      <c r="D72" s="14" t="s">
        <v>57</v>
      </c>
      <c r="E72" s="19">
        <v>10</v>
      </c>
      <c r="F72" s="69">
        <f>SUM(E72)</f>
        <v>10</v>
      </c>
      <c r="G72" s="13">
        <v>53.32</v>
      </c>
      <c r="H72" s="84">
        <f t="shared" si="5"/>
        <v>0.53320000000000001</v>
      </c>
      <c r="I72" s="13">
        <f t="shared" si="6"/>
        <v>533.20000000000005</v>
      </c>
    </row>
    <row r="73" spans="1:21" ht="15.75" customHeight="1">
      <c r="A73" s="30"/>
      <c r="B73" s="57" t="s">
        <v>77</v>
      </c>
      <c r="C73" s="16"/>
      <c r="D73" s="14"/>
      <c r="E73" s="19"/>
      <c r="F73" s="13"/>
      <c r="G73" s="13"/>
      <c r="H73" s="84" t="s">
        <v>139</v>
      </c>
      <c r="I73" s="13"/>
    </row>
    <row r="74" spans="1:21" ht="15.75" customHeight="1">
      <c r="A74" s="30">
        <v>15</v>
      </c>
      <c r="B74" s="14" t="s">
        <v>78</v>
      </c>
      <c r="C74" s="16" t="s">
        <v>32</v>
      </c>
      <c r="D74" s="14"/>
      <c r="E74" s="19">
        <v>2</v>
      </c>
      <c r="F74" s="61">
        <v>0.2</v>
      </c>
      <c r="G74" s="13">
        <v>536.23</v>
      </c>
      <c r="H74" s="84">
        <v>0.251</v>
      </c>
      <c r="I74" s="13">
        <f>G74*1.8</f>
        <v>965.21400000000006</v>
      </c>
    </row>
    <row r="75" spans="1:21" ht="15.75" hidden="1" customHeight="1">
      <c r="A75" s="30"/>
      <c r="B75" s="14" t="s">
        <v>94</v>
      </c>
      <c r="C75" s="16" t="s">
        <v>31</v>
      </c>
      <c r="D75" s="14"/>
      <c r="E75" s="19">
        <v>1</v>
      </c>
      <c r="F75" s="69">
        <f>SUM(E75)</f>
        <v>1</v>
      </c>
      <c r="G75" s="13">
        <v>383.25</v>
      </c>
      <c r="H75" s="84">
        <f t="shared" si="5"/>
        <v>0.38324999999999998</v>
      </c>
      <c r="I75" s="13">
        <v>0</v>
      </c>
    </row>
    <row r="76" spans="1:21" ht="15.75" hidden="1" customHeight="1">
      <c r="A76" s="30"/>
      <c r="B76" s="14" t="s">
        <v>79</v>
      </c>
      <c r="C76" s="16" t="s">
        <v>31</v>
      </c>
      <c r="D76" s="14"/>
      <c r="E76" s="19">
        <v>2</v>
      </c>
      <c r="F76" s="13">
        <v>2</v>
      </c>
      <c r="G76" s="13">
        <v>911.85</v>
      </c>
      <c r="H76" s="84">
        <f>F76*G76/1000</f>
        <v>1.8237000000000001</v>
      </c>
      <c r="I76" s="13">
        <v>0</v>
      </c>
    </row>
    <row r="77" spans="1:21" ht="15.75" hidden="1" customHeight="1">
      <c r="A77" s="30"/>
      <c r="B77" s="86" t="s">
        <v>80</v>
      </c>
      <c r="C77" s="16"/>
      <c r="D77" s="14"/>
      <c r="E77" s="19"/>
      <c r="F77" s="13"/>
      <c r="G77" s="13" t="s">
        <v>139</v>
      </c>
      <c r="H77" s="84" t="s">
        <v>139</v>
      </c>
      <c r="I77" s="13"/>
    </row>
    <row r="78" spans="1:21" ht="15.75" hidden="1" customHeight="1">
      <c r="A78" s="30"/>
      <c r="B78" s="45" t="s">
        <v>140</v>
      </c>
      <c r="C78" s="16" t="s">
        <v>81</v>
      </c>
      <c r="D78" s="14"/>
      <c r="E78" s="19"/>
      <c r="F78" s="13">
        <v>1.35</v>
      </c>
      <c r="G78" s="13">
        <v>2949.85</v>
      </c>
      <c r="H78" s="84">
        <f t="shared" si="5"/>
        <v>3.9822975</v>
      </c>
      <c r="I78" s="13">
        <v>0</v>
      </c>
    </row>
    <row r="79" spans="1:21" ht="15.75" customHeight="1">
      <c r="A79" s="30"/>
      <c r="B79" s="72" t="s">
        <v>137</v>
      </c>
      <c r="C79" s="86"/>
      <c r="D79" s="32"/>
      <c r="E79" s="33"/>
      <c r="F79" s="73"/>
      <c r="G79" s="73"/>
      <c r="H79" s="87">
        <f>SUM(H58:H78)</f>
        <v>5118.885151045999</v>
      </c>
      <c r="I79" s="73"/>
    </row>
    <row r="80" spans="1:21" ht="15.75" customHeight="1">
      <c r="A80" s="30">
        <v>16</v>
      </c>
      <c r="B80" s="67" t="s">
        <v>138</v>
      </c>
      <c r="C80" s="16"/>
      <c r="D80" s="14"/>
      <c r="E80" s="62"/>
      <c r="F80" s="13">
        <v>1</v>
      </c>
      <c r="G80" s="36">
        <v>22218.400000000001</v>
      </c>
      <c r="H80" s="84">
        <f>G80*F80/1000</f>
        <v>22.218400000000003</v>
      </c>
      <c r="I80" s="13">
        <v>5810.4</v>
      </c>
    </row>
    <row r="81" spans="1:9" ht="15.75" customHeight="1">
      <c r="A81" s="153" t="s">
        <v>151</v>
      </c>
      <c r="B81" s="154"/>
      <c r="C81" s="154"/>
      <c r="D81" s="154"/>
      <c r="E81" s="154"/>
      <c r="F81" s="154"/>
      <c r="G81" s="154"/>
      <c r="H81" s="154"/>
      <c r="I81" s="155"/>
    </row>
    <row r="82" spans="1:9" ht="15.75" customHeight="1">
      <c r="A82" s="30">
        <v>17</v>
      </c>
      <c r="B82" s="67" t="s">
        <v>141</v>
      </c>
      <c r="C82" s="16" t="s">
        <v>58</v>
      </c>
      <c r="D82" s="88" t="s">
        <v>59</v>
      </c>
      <c r="E82" s="13">
        <v>4591.2</v>
      </c>
      <c r="F82" s="13">
        <f>SUM(E82*12)</f>
        <v>55094.399999999994</v>
      </c>
      <c r="G82" s="13">
        <v>2.54</v>
      </c>
      <c r="H82" s="84">
        <f>SUM(F82*G82/1000)</f>
        <v>139.93977599999999</v>
      </c>
      <c r="I82" s="13">
        <f>F82/12*G82</f>
        <v>11661.647999999999</v>
      </c>
    </row>
    <row r="83" spans="1:9" ht="31.5" customHeight="1">
      <c r="A83" s="30">
        <v>18</v>
      </c>
      <c r="B83" s="14" t="s">
        <v>82</v>
      </c>
      <c r="C83" s="16"/>
      <c r="D83" s="88" t="s">
        <v>59</v>
      </c>
      <c r="E83" s="50">
        <f>E82</f>
        <v>4591.2</v>
      </c>
      <c r="F83" s="13">
        <f>E83*12</f>
        <v>55094.399999999994</v>
      </c>
      <c r="G83" s="13">
        <v>2.0499999999999998</v>
      </c>
      <c r="H83" s="84">
        <f>F83*G83/1000</f>
        <v>112.94351999999998</v>
      </c>
      <c r="I83" s="13">
        <f>F83/12*G83</f>
        <v>9411.9599999999991</v>
      </c>
    </row>
    <row r="84" spans="1:9" ht="15.75" customHeight="1">
      <c r="A84" s="46"/>
      <c r="B84" s="37" t="s">
        <v>85</v>
      </c>
      <c r="C84" s="38"/>
      <c r="D84" s="15"/>
      <c r="E84" s="15"/>
      <c r="F84" s="15"/>
      <c r="G84" s="19"/>
      <c r="H84" s="19"/>
      <c r="I84" s="33">
        <f>I83+I82+I80+I74+I61+I51+I44+I43+I42+I41+I39+I38+I27+I26+I20+I18+I17+I16</f>
        <v>91409.326932249998</v>
      </c>
    </row>
    <row r="85" spans="1:9" ht="15.75" customHeight="1">
      <c r="A85" s="150" t="s">
        <v>64</v>
      </c>
      <c r="B85" s="151"/>
      <c r="C85" s="151"/>
      <c r="D85" s="151"/>
      <c r="E85" s="151"/>
      <c r="F85" s="151"/>
      <c r="G85" s="151"/>
      <c r="H85" s="151"/>
      <c r="I85" s="152"/>
    </row>
    <row r="86" spans="1:9" ht="31.5" customHeight="1">
      <c r="A86" s="30">
        <v>19</v>
      </c>
      <c r="B86" s="98" t="s">
        <v>185</v>
      </c>
      <c r="C86" s="99" t="s">
        <v>99</v>
      </c>
      <c r="D86" s="101"/>
      <c r="E86" s="35"/>
      <c r="F86" s="35">
        <v>5</v>
      </c>
      <c r="G86" s="35">
        <v>1078.9000000000001</v>
      </c>
      <c r="H86" s="100">
        <f t="shared" ref="H86:H93" si="7">G86*F86/1000</f>
        <v>5.3944999999999999</v>
      </c>
      <c r="I86" s="13">
        <f>G86*2</f>
        <v>2157.8000000000002</v>
      </c>
    </row>
    <row r="87" spans="1:9" ht="15.75" customHeight="1">
      <c r="A87" s="30">
        <v>20</v>
      </c>
      <c r="B87" s="49" t="s">
        <v>186</v>
      </c>
      <c r="C87" s="51" t="s">
        <v>131</v>
      </c>
      <c r="D87" s="103"/>
      <c r="E87" s="18"/>
      <c r="F87" s="35">
        <v>4</v>
      </c>
      <c r="G87" s="35">
        <v>140</v>
      </c>
      <c r="H87" s="100">
        <f t="shared" si="7"/>
        <v>0.56000000000000005</v>
      </c>
      <c r="I87" s="13">
        <f t="shared" ref="I87:I89" si="8">G87*2</f>
        <v>280</v>
      </c>
    </row>
    <row r="88" spans="1:9" ht="15.75" customHeight="1">
      <c r="A88" s="30">
        <v>21</v>
      </c>
      <c r="B88" s="49" t="s">
        <v>189</v>
      </c>
      <c r="C88" s="51" t="s">
        <v>131</v>
      </c>
      <c r="D88" s="103"/>
      <c r="E88" s="18"/>
      <c r="F88" s="35">
        <v>3</v>
      </c>
      <c r="G88" s="35">
        <v>70</v>
      </c>
      <c r="H88" s="100">
        <f t="shared" si="7"/>
        <v>0.21</v>
      </c>
      <c r="I88" s="13">
        <f t="shared" si="8"/>
        <v>140</v>
      </c>
    </row>
    <row r="89" spans="1:9" ht="15.75" customHeight="1">
      <c r="A89" s="30">
        <v>22</v>
      </c>
      <c r="B89" s="98" t="s">
        <v>190</v>
      </c>
      <c r="C89" s="99" t="s">
        <v>131</v>
      </c>
      <c r="D89" s="45"/>
      <c r="E89" s="35"/>
      <c r="F89" s="35">
        <v>3</v>
      </c>
      <c r="G89" s="35">
        <v>108</v>
      </c>
      <c r="H89" s="100">
        <f t="shared" si="7"/>
        <v>0.32400000000000001</v>
      </c>
      <c r="I89" s="13">
        <f t="shared" si="8"/>
        <v>216</v>
      </c>
    </row>
    <row r="90" spans="1:9" ht="31.5" customHeight="1">
      <c r="A90" s="30">
        <v>23</v>
      </c>
      <c r="B90" s="98" t="s">
        <v>191</v>
      </c>
      <c r="C90" s="99" t="s">
        <v>99</v>
      </c>
      <c r="D90" s="101"/>
      <c r="E90" s="35"/>
      <c r="F90" s="35">
        <v>1</v>
      </c>
      <c r="G90" s="35">
        <v>755.74</v>
      </c>
      <c r="H90" s="100">
        <f t="shared" si="7"/>
        <v>0.75573999999999997</v>
      </c>
      <c r="I90" s="13">
        <f>G90</f>
        <v>755.74</v>
      </c>
    </row>
    <row r="91" spans="1:9" ht="15.75" customHeight="1">
      <c r="A91" s="30">
        <v>24</v>
      </c>
      <c r="B91" s="49" t="s">
        <v>184</v>
      </c>
      <c r="C91" s="51" t="s">
        <v>131</v>
      </c>
      <c r="D91" s="101"/>
      <c r="E91" s="35"/>
      <c r="F91" s="35">
        <v>1</v>
      </c>
      <c r="G91" s="35">
        <v>62</v>
      </c>
      <c r="H91" s="100">
        <f t="shared" si="7"/>
        <v>6.2E-2</v>
      </c>
      <c r="I91" s="13">
        <f t="shared" ref="I91:I95" si="9">G91</f>
        <v>62</v>
      </c>
    </row>
    <row r="92" spans="1:9" ht="15.75" customHeight="1">
      <c r="A92" s="30">
        <v>25</v>
      </c>
      <c r="B92" s="98" t="s">
        <v>202</v>
      </c>
      <c r="C92" s="99" t="s">
        <v>131</v>
      </c>
      <c r="D92" s="45"/>
      <c r="E92" s="35"/>
      <c r="F92" s="35">
        <v>1</v>
      </c>
      <c r="G92" s="35">
        <v>45</v>
      </c>
      <c r="H92" s="100">
        <f>G92*F92/1000</f>
        <v>4.4999999999999998E-2</v>
      </c>
      <c r="I92" s="13">
        <f t="shared" si="9"/>
        <v>45</v>
      </c>
    </row>
    <row r="93" spans="1:9" ht="15.75" customHeight="1">
      <c r="A93" s="30">
        <v>26</v>
      </c>
      <c r="B93" s="49" t="s">
        <v>188</v>
      </c>
      <c r="C93" s="51" t="s">
        <v>131</v>
      </c>
      <c r="D93" s="103"/>
      <c r="E93" s="18"/>
      <c r="F93" s="35">
        <v>1</v>
      </c>
      <c r="G93" s="35">
        <v>42</v>
      </c>
      <c r="H93" s="100">
        <f t="shared" si="7"/>
        <v>4.2000000000000003E-2</v>
      </c>
      <c r="I93" s="13">
        <f t="shared" si="9"/>
        <v>42</v>
      </c>
    </row>
    <row r="94" spans="1:9" ht="15.75" customHeight="1">
      <c r="A94" s="30">
        <v>27</v>
      </c>
      <c r="B94" s="49" t="s">
        <v>200</v>
      </c>
      <c r="C94" s="51" t="s">
        <v>131</v>
      </c>
      <c r="D94" s="101"/>
      <c r="E94" s="35"/>
      <c r="F94" s="35">
        <v>2</v>
      </c>
      <c r="G94" s="35">
        <v>16</v>
      </c>
      <c r="H94" s="100">
        <f>G94*F94/1000</f>
        <v>3.2000000000000001E-2</v>
      </c>
      <c r="I94" s="13">
        <f>G94*2</f>
        <v>32</v>
      </c>
    </row>
    <row r="95" spans="1:9" ht="15.75" customHeight="1">
      <c r="A95" s="30">
        <v>28</v>
      </c>
      <c r="B95" s="98" t="s">
        <v>87</v>
      </c>
      <c r="C95" s="99" t="s">
        <v>131</v>
      </c>
      <c r="D95" s="101"/>
      <c r="E95" s="35"/>
      <c r="F95" s="35">
        <v>1</v>
      </c>
      <c r="G95" s="35">
        <v>197.48</v>
      </c>
      <c r="H95" s="100">
        <f>G95*F95/1000</f>
        <v>0.19747999999999999</v>
      </c>
      <c r="I95" s="13">
        <f t="shared" si="9"/>
        <v>197.48</v>
      </c>
    </row>
    <row r="96" spans="1:9" ht="31.5" customHeight="1">
      <c r="A96" s="30">
        <v>29</v>
      </c>
      <c r="B96" s="98" t="s">
        <v>201</v>
      </c>
      <c r="C96" s="99" t="s">
        <v>104</v>
      </c>
      <c r="D96" s="103"/>
      <c r="E96" s="18"/>
      <c r="F96" s="35">
        <f>0.5/10</f>
        <v>0.05</v>
      </c>
      <c r="G96" s="35">
        <v>10688.06</v>
      </c>
      <c r="H96" s="100">
        <f>G96*F96/1000</f>
        <v>0.53440300000000007</v>
      </c>
      <c r="I96" s="13">
        <f>G96*F96</f>
        <v>534.40300000000002</v>
      </c>
    </row>
    <row r="97" spans="1:9" ht="15.75" customHeight="1">
      <c r="A97" s="30"/>
      <c r="B97" s="43" t="s">
        <v>54</v>
      </c>
      <c r="C97" s="39"/>
      <c r="D97" s="47"/>
      <c r="E97" s="39">
        <v>1</v>
      </c>
      <c r="F97" s="39"/>
      <c r="G97" s="39"/>
      <c r="H97" s="39"/>
      <c r="I97" s="33">
        <f>SUM(I86:I96)</f>
        <v>4462.4229999999998</v>
      </c>
    </row>
    <row r="98" spans="1:9" ht="15.75" customHeight="1">
      <c r="A98" s="30"/>
      <c r="B98" s="45" t="s">
        <v>83</v>
      </c>
      <c r="C98" s="15"/>
      <c r="D98" s="15"/>
      <c r="E98" s="40"/>
      <c r="F98" s="40"/>
      <c r="G98" s="41"/>
      <c r="H98" s="41"/>
      <c r="I98" s="18">
        <v>0</v>
      </c>
    </row>
    <row r="99" spans="1:9" ht="15.75" customHeight="1">
      <c r="A99" s="48"/>
      <c r="B99" s="44" t="s">
        <v>198</v>
      </c>
      <c r="C99" s="34"/>
      <c r="D99" s="34"/>
      <c r="E99" s="34"/>
      <c r="F99" s="34"/>
      <c r="G99" s="34"/>
      <c r="H99" s="34"/>
      <c r="I99" s="42">
        <f>I84+I97</f>
        <v>95871.749932249993</v>
      </c>
    </row>
    <row r="100" spans="1:9" ht="15.75" customHeight="1">
      <c r="A100" s="147" t="s">
        <v>279</v>
      </c>
      <c r="B100" s="147"/>
      <c r="C100" s="147"/>
      <c r="D100" s="147"/>
      <c r="E100" s="147"/>
      <c r="F100" s="147"/>
      <c r="G100" s="147"/>
      <c r="H100" s="147"/>
      <c r="I100" s="147"/>
    </row>
    <row r="101" spans="1:9" ht="15.75" customHeight="1">
      <c r="A101" s="58"/>
      <c r="B101" s="148" t="s">
        <v>280</v>
      </c>
      <c r="C101" s="148"/>
      <c r="D101" s="148"/>
      <c r="E101" s="148"/>
      <c r="F101" s="148"/>
      <c r="G101" s="148"/>
      <c r="H101" s="66"/>
      <c r="I101" s="3"/>
    </row>
    <row r="102" spans="1:9" ht="15.75" customHeight="1">
      <c r="A102" s="52"/>
      <c r="B102" s="138" t="s">
        <v>6</v>
      </c>
      <c r="C102" s="138"/>
      <c r="D102" s="138"/>
      <c r="E102" s="138"/>
      <c r="F102" s="138"/>
      <c r="G102" s="138"/>
      <c r="H102" s="25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149" t="s">
        <v>7</v>
      </c>
      <c r="B104" s="149"/>
      <c r="C104" s="149"/>
      <c r="D104" s="149"/>
      <c r="E104" s="149"/>
      <c r="F104" s="149"/>
      <c r="G104" s="149"/>
      <c r="H104" s="149"/>
      <c r="I104" s="149"/>
    </row>
    <row r="105" spans="1:9" ht="15.75" customHeight="1">
      <c r="A105" s="149" t="s">
        <v>8</v>
      </c>
      <c r="B105" s="149"/>
      <c r="C105" s="149"/>
      <c r="D105" s="149"/>
      <c r="E105" s="149"/>
      <c r="F105" s="149"/>
      <c r="G105" s="149"/>
      <c r="H105" s="149"/>
      <c r="I105" s="149"/>
    </row>
    <row r="106" spans="1:9" ht="15.75" customHeight="1">
      <c r="A106" s="142" t="s">
        <v>65</v>
      </c>
      <c r="B106" s="142"/>
      <c r="C106" s="142"/>
      <c r="D106" s="142"/>
      <c r="E106" s="142"/>
      <c r="F106" s="142"/>
      <c r="G106" s="142"/>
      <c r="H106" s="142"/>
      <c r="I106" s="142"/>
    </row>
    <row r="107" spans="1:9" ht="15.75" customHeight="1">
      <c r="A107" s="11"/>
    </row>
    <row r="108" spans="1:9" ht="15.75" customHeight="1">
      <c r="A108" s="136" t="s">
        <v>9</v>
      </c>
      <c r="B108" s="136"/>
      <c r="C108" s="136"/>
      <c r="D108" s="136"/>
      <c r="E108" s="136"/>
      <c r="F108" s="136"/>
      <c r="G108" s="136"/>
      <c r="H108" s="136"/>
      <c r="I108" s="136"/>
    </row>
    <row r="109" spans="1:9" ht="15.75" customHeight="1">
      <c r="A109" s="4"/>
    </row>
    <row r="110" spans="1:9" ht="15.75" customHeight="1">
      <c r="B110" s="55" t="s">
        <v>10</v>
      </c>
      <c r="C110" s="137" t="s">
        <v>95</v>
      </c>
      <c r="D110" s="137"/>
      <c r="E110" s="137"/>
      <c r="F110" s="64"/>
      <c r="I110" s="54"/>
    </row>
    <row r="111" spans="1:9" ht="15.75" customHeight="1">
      <c r="A111" s="52"/>
      <c r="C111" s="138" t="s">
        <v>11</v>
      </c>
      <c r="D111" s="138"/>
      <c r="E111" s="138"/>
      <c r="F111" s="25"/>
      <c r="I111" s="53" t="s">
        <v>12</v>
      </c>
    </row>
    <row r="112" spans="1:9" ht="15.75" customHeight="1">
      <c r="A112" s="26"/>
      <c r="C112" s="12"/>
      <c r="D112" s="12"/>
      <c r="G112" s="12"/>
      <c r="H112" s="12"/>
    </row>
    <row r="113" spans="1:9" ht="15.75" customHeight="1">
      <c r="B113" s="55" t="s">
        <v>13</v>
      </c>
      <c r="C113" s="139"/>
      <c r="D113" s="139"/>
      <c r="E113" s="139"/>
      <c r="F113" s="65"/>
      <c r="I113" s="54"/>
    </row>
    <row r="114" spans="1:9" ht="15.75" customHeight="1">
      <c r="A114" s="52"/>
      <c r="C114" s="140" t="s">
        <v>11</v>
      </c>
      <c r="D114" s="140"/>
      <c r="E114" s="140"/>
      <c r="F114" s="52"/>
      <c r="I114" s="53" t="s">
        <v>12</v>
      </c>
    </row>
    <row r="115" spans="1:9" ht="15.75" customHeight="1">
      <c r="A115" s="4" t="s">
        <v>14</v>
      </c>
    </row>
    <row r="116" spans="1:9" ht="15.75" customHeight="1">
      <c r="A116" s="141" t="s">
        <v>15</v>
      </c>
      <c r="B116" s="141"/>
      <c r="C116" s="141"/>
      <c r="D116" s="141"/>
      <c r="E116" s="141"/>
      <c r="F116" s="141"/>
      <c r="G116" s="141"/>
      <c r="H116" s="141"/>
      <c r="I116" s="141"/>
    </row>
    <row r="117" spans="1:9" ht="45" customHeight="1">
      <c r="A117" s="135" t="s">
        <v>16</v>
      </c>
      <c r="B117" s="135"/>
      <c r="C117" s="135"/>
      <c r="D117" s="135"/>
      <c r="E117" s="135"/>
      <c r="F117" s="135"/>
      <c r="G117" s="135"/>
      <c r="H117" s="135"/>
      <c r="I117" s="135"/>
    </row>
    <row r="118" spans="1:9" ht="30" customHeight="1">
      <c r="A118" s="135" t="s">
        <v>17</v>
      </c>
      <c r="B118" s="135"/>
      <c r="C118" s="135"/>
      <c r="D118" s="135"/>
      <c r="E118" s="135"/>
      <c r="F118" s="135"/>
      <c r="G118" s="135"/>
      <c r="H118" s="135"/>
      <c r="I118" s="135"/>
    </row>
    <row r="119" spans="1:9" ht="30" customHeight="1">
      <c r="A119" s="135" t="s">
        <v>21</v>
      </c>
      <c r="B119" s="135"/>
      <c r="C119" s="135"/>
      <c r="D119" s="135"/>
      <c r="E119" s="135"/>
      <c r="F119" s="135"/>
      <c r="G119" s="135"/>
      <c r="H119" s="135"/>
      <c r="I119" s="135"/>
    </row>
    <row r="120" spans="1:9" ht="15" customHeight="1">
      <c r="A120" s="135" t="s">
        <v>20</v>
      </c>
      <c r="B120" s="135"/>
      <c r="C120" s="135"/>
      <c r="D120" s="135"/>
      <c r="E120" s="135"/>
      <c r="F120" s="135"/>
      <c r="G120" s="135"/>
      <c r="H120" s="135"/>
      <c r="I120" s="135"/>
    </row>
  </sheetData>
  <autoFilter ref="I12:I62"/>
  <mergeCells count="29">
    <mergeCell ref="R67:U67"/>
    <mergeCell ref="A81:I81"/>
    <mergeCell ref="A3:I3"/>
    <mergeCell ref="A4:I4"/>
    <mergeCell ref="A5:I5"/>
    <mergeCell ref="A8:I8"/>
    <mergeCell ref="A10:I10"/>
    <mergeCell ref="A14:I14"/>
    <mergeCell ref="A106:I106"/>
    <mergeCell ref="A15:I15"/>
    <mergeCell ref="A28:I28"/>
    <mergeCell ref="A45:I45"/>
    <mergeCell ref="A56:I56"/>
    <mergeCell ref="A100:I100"/>
    <mergeCell ref="B101:G101"/>
    <mergeCell ref="B102:G102"/>
    <mergeCell ref="A104:I104"/>
    <mergeCell ref="A105:I105"/>
    <mergeCell ref="A85:I85"/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6"/>
  <sheetViews>
    <sheetView topLeftCell="A85" workbookViewId="0">
      <selection activeCell="K101" sqref="K101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91</v>
      </c>
      <c r="I1" s="27"/>
      <c r="J1" s="1"/>
      <c r="K1" s="1"/>
      <c r="L1" s="1"/>
      <c r="M1" s="1"/>
    </row>
    <row r="2" spans="1:13" ht="15.75" customHeight="1">
      <c r="A2" s="29" t="s">
        <v>66</v>
      </c>
      <c r="J2" s="2"/>
      <c r="K2" s="2"/>
      <c r="L2" s="2"/>
      <c r="M2" s="2"/>
    </row>
    <row r="3" spans="1:13" ht="15.75" customHeight="1">
      <c r="A3" s="156" t="s">
        <v>170</v>
      </c>
      <c r="B3" s="156"/>
      <c r="C3" s="156"/>
      <c r="D3" s="156"/>
      <c r="E3" s="156"/>
      <c r="F3" s="156"/>
      <c r="G3" s="156"/>
      <c r="H3" s="156"/>
      <c r="I3" s="156"/>
      <c r="J3" s="3"/>
      <c r="K3" s="3"/>
      <c r="L3" s="3"/>
    </row>
    <row r="4" spans="1:13" ht="31.5" customHeight="1">
      <c r="A4" s="157" t="s">
        <v>142</v>
      </c>
      <c r="B4" s="157"/>
      <c r="C4" s="157"/>
      <c r="D4" s="157"/>
      <c r="E4" s="157"/>
      <c r="F4" s="157"/>
      <c r="G4" s="157"/>
      <c r="H4" s="157"/>
      <c r="I4" s="157"/>
    </row>
    <row r="5" spans="1:13" ht="15.75" customHeight="1">
      <c r="A5" s="156" t="s">
        <v>203</v>
      </c>
      <c r="B5" s="158"/>
      <c r="C5" s="158"/>
      <c r="D5" s="158"/>
      <c r="E5" s="158"/>
      <c r="F5" s="158"/>
      <c r="G5" s="158"/>
      <c r="H5" s="158"/>
      <c r="I5" s="158"/>
      <c r="J5" s="2"/>
      <c r="K5" s="2"/>
      <c r="L5" s="2"/>
      <c r="M5" s="2"/>
    </row>
    <row r="6" spans="1:13" ht="15.75" customHeight="1">
      <c r="A6" s="2"/>
      <c r="B6" s="56"/>
      <c r="C6" s="56"/>
      <c r="D6" s="56"/>
      <c r="E6" s="56"/>
      <c r="F6" s="56"/>
      <c r="G6" s="56"/>
      <c r="H6" s="56"/>
      <c r="I6" s="31">
        <v>43190</v>
      </c>
      <c r="J6" s="2"/>
      <c r="K6" s="2"/>
      <c r="L6" s="2"/>
      <c r="M6" s="2"/>
    </row>
    <row r="7" spans="1:13" ht="15.75" customHeight="1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9" t="s">
        <v>152</v>
      </c>
      <c r="B8" s="159"/>
      <c r="C8" s="159"/>
      <c r="D8" s="159"/>
      <c r="E8" s="159"/>
      <c r="F8" s="159"/>
      <c r="G8" s="159"/>
      <c r="H8" s="159"/>
      <c r="I8" s="15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60" t="s">
        <v>195</v>
      </c>
      <c r="B10" s="160"/>
      <c r="C10" s="160"/>
      <c r="D10" s="160"/>
      <c r="E10" s="160"/>
      <c r="F10" s="160"/>
      <c r="G10" s="160"/>
      <c r="H10" s="160"/>
      <c r="I10" s="16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61" t="s">
        <v>63</v>
      </c>
      <c r="B14" s="161"/>
      <c r="C14" s="161"/>
      <c r="D14" s="161"/>
      <c r="E14" s="161"/>
      <c r="F14" s="161"/>
      <c r="G14" s="161"/>
      <c r="H14" s="161"/>
      <c r="I14" s="161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7" t="s">
        <v>92</v>
      </c>
      <c r="C16" s="68" t="s">
        <v>111</v>
      </c>
      <c r="D16" s="67" t="s">
        <v>112</v>
      </c>
      <c r="E16" s="50">
        <v>127.9</v>
      </c>
      <c r="F16" s="69">
        <f>SUM(E16*156/100)</f>
        <v>199.524</v>
      </c>
      <c r="G16" s="69">
        <v>187.48</v>
      </c>
      <c r="H16" s="70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67" t="s">
        <v>100</v>
      </c>
      <c r="C17" s="68" t="s">
        <v>111</v>
      </c>
      <c r="D17" s="67" t="s">
        <v>166</v>
      </c>
      <c r="E17" s="50">
        <v>511.6</v>
      </c>
      <c r="F17" s="69">
        <f>SUM(E17*104/100)</f>
        <v>532.06399999999996</v>
      </c>
      <c r="G17" s="69">
        <v>185.48</v>
      </c>
      <c r="H17" s="70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67" t="s">
        <v>101</v>
      </c>
      <c r="C18" s="68" t="s">
        <v>111</v>
      </c>
      <c r="D18" s="67" t="s">
        <v>113</v>
      </c>
      <c r="E18" s="50">
        <f>SUM(E16+E17)</f>
        <v>639.5</v>
      </c>
      <c r="F18" s="69">
        <f>SUM(E18*24/100)</f>
        <v>153.47999999999999</v>
      </c>
      <c r="G18" s="69">
        <v>539.30999999999995</v>
      </c>
      <c r="H18" s="70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67" t="s">
        <v>114</v>
      </c>
      <c r="C19" s="68" t="s">
        <v>115</v>
      </c>
      <c r="D19" s="67" t="s">
        <v>116</v>
      </c>
      <c r="E19" s="50">
        <v>38.4</v>
      </c>
      <c r="F19" s="69">
        <f>SUM(E19/10)</f>
        <v>3.84</v>
      </c>
      <c r="G19" s="69">
        <v>181.91</v>
      </c>
      <c r="H19" s="70">
        <f t="shared" si="0"/>
        <v>0.6985344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67" t="s">
        <v>105</v>
      </c>
      <c r="C20" s="68" t="s">
        <v>111</v>
      </c>
      <c r="D20" s="67" t="s">
        <v>30</v>
      </c>
      <c r="E20" s="50">
        <v>58.4</v>
      </c>
      <c r="F20" s="69">
        <f>SUM(E20*12/100)</f>
        <v>7.0079999999999991</v>
      </c>
      <c r="G20" s="69">
        <v>232.92</v>
      </c>
      <c r="H20" s="70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customHeight="1">
      <c r="A21" s="30">
        <v>5</v>
      </c>
      <c r="B21" s="67" t="s">
        <v>106</v>
      </c>
      <c r="C21" s="68" t="s">
        <v>111</v>
      </c>
      <c r="D21" s="67" t="s">
        <v>110</v>
      </c>
      <c r="E21" s="50">
        <v>9.08</v>
      </c>
      <c r="F21" s="69">
        <f>SUM(E21*6/100)</f>
        <v>0.54480000000000006</v>
      </c>
      <c r="G21" s="69">
        <v>231.03</v>
      </c>
      <c r="H21" s="70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67" t="s">
        <v>117</v>
      </c>
      <c r="C22" s="68" t="s">
        <v>56</v>
      </c>
      <c r="D22" s="67" t="s">
        <v>116</v>
      </c>
      <c r="E22" s="50">
        <v>714</v>
      </c>
      <c r="F22" s="69">
        <f>SUM(E22/100)</f>
        <v>7.14</v>
      </c>
      <c r="G22" s="69">
        <v>287.83999999999997</v>
      </c>
      <c r="H22" s="70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67" t="s">
        <v>118</v>
      </c>
      <c r="C23" s="68" t="s">
        <v>56</v>
      </c>
      <c r="D23" s="67" t="s">
        <v>116</v>
      </c>
      <c r="E23" s="63">
        <v>96.6</v>
      </c>
      <c r="F23" s="69">
        <f>SUM(E23/100)</f>
        <v>0.96599999999999997</v>
      </c>
      <c r="G23" s="69">
        <v>47.34</v>
      </c>
      <c r="H23" s="70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67" t="s">
        <v>108</v>
      </c>
      <c r="C24" s="68" t="s">
        <v>56</v>
      </c>
      <c r="D24" s="67" t="s">
        <v>116</v>
      </c>
      <c r="E24" s="19">
        <v>40</v>
      </c>
      <c r="F24" s="71">
        <v>4.8</v>
      </c>
      <c r="G24" s="69">
        <v>416.62</v>
      </c>
      <c r="H24" s="70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67" t="s">
        <v>109</v>
      </c>
      <c r="C25" s="68" t="s">
        <v>56</v>
      </c>
      <c r="D25" s="67" t="s">
        <v>116</v>
      </c>
      <c r="E25" s="50">
        <v>17</v>
      </c>
      <c r="F25" s="69">
        <f>SUM(E25/100)</f>
        <v>0.17</v>
      </c>
      <c r="G25" s="69">
        <v>556.74</v>
      </c>
      <c r="H25" s="70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customHeight="1">
      <c r="A26" s="30">
        <v>6</v>
      </c>
      <c r="B26" s="67" t="s">
        <v>68</v>
      </c>
      <c r="C26" s="68" t="s">
        <v>34</v>
      </c>
      <c r="D26" s="67"/>
      <c r="E26" s="50">
        <v>0.1</v>
      </c>
      <c r="F26" s="69">
        <f>SUM(E26*365)</f>
        <v>36.5</v>
      </c>
      <c r="G26" s="69">
        <v>157.18</v>
      </c>
      <c r="H26" s="70">
        <f>SUM(F26*G26/1000)</f>
        <v>5.737070000000001</v>
      </c>
      <c r="I26" s="13">
        <f>F26/12*G26</f>
        <v>478.08916666666664</v>
      </c>
      <c r="J26" s="24"/>
    </row>
    <row r="27" spans="1:13" ht="15.75" customHeight="1">
      <c r="A27" s="30">
        <v>7</v>
      </c>
      <c r="B27" s="75" t="s">
        <v>23</v>
      </c>
      <c r="C27" s="68" t="s">
        <v>24</v>
      </c>
      <c r="D27" s="75"/>
      <c r="E27" s="50">
        <v>4591.2</v>
      </c>
      <c r="F27" s="69">
        <f>SUM(E27*12)</f>
        <v>55094.399999999994</v>
      </c>
      <c r="G27" s="69">
        <v>5.85</v>
      </c>
      <c r="H27" s="70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43" t="s">
        <v>90</v>
      </c>
      <c r="B28" s="143"/>
      <c r="C28" s="143"/>
      <c r="D28" s="143"/>
      <c r="E28" s="143"/>
      <c r="F28" s="143"/>
      <c r="G28" s="143"/>
      <c r="H28" s="143"/>
      <c r="I28" s="143"/>
      <c r="J28" s="23"/>
      <c r="K28" s="8"/>
      <c r="L28" s="8"/>
      <c r="M28" s="8"/>
    </row>
    <row r="29" spans="1:13" ht="15.75" hidden="1" customHeight="1">
      <c r="A29" s="30"/>
      <c r="B29" s="89" t="s">
        <v>28</v>
      </c>
      <c r="C29" s="68"/>
      <c r="D29" s="67"/>
      <c r="E29" s="50"/>
      <c r="F29" s="69"/>
      <c r="G29" s="69"/>
      <c r="H29" s="70"/>
      <c r="I29" s="13"/>
      <c r="J29" s="23"/>
      <c r="K29" s="8"/>
      <c r="L29" s="8"/>
      <c r="M29" s="8"/>
    </row>
    <row r="30" spans="1:13" ht="15.75" hidden="1" customHeight="1">
      <c r="A30" s="30">
        <v>7</v>
      </c>
      <c r="B30" s="67" t="s">
        <v>119</v>
      </c>
      <c r="C30" s="68" t="s">
        <v>120</v>
      </c>
      <c r="D30" s="67" t="s">
        <v>121</v>
      </c>
      <c r="E30" s="69">
        <v>844.95</v>
      </c>
      <c r="F30" s="69">
        <f>SUM(E30*52/1000)</f>
        <v>43.937400000000004</v>
      </c>
      <c r="G30" s="69">
        <v>166.65</v>
      </c>
      <c r="H30" s="70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hidden="1" customHeight="1">
      <c r="A31" s="30">
        <v>8</v>
      </c>
      <c r="B31" s="67" t="s">
        <v>167</v>
      </c>
      <c r="C31" s="68" t="s">
        <v>120</v>
      </c>
      <c r="D31" s="67" t="s">
        <v>122</v>
      </c>
      <c r="E31" s="69">
        <v>260.13</v>
      </c>
      <c r="F31" s="69">
        <f>SUM(E31*78/1000)</f>
        <v>20.290140000000001</v>
      </c>
      <c r="G31" s="69">
        <v>276.48</v>
      </c>
      <c r="H31" s="70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67" t="s">
        <v>27</v>
      </c>
      <c r="C32" s="68" t="s">
        <v>120</v>
      </c>
      <c r="D32" s="67" t="s">
        <v>57</v>
      </c>
      <c r="E32" s="69">
        <v>844.95</v>
      </c>
      <c r="F32" s="69">
        <f>SUM(E32/1000)</f>
        <v>0.84495000000000009</v>
      </c>
      <c r="G32" s="69">
        <v>3228.73</v>
      </c>
      <c r="H32" s="70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hidden="1" customHeight="1">
      <c r="A33" s="30">
        <v>9</v>
      </c>
      <c r="B33" s="67" t="s">
        <v>154</v>
      </c>
      <c r="C33" s="68" t="s">
        <v>42</v>
      </c>
      <c r="D33" s="67" t="s">
        <v>67</v>
      </c>
      <c r="E33" s="69">
        <v>8</v>
      </c>
      <c r="F33" s="69">
        <v>12.4</v>
      </c>
      <c r="G33" s="69">
        <v>1391.86</v>
      </c>
      <c r="H33" s="70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hidden="1" customHeight="1">
      <c r="A34" s="30">
        <v>10</v>
      </c>
      <c r="B34" s="67" t="s">
        <v>123</v>
      </c>
      <c r="C34" s="68" t="s">
        <v>31</v>
      </c>
      <c r="D34" s="67" t="s">
        <v>67</v>
      </c>
      <c r="E34" s="74">
        <v>0.33333333333333331</v>
      </c>
      <c r="F34" s="69">
        <f>155/3</f>
        <v>51.666666666666664</v>
      </c>
      <c r="G34" s="69">
        <v>60.6</v>
      </c>
      <c r="H34" s="70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67" t="s">
        <v>69</v>
      </c>
      <c r="C35" s="68" t="s">
        <v>34</v>
      </c>
      <c r="D35" s="67" t="s">
        <v>71</v>
      </c>
      <c r="E35" s="50"/>
      <c r="F35" s="69">
        <v>3</v>
      </c>
      <c r="G35" s="69">
        <v>204.32</v>
      </c>
      <c r="H35" s="70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67" t="s">
        <v>70</v>
      </c>
      <c r="C36" s="68" t="s">
        <v>33</v>
      </c>
      <c r="D36" s="67" t="s">
        <v>71</v>
      </c>
      <c r="E36" s="50"/>
      <c r="F36" s="69">
        <v>2</v>
      </c>
      <c r="G36" s="69">
        <v>1214.73</v>
      </c>
      <c r="H36" s="70">
        <f t="shared" si="1"/>
        <v>2.4294600000000002</v>
      </c>
      <c r="I36" s="13">
        <v>0</v>
      </c>
      <c r="J36" s="24"/>
    </row>
    <row r="37" spans="1:14" ht="15.75" customHeight="1">
      <c r="A37" s="30"/>
      <c r="B37" s="89" t="s">
        <v>5</v>
      </c>
      <c r="C37" s="68"/>
      <c r="D37" s="67"/>
      <c r="E37" s="50"/>
      <c r="F37" s="69"/>
      <c r="G37" s="69"/>
      <c r="H37" s="70" t="s">
        <v>139</v>
      </c>
      <c r="I37" s="13"/>
      <c r="J37" s="24"/>
    </row>
    <row r="38" spans="1:14" ht="15.75" customHeight="1">
      <c r="A38" s="30">
        <v>8</v>
      </c>
      <c r="B38" s="67" t="s">
        <v>26</v>
      </c>
      <c r="C38" s="68" t="s">
        <v>33</v>
      </c>
      <c r="D38" s="67"/>
      <c r="E38" s="50"/>
      <c r="F38" s="69">
        <v>10</v>
      </c>
      <c r="G38" s="69">
        <v>1632.6</v>
      </c>
      <c r="H38" s="70">
        <f t="shared" ref="H38:H44" si="3">SUM(F38*G38/1000)</f>
        <v>16.326000000000001</v>
      </c>
      <c r="I38" s="13">
        <f>F38/6*G38</f>
        <v>2721</v>
      </c>
      <c r="J38" s="24"/>
    </row>
    <row r="39" spans="1:14" ht="15.75" customHeight="1">
      <c r="A39" s="30">
        <v>9</v>
      </c>
      <c r="B39" s="67" t="s">
        <v>155</v>
      </c>
      <c r="C39" s="68" t="s">
        <v>29</v>
      </c>
      <c r="D39" s="67" t="s">
        <v>124</v>
      </c>
      <c r="E39" s="69">
        <v>254.8</v>
      </c>
      <c r="F39" s="69">
        <f>SUM(E39*30/1000)</f>
        <v>7.6440000000000001</v>
      </c>
      <c r="G39" s="69">
        <v>2247.8000000000002</v>
      </c>
      <c r="H39" s="70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67" t="s">
        <v>102</v>
      </c>
      <c r="C40" s="68" t="s">
        <v>125</v>
      </c>
      <c r="D40" s="67" t="s">
        <v>71</v>
      </c>
      <c r="E40" s="50"/>
      <c r="F40" s="69">
        <v>40</v>
      </c>
      <c r="G40" s="69">
        <v>213.2</v>
      </c>
      <c r="H40" s="70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customHeight="1">
      <c r="A41" s="30">
        <v>10</v>
      </c>
      <c r="B41" s="67" t="s">
        <v>72</v>
      </c>
      <c r="C41" s="68" t="s">
        <v>29</v>
      </c>
      <c r="D41" s="67" t="s">
        <v>126</v>
      </c>
      <c r="E41" s="69">
        <v>260.13</v>
      </c>
      <c r="F41" s="69">
        <f>SUM(E41*155/1000)</f>
        <v>40.320149999999998</v>
      </c>
      <c r="G41" s="69">
        <v>374.95</v>
      </c>
      <c r="H41" s="70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customHeight="1">
      <c r="A42" s="30">
        <v>11</v>
      </c>
      <c r="B42" s="67" t="s">
        <v>88</v>
      </c>
      <c r="C42" s="68" t="s">
        <v>120</v>
      </c>
      <c r="D42" s="67" t="s">
        <v>127</v>
      </c>
      <c r="E42" s="69">
        <v>132.72999999999999</v>
      </c>
      <c r="F42" s="69">
        <f>SUM(E42*35/1000)</f>
        <v>4.6455499999999992</v>
      </c>
      <c r="G42" s="69">
        <v>6203.7</v>
      </c>
      <c r="H42" s="70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customHeight="1">
      <c r="A43" s="30">
        <v>12</v>
      </c>
      <c r="B43" s="67" t="s">
        <v>128</v>
      </c>
      <c r="C43" s="68" t="s">
        <v>120</v>
      </c>
      <c r="D43" s="67" t="s">
        <v>73</v>
      </c>
      <c r="E43" s="69">
        <v>254.8</v>
      </c>
      <c r="F43" s="69">
        <f>SUM(E43*45/1000)</f>
        <v>11.465999999999999</v>
      </c>
      <c r="G43" s="69">
        <v>458.28</v>
      </c>
      <c r="H43" s="70">
        <f t="shared" si="3"/>
        <v>5.2546384799999997</v>
      </c>
      <c r="I43" s="13">
        <f>(F43/7.5*1.5)*G43</f>
        <v>1050.9276959999997</v>
      </c>
      <c r="J43" s="24"/>
      <c r="L43" s="20"/>
      <c r="M43" s="21"/>
      <c r="N43" s="22"/>
    </row>
    <row r="44" spans="1:14" ht="15.75" customHeight="1">
      <c r="A44" s="30">
        <v>13</v>
      </c>
      <c r="B44" s="67" t="s">
        <v>74</v>
      </c>
      <c r="C44" s="68" t="s">
        <v>34</v>
      </c>
      <c r="D44" s="67"/>
      <c r="E44" s="50"/>
      <c r="F44" s="69">
        <v>0.9</v>
      </c>
      <c r="G44" s="69">
        <v>853.06</v>
      </c>
      <c r="H44" s="70">
        <f t="shared" si="3"/>
        <v>0.76775400000000005</v>
      </c>
      <c r="I44" s="13">
        <f>(F44/7.5*1.5)*G44</f>
        <v>153.55080000000001</v>
      </c>
      <c r="J44" s="24"/>
      <c r="L44" s="20"/>
      <c r="M44" s="21"/>
      <c r="N44" s="22"/>
    </row>
    <row r="45" spans="1:14" ht="15.75" hidden="1" customHeight="1">
      <c r="A45" s="144" t="s">
        <v>149</v>
      </c>
      <c r="B45" s="145"/>
      <c r="C45" s="145"/>
      <c r="D45" s="145"/>
      <c r="E45" s="145"/>
      <c r="F45" s="145"/>
      <c r="G45" s="145"/>
      <c r="H45" s="145"/>
      <c r="I45" s="146"/>
      <c r="J45" s="24"/>
      <c r="L45" s="20"/>
      <c r="M45" s="21"/>
      <c r="N45" s="22"/>
    </row>
    <row r="46" spans="1:14" ht="15.75" hidden="1" customHeight="1">
      <c r="A46" s="30"/>
      <c r="B46" s="67" t="s">
        <v>143</v>
      </c>
      <c r="C46" s="68" t="s">
        <v>120</v>
      </c>
      <c r="D46" s="67" t="s">
        <v>44</v>
      </c>
      <c r="E46" s="50">
        <v>1795.9</v>
      </c>
      <c r="F46" s="69">
        <f>SUM(E46*2/1000)</f>
        <v>3.5918000000000001</v>
      </c>
      <c r="G46" s="13">
        <v>865.61</v>
      </c>
      <c r="H46" s="70">
        <f t="shared" ref="H46:H55" si="4">SUM(F46*G46/1000)</f>
        <v>3.1090979980000002</v>
      </c>
      <c r="I46" s="13">
        <v>0</v>
      </c>
      <c r="J46" s="24"/>
      <c r="L46" s="20"/>
      <c r="M46" s="21"/>
      <c r="N46" s="22"/>
    </row>
    <row r="47" spans="1:14" ht="15.75" hidden="1" customHeight="1">
      <c r="A47" s="30"/>
      <c r="B47" s="67" t="s">
        <v>37</v>
      </c>
      <c r="C47" s="68" t="s">
        <v>120</v>
      </c>
      <c r="D47" s="67" t="s">
        <v>44</v>
      </c>
      <c r="E47" s="50">
        <v>104</v>
      </c>
      <c r="F47" s="69">
        <f>SUM(E47*2/1000)</f>
        <v>0.20799999999999999</v>
      </c>
      <c r="G47" s="13">
        <v>619.46</v>
      </c>
      <c r="H47" s="70">
        <f t="shared" si="4"/>
        <v>0.12884767999999999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30"/>
      <c r="B48" s="67" t="s">
        <v>38</v>
      </c>
      <c r="C48" s="68" t="s">
        <v>120</v>
      </c>
      <c r="D48" s="67" t="s">
        <v>44</v>
      </c>
      <c r="E48" s="50">
        <v>1996.87</v>
      </c>
      <c r="F48" s="69">
        <f>SUM(E48*2/1000)</f>
        <v>3.9937399999999998</v>
      </c>
      <c r="G48" s="13">
        <v>619.46</v>
      </c>
      <c r="H48" s="70">
        <f t="shared" si="4"/>
        <v>2.4739621804</v>
      </c>
      <c r="I48" s="13">
        <v>0</v>
      </c>
      <c r="J48" s="24"/>
      <c r="L48" s="20"/>
      <c r="M48" s="21"/>
      <c r="N48" s="22"/>
    </row>
    <row r="49" spans="1:14" ht="15.75" hidden="1" customHeight="1">
      <c r="A49" s="30"/>
      <c r="B49" s="67" t="s">
        <v>39</v>
      </c>
      <c r="C49" s="68" t="s">
        <v>120</v>
      </c>
      <c r="D49" s="67" t="s">
        <v>44</v>
      </c>
      <c r="E49" s="50">
        <v>2630.35</v>
      </c>
      <c r="F49" s="69">
        <f>SUM(E49*2/1000)</f>
        <v>5.2606999999999999</v>
      </c>
      <c r="G49" s="13">
        <v>648.64</v>
      </c>
      <c r="H49" s="70">
        <f t="shared" si="4"/>
        <v>3.4123004479999999</v>
      </c>
      <c r="I49" s="13">
        <v>0</v>
      </c>
      <c r="J49" s="24"/>
      <c r="L49" s="20"/>
      <c r="M49" s="21"/>
      <c r="N49" s="22"/>
    </row>
    <row r="50" spans="1:14" ht="15.75" hidden="1" customHeight="1">
      <c r="A50" s="30"/>
      <c r="B50" s="67" t="s">
        <v>35</v>
      </c>
      <c r="C50" s="68" t="s">
        <v>36</v>
      </c>
      <c r="D50" s="67" t="s">
        <v>44</v>
      </c>
      <c r="E50" s="50">
        <v>131.47</v>
      </c>
      <c r="F50" s="69">
        <f>SUM(E50*2/100)</f>
        <v>2.6294</v>
      </c>
      <c r="G50" s="13">
        <v>77.84</v>
      </c>
      <c r="H50" s="70">
        <f t="shared" si="4"/>
        <v>0.20467249599999998</v>
      </c>
      <c r="I50" s="13">
        <v>0</v>
      </c>
      <c r="J50" s="24"/>
      <c r="L50" s="20"/>
      <c r="M50" s="21"/>
      <c r="N50" s="22"/>
    </row>
    <row r="51" spans="1:14" ht="15.75" hidden="1" customHeight="1">
      <c r="A51" s="30">
        <v>14</v>
      </c>
      <c r="B51" s="67" t="s">
        <v>60</v>
      </c>
      <c r="C51" s="68" t="s">
        <v>120</v>
      </c>
      <c r="D51" s="67" t="s">
        <v>168</v>
      </c>
      <c r="E51" s="50">
        <v>2872.4</v>
      </c>
      <c r="F51" s="69">
        <f>SUM(E51*5/1000)</f>
        <v>14.362</v>
      </c>
      <c r="G51" s="13">
        <v>1297.28</v>
      </c>
      <c r="H51" s="70">
        <f t="shared" si="4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14" ht="31.5" hidden="1" customHeight="1">
      <c r="A52" s="30"/>
      <c r="B52" s="67" t="s">
        <v>129</v>
      </c>
      <c r="C52" s="68" t="s">
        <v>120</v>
      </c>
      <c r="D52" s="67" t="s">
        <v>44</v>
      </c>
      <c r="E52" s="50">
        <v>2872.4</v>
      </c>
      <c r="F52" s="69">
        <f>SUM(E52*2/1000)</f>
        <v>5.7448000000000006</v>
      </c>
      <c r="G52" s="13">
        <v>1297.28</v>
      </c>
      <c r="H52" s="70">
        <f t="shared" si="4"/>
        <v>7.4526141440000009</v>
      </c>
      <c r="I52" s="13">
        <v>0</v>
      </c>
      <c r="J52" s="24"/>
      <c r="L52" s="20"/>
      <c r="M52" s="21"/>
      <c r="N52" s="22"/>
    </row>
    <row r="53" spans="1:14" ht="31.5" hidden="1" customHeight="1">
      <c r="A53" s="30"/>
      <c r="B53" s="67" t="s">
        <v>130</v>
      </c>
      <c r="C53" s="68" t="s">
        <v>40</v>
      </c>
      <c r="D53" s="67" t="s">
        <v>44</v>
      </c>
      <c r="E53" s="50">
        <v>40</v>
      </c>
      <c r="F53" s="69">
        <f>SUM(E53*2/100)</f>
        <v>0.8</v>
      </c>
      <c r="G53" s="13">
        <v>2918.89</v>
      </c>
      <c r="H53" s="70">
        <f t="shared" si="4"/>
        <v>2.3351120000000001</v>
      </c>
      <c r="I53" s="13">
        <v>0</v>
      </c>
      <c r="J53" s="24"/>
      <c r="L53" s="20"/>
      <c r="M53" s="21"/>
      <c r="N53" s="22"/>
    </row>
    <row r="54" spans="1:14" ht="15.75" hidden="1" customHeight="1">
      <c r="A54" s="30"/>
      <c r="B54" s="67" t="s">
        <v>41</v>
      </c>
      <c r="C54" s="68" t="s">
        <v>42</v>
      </c>
      <c r="D54" s="67" t="s">
        <v>44</v>
      </c>
      <c r="E54" s="50">
        <v>1</v>
      </c>
      <c r="F54" s="69">
        <v>0.02</v>
      </c>
      <c r="G54" s="13">
        <v>6042.12</v>
      </c>
      <c r="H54" s="70">
        <f t="shared" si="4"/>
        <v>0.1208424</v>
      </c>
      <c r="I54" s="13">
        <v>0</v>
      </c>
      <c r="J54" s="24"/>
      <c r="L54" s="20"/>
      <c r="M54" s="21"/>
      <c r="N54" s="22"/>
    </row>
    <row r="55" spans="1:14" ht="15.75" hidden="1" customHeight="1">
      <c r="A55" s="30">
        <v>15</v>
      </c>
      <c r="B55" s="67" t="s">
        <v>43</v>
      </c>
      <c r="C55" s="68" t="s">
        <v>31</v>
      </c>
      <c r="D55" s="67" t="s">
        <v>75</v>
      </c>
      <c r="E55" s="50">
        <v>160</v>
      </c>
      <c r="F55" s="69">
        <f>SUM(E55)*3</f>
        <v>480</v>
      </c>
      <c r="G55" s="13">
        <v>70.209999999999994</v>
      </c>
      <c r="H55" s="70">
        <f t="shared" si="4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14" ht="15.75" customHeight="1">
      <c r="A56" s="144" t="s">
        <v>171</v>
      </c>
      <c r="B56" s="145"/>
      <c r="C56" s="145"/>
      <c r="D56" s="145"/>
      <c r="E56" s="145"/>
      <c r="F56" s="145"/>
      <c r="G56" s="145"/>
      <c r="H56" s="145"/>
      <c r="I56" s="146"/>
      <c r="J56" s="24"/>
      <c r="L56" s="20"/>
      <c r="M56" s="21"/>
      <c r="N56" s="22"/>
    </row>
    <row r="57" spans="1:14" ht="15.75" customHeight="1">
      <c r="A57" s="30"/>
      <c r="B57" s="89" t="s">
        <v>45</v>
      </c>
      <c r="C57" s="68"/>
      <c r="D57" s="67"/>
      <c r="E57" s="50"/>
      <c r="F57" s="69"/>
      <c r="G57" s="69"/>
      <c r="H57" s="70"/>
      <c r="I57" s="13"/>
      <c r="J57" s="24"/>
      <c r="L57" s="20"/>
      <c r="M57" s="21"/>
      <c r="N57" s="22"/>
    </row>
    <row r="58" spans="1:14" ht="31.5" customHeight="1">
      <c r="A58" s="30">
        <v>14</v>
      </c>
      <c r="B58" s="67" t="s">
        <v>132</v>
      </c>
      <c r="C58" s="68" t="s">
        <v>111</v>
      </c>
      <c r="D58" s="67" t="s">
        <v>281</v>
      </c>
      <c r="E58" s="50">
        <v>239.59</v>
      </c>
      <c r="F58" s="69">
        <f>E58*6/100</f>
        <v>14.375399999999999</v>
      </c>
      <c r="G58" s="76">
        <v>1654.04</v>
      </c>
      <c r="H58" s="70">
        <f>F58*G58/1000</f>
        <v>23.777486615999997</v>
      </c>
      <c r="I58" s="13">
        <f>G58*2.333</f>
        <v>3858.8753200000001</v>
      </c>
      <c r="J58" s="24"/>
      <c r="L58" s="20"/>
      <c r="M58" s="21"/>
      <c r="N58" s="22"/>
    </row>
    <row r="59" spans="1:14" ht="18.75" customHeight="1">
      <c r="A59" s="30"/>
      <c r="B59" s="45" t="s">
        <v>93</v>
      </c>
      <c r="C59" s="16" t="s">
        <v>107</v>
      </c>
      <c r="D59" s="78"/>
      <c r="E59" s="79"/>
      <c r="F59" s="81"/>
      <c r="G59" s="115">
        <v>1501</v>
      </c>
      <c r="H59" s="83"/>
      <c r="I59" s="13">
        <f>G59*4</f>
        <v>6004</v>
      </c>
      <c r="J59" s="24"/>
      <c r="L59" s="20"/>
      <c r="M59" s="21"/>
      <c r="N59" s="22"/>
    </row>
    <row r="60" spans="1:14" ht="15.75" customHeight="1">
      <c r="A60" s="30"/>
      <c r="B60" s="90" t="s">
        <v>46</v>
      </c>
      <c r="C60" s="77"/>
      <c r="D60" s="78"/>
      <c r="E60" s="79"/>
      <c r="F60" s="81"/>
      <c r="G60" s="13"/>
      <c r="H60" s="83"/>
      <c r="I60" s="13"/>
      <c r="J60" s="24"/>
      <c r="L60" s="20"/>
      <c r="M60" s="21"/>
      <c r="N60" s="22"/>
    </row>
    <row r="61" spans="1:14" ht="15.75" hidden="1" customHeight="1">
      <c r="A61" s="30"/>
      <c r="B61" s="78" t="s">
        <v>47</v>
      </c>
      <c r="C61" s="77" t="s">
        <v>56</v>
      </c>
      <c r="D61" s="78" t="s">
        <v>57</v>
      </c>
      <c r="E61" s="79">
        <v>2686</v>
      </c>
      <c r="F61" s="81">
        <f>E61/100</f>
        <v>26.86</v>
      </c>
      <c r="G61" s="13">
        <v>848.37</v>
      </c>
      <c r="H61" s="83">
        <f>G61*F61/1000</f>
        <v>22.787218199999998</v>
      </c>
      <c r="I61" s="13">
        <v>0</v>
      </c>
      <c r="J61" s="24"/>
      <c r="L61" s="20"/>
    </row>
    <row r="62" spans="1:14" ht="15.75" customHeight="1">
      <c r="A62" s="30">
        <v>15</v>
      </c>
      <c r="B62" s="78" t="s">
        <v>103</v>
      </c>
      <c r="C62" s="77" t="s">
        <v>25</v>
      </c>
      <c r="D62" s="78" t="s">
        <v>30</v>
      </c>
      <c r="E62" s="79">
        <v>343</v>
      </c>
      <c r="F62" s="81">
        <v>4116</v>
      </c>
      <c r="G62" s="13">
        <v>1.2</v>
      </c>
      <c r="H62" s="83">
        <f>F62*G62</f>
        <v>4939.2</v>
      </c>
      <c r="I62" s="13">
        <f>F62/12*G62</f>
        <v>411.59999999999997</v>
      </c>
    </row>
    <row r="63" spans="1:14" ht="15.75" hidden="1" customHeight="1">
      <c r="A63" s="30"/>
      <c r="B63" s="90" t="s">
        <v>144</v>
      </c>
      <c r="C63" s="77"/>
      <c r="D63" s="78"/>
      <c r="E63" s="79"/>
      <c r="F63" s="81"/>
      <c r="G63" s="13"/>
      <c r="H63" s="83"/>
      <c r="I63" s="13"/>
    </row>
    <row r="64" spans="1:14" ht="15.75" hidden="1" customHeight="1">
      <c r="A64" s="30"/>
      <c r="B64" s="78" t="s">
        <v>145</v>
      </c>
      <c r="C64" s="77" t="s">
        <v>31</v>
      </c>
      <c r="D64" s="78" t="s">
        <v>71</v>
      </c>
      <c r="E64" s="79">
        <v>3</v>
      </c>
      <c r="F64" s="80">
        <v>3</v>
      </c>
      <c r="G64" s="82">
        <v>254.16</v>
      </c>
      <c r="H64" s="81">
        <v>0.76200000000000001</v>
      </c>
      <c r="I64" s="13">
        <v>0</v>
      </c>
    </row>
    <row r="65" spans="1:22" ht="15.75" hidden="1" customHeight="1">
      <c r="A65" s="30"/>
      <c r="B65" s="90" t="s">
        <v>48</v>
      </c>
      <c r="C65" s="77"/>
      <c r="D65" s="78"/>
      <c r="E65" s="79"/>
      <c r="F65" s="80"/>
      <c r="G65" s="80"/>
      <c r="H65" s="81" t="s">
        <v>139</v>
      </c>
      <c r="I65" s="1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0">
        <v>16</v>
      </c>
      <c r="B66" s="14" t="s">
        <v>49</v>
      </c>
      <c r="C66" s="16" t="s">
        <v>131</v>
      </c>
      <c r="D66" s="78" t="s">
        <v>71</v>
      </c>
      <c r="E66" s="19">
        <v>15</v>
      </c>
      <c r="F66" s="69">
        <v>15</v>
      </c>
      <c r="G66" s="13">
        <v>237.74</v>
      </c>
      <c r="H66" s="84">
        <f t="shared" ref="H66:H79" si="5">SUM(F66*G66/1000)</f>
        <v>3.5661000000000005</v>
      </c>
      <c r="I66" s="13">
        <f>G66</f>
        <v>237.74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0"/>
      <c r="B67" s="14" t="s">
        <v>50</v>
      </c>
      <c r="C67" s="16" t="s">
        <v>131</v>
      </c>
      <c r="D67" s="78" t="s">
        <v>71</v>
      </c>
      <c r="E67" s="19">
        <v>5</v>
      </c>
      <c r="F67" s="69">
        <v>5</v>
      </c>
      <c r="G67" s="13">
        <v>81.510000000000005</v>
      </c>
      <c r="H67" s="84">
        <f t="shared" si="5"/>
        <v>0.40755000000000002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0"/>
      <c r="B68" s="14" t="s">
        <v>51</v>
      </c>
      <c r="C68" s="16" t="s">
        <v>133</v>
      </c>
      <c r="D68" s="14" t="s">
        <v>57</v>
      </c>
      <c r="E68" s="50">
        <v>24123</v>
      </c>
      <c r="F68" s="13">
        <f>SUM(E68/100)</f>
        <v>241.23</v>
      </c>
      <c r="G68" s="13">
        <v>226.79</v>
      </c>
      <c r="H68" s="84">
        <f t="shared" si="5"/>
        <v>54.708551699999994</v>
      </c>
      <c r="I68" s="13">
        <f>F68*G68</f>
        <v>54708.551699999996</v>
      </c>
      <c r="J68" s="5"/>
      <c r="K68" s="5"/>
      <c r="L68" s="5"/>
      <c r="M68" s="5"/>
      <c r="N68" s="5"/>
      <c r="O68" s="5"/>
      <c r="P68" s="5"/>
      <c r="Q68" s="5"/>
      <c r="R68" s="140"/>
      <c r="S68" s="140"/>
      <c r="T68" s="140"/>
      <c r="U68" s="140"/>
    </row>
    <row r="69" spans="1:22" ht="15.75" hidden="1" customHeight="1">
      <c r="A69" s="30"/>
      <c r="B69" s="14" t="s">
        <v>52</v>
      </c>
      <c r="C69" s="16" t="s">
        <v>134</v>
      </c>
      <c r="D69" s="14"/>
      <c r="E69" s="50">
        <v>24123</v>
      </c>
      <c r="F69" s="13">
        <f>SUM(E69/1000)</f>
        <v>24.123000000000001</v>
      </c>
      <c r="G69" s="13">
        <v>176.61</v>
      </c>
      <c r="H69" s="84">
        <f t="shared" si="5"/>
        <v>4.2603630300000006</v>
      </c>
      <c r="I69" s="13">
        <f t="shared" ref="I69:I73" si="6">F69*G69</f>
        <v>4260.3630300000004</v>
      </c>
    </row>
    <row r="70" spans="1:22" ht="15.75" hidden="1" customHeight="1">
      <c r="A70" s="30"/>
      <c r="B70" s="14" t="s">
        <v>53</v>
      </c>
      <c r="C70" s="16" t="s">
        <v>81</v>
      </c>
      <c r="D70" s="14" t="s">
        <v>57</v>
      </c>
      <c r="E70" s="50">
        <v>2730</v>
      </c>
      <c r="F70" s="13">
        <f>SUM(E70/100)</f>
        <v>27.3</v>
      </c>
      <c r="G70" s="13">
        <v>2217.7800000000002</v>
      </c>
      <c r="H70" s="84">
        <f t="shared" si="5"/>
        <v>60.545394000000009</v>
      </c>
      <c r="I70" s="13">
        <f t="shared" si="6"/>
        <v>60545.394000000008</v>
      </c>
    </row>
    <row r="71" spans="1:22" ht="15.75" hidden="1" customHeight="1">
      <c r="A71" s="30"/>
      <c r="B71" s="85" t="s">
        <v>135</v>
      </c>
      <c r="C71" s="16" t="s">
        <v>34</v>
      </c>
      <c r="D71" s="14"/>
      <c r="E71" s="50">
        <v>23</v>
      </c>
      <c r="F71" s="13">
        <f>SUM(E71)</f>
        <v>23</v>
      </c>
      <c r="G71" s="13">
        <v>42.67</v>
      </c>
      <c r="H71" s="84">
        <f t="shared" si="5"/>
        <v>0.98141000000000012</v>
      </c>
      <c r="I71" s="13">
        <f t="shared" si="6"/>
        <v>981.41000000000008</v>
      </c>
    </row>
    <row r="72" spans="1:22" ht="15.75" hidden="1" customHeight="1">
      <c r="A72" s="30"/>
      <c r="B72" s="85" t="s">
        <v>136</v>
      </c>
      <c r="C72" s="16" t="s">
        <v>34</v>
      </c>
      <c r="D72" s="14"/>
      <c r="E72" s="50">
        <v>23</v>
      </c>
      <c r="F72" s="13">
        <f>SUM(E72)</f>
        <v>23</v>
      </c>
      <c r="G72" s="13">
        <v>39.81</v>
      </c>
      <c r="H72" s="84">
        <f t="shared" si="5"/>
        <v>0.91563000000000005</v>
      </c>
      <c r="I72" s="13">
        <f t="shared" si="6"/>
        <v>915.63000000000011</v>
      </c>
    </row>
    <row r="73" spans="1:22" ht="15.75" hidden="1" customHeight="1">
      <c r="A73" s="30"/>
      <c r="B73" s="14" t="s">
        <v>61</v>
      </c>
      <c r="C73" s="16" t="s">
        <v>62</v>
      </c>
      <c r="D73" s="14" t="s">
        <v>57</v>
      </c>
      <c r="E73" s="19">
        <v>10</v>
      </c>
      <c r="F73" s="69">
        <f>SUM(E73)</f>
        <v>10</v>
      </c>
      <c r="G73" s="13">
        <v>53.32</v>
      </c>
      <c r="H73" s="84">
        <f t="shared" si="5"/>
        <v>0.53320000000000001</v>
      </c>
      <c r="I73" s="13">
        <f t="shared" si="6"/>
        <v>533.20000000000005</v>
      </c>
    </row>
    <row r="74" spans="1:22" ht="15.75" hidden="1" customHeight="1">
      <c r="A74" s="30"/>
      <c r="B74" s="57" t="s">
        <v>77</v>
      </c>
      <c r="C74" s="16"/>
      <c r="D74" s="14"/>
      <c r="E74" s="19"/>
      <c r="F74" s="13"/>
      <c r="G74" s="13"/>
      <c r="H74" s="84" t="s">
        <v>139</v>
      </c>
      <c r="I74" s="13"/>
    </row>
    <row r="75" spans="1:22" ht="15.75" hidden="1" customHeight="1">
      <c r="A75" s="30"/>
      <c r="B75" s="14" t="s">
        <v>78</v>
      </c>
      <c r="C75" s="16" t="s">
        <v>32</v>
      </c>
      <c r="D75" s="14"/>
      <c r="E75" s="19">
        <v>2</v>
      </c>
      <c r="F75" s="61">
        <v>0.2</v>
      </c>
      <c r="G75" s="13">
        <v>536.23</v>
      </c>
      <c r="H75" s="84">
        <v>0.251</v>
      </c>
      <c r="I75" s="13">
        <v>0</v>
      </c>
    </row>
    <row r="76" spans="1:22" ht="15.75" hidden="1" customHeight="1">
      <c r="A76" s="30"/>
      <c r="B76" s="14" t="s">
        <v>94</v>
      </c>
      <c r="C76" s="16" t="s">
        <v>31</v>
      </c>
      <c r="D76" s="14"/>
      <c r="E76" s="19">
        <v>1</v>
      </c>
      <c r="F76" s="69">
        <f>SUM(E76)</f>
        <v>1</v>
      </c>
      <c r="G76" s="13">
        <v>383.25</v>
      </c>
      <c r="H76" s="84">
        <f t="shared" si="5"/>
        <v>0.38324999999999998</v>
      </c>
      <c r="I76" s="13">
        <v>0</v>
      </c>
    </row>
    <row r="77" spans="1:22" ht="15.75" hidden="1" customHeight="1">
      <c r="A77" s="30"/>
      <c r="B77" s="14" t="s">
        <v>79</v>
      </c>
      <c r="C77" s="16" t="s">
        <v>31</v>
      </c>
      <c r="D77" s="14"/>
      <c r="E77" s="19">
        <v>2</v>
      </c>
      <c r="F77" s="13">
        <v>2</v>
      </c>
      <c r="G77" s="13">
        <v>911.85</v>
      </c>
      <c r="H77" s="84">
        <f>F77*G77/1000</f>
        <v>1.8237000000000001</v>
      </c>
      <c r="I77" s="13">
        <v>0</v>
      </c>
    </row>
    <row r="78" spans="1:22" ht="15.75" hidden="1" customHeight="1">
      <c r="A78" s="30"/>
      <c r="B78" s="86" t="s">
        <v>80</v>
      </c>
      <c r="C78" s="16"/>
      <c r="D78" s="14"/>
      <c r="E78" s="19"/>
      <c r="F78" s="13"/>
      <c r="G78" s="13" t="s">
        <v>139</v>
      </c>
      <c r="H78" s="84" t="s">
        <v>139</v>
      </c>
      <c r="I78" s="13"/>
    </row>
    <row r="79" spans="1:22" ht="15.75" hidden="1" customHeight="1">
      <c r="A79" s="30"/>
      <c r="B79" s="45" t="s">
        <v>140</v>
      </c>
      <c r="C79" s="16" t="s">
        <v>81</v>
      </c>
      <c r="D79" s="14"/>
      <c r="E79" s="19"/>
      <c r="F79" s="13">
        <v>1.35</v>
      </c>
      <c r="G79" s="13">
        <v>2949.85</v>
      </c>
      <c r="H79" s="84">
        <f t="shared" si="5"/>
        <v>3.9822975</v>
      </c>
      <c r="I79" s="13">
        <v>0</v>
      </c>
    </row>
    <row r="80" spans="1:22" ht="15.75" hidden="1" customHeight="1">
      <c r="A80" s="30"/>
      <c r="B80" s="72" t="s">
        <v>137</v>
      </c>
      <c r="C80" s="86"/>
      <c r="D80" s="32"/>
      <c r="E80" s="33"/>
      <c r="F80" s="73"/>
      <c r="G80" s="73"/>
      <c r="H80" s="87">
        <f>SUM(H58:H79)</f>
        <v>5118.885151045999</v>
      </c>
      <c r="I80" s="73"/>
    </row>
    <row r="81" spans="1:9" ht="15.75" hidden="1" customHeight="1">
      <c r="A81" s="30"/>
      <c r="B81" s="67" t="s">
        <v>138</v>
      </c>
      <c r="C81" s="16"/>
      <c r="D81" s="14"/>
      <c r="E81" s="62"/>
      <c r="F81" s="13">
        <v>1</v>
      </c>
      <c r="G81" s="13">
        <v>19342.2</v>
      </c>
      <c r="H81" s="84">
        <f>G81*F81/1000</f>
        <v>19.342200000000002</v>
      </c>
      <c r="I81" s="13">
        <v>0</v>
      </c>
    </row>
    <row r="82" spans="1:9" ht="15.75" customHeight="1">
      <c r="A82" s="153" t="s">
        <v>172</v>
      </c>
      <c r="B82" s="154"/>
      <c r="C82" s="154"/>
      <c r="D82" s="154"/>
      <c r="E82" s="154"/>
      <c r="F82" s="154"/>
      <c r="G82" s="154"/>
      <c r="H82" s="154"/>
      <c r="I82" s="155"/>
    </row>
    <row r="83" spans="1:9" ht="15.75" customHeight="1">
      <c r="A83" s="30">
        <v>16</v>
      </c>
      <c r="B83" s="67" t="s">
        <v>141</v>
      </c>
      <c r="C83" s="16" t="s">
        <v>58</v>
      </c>
      <c r="D83" s="88" t="s">
        <v>59</v>
      </c>
      <c r="E83" s="13">
        <v>4591.2</v>
      </c>
      <c r="F83" s="13">
        <f>SUM(E83*12)</f>
        <v>55094.399999999994</v>
      </c>
      <c r="G83" s="13">
        <v>2.54</v>
      </c>
      <c r="H83" s="84">
        <f>SUM(F83*G83/1000)</f>
        <v>139.93977599999999</v>
      </c>
      <c r="I83" s="13">
        <f>F83/12*G83</f>
        <v>11661.647999999999</v>
      </c>
    </row>
    <row r="84" spans="1:9" ht="31.5" customHeight="1">
      <c r="A84" s="30">
        <v>17</v>
      </c>
      <c r="B84" s="14" t="s">
        <v>82</v>
      </c>
      <c r="C84" s="16"/>
      <c r="D84" s="88" t="s">
        <v>59</v>
      </c>
      <c r="E84" s="50">
        <f>E83</f>
        <v>4591.2</v>
      </c>
      <c r="F84" s="13">
        <f>E84*12</f>
        <v>55094.399999999994</v>
      </c>
      <c r="G84" s="13">
        <v>2.0499999999999998</v>
      </c>
      <c r="H84" s="84">
        <f>F84*G84/1000</f>
        <v>112.94351999999998</v>
      </c>
      <c r="I84" s="13">
        <f>F84/12*G84</f>
        <v>9411.9599999999991</v>
      </c>
    </row>
    <row r="85" spans="1:9" ht="15.75" customHeight="1">
      <c r="A85" s="46"/>
      <c r="B85" s="37" t="s">
        <v>85</v>
      </c>
      <c r="C85" s="38"/>
      <c r="D85" s="15"/>
      <c r="E85" s="15"/>
      <c r="F85" s="15"/>
      <c r="G85" s="19"/>
      <c r="H85" s="19"/>
      <c r="I85" s="33">
        <f>I84+I83+I62+I59+I58+I44+I43+I42+I41+I39+I38+I27+I26+I21+I20+I18+I17+I16</f>
        <v>91192.751536249998</v>
      </c>
    </row>
    <row r="86" spans="1:9" ht="15.75" customHeight="1">
      <c r="A86" s="150" t="s">
        <v>64</v>
      </c>
      <c r="B86" s="151"/>
      <c r="C86" s="151"/>
      <c r="D86" s="151"/>
      <c r="E86" s="151"/>
      <c r="F86" s="151"/>
      <c r="G86" s="151"/>
      <c r="H86" s="151"/>
      <c r="I86" s="152"/>
    </row>
    <row r="87" spans="1:9" ht="15.75" customHeight="1">
      <c r="A87" s="30">
        <v>18</v>
      </c>
      <c r="B87" s="49" t="s">
        <v>197</v>
      </c>
      <c r="C87" s="51" t="s">
        <v>89</v>
      </c>
      <c r="D87" s="45"/>
      <c r="E87" s="13"/>
      <c r="F87" s="13">
        <v>2</v>
      </c>
      <c r="G87" s="13">
        <v>203.68</v>
      </c>
      <c r="H87" s="84">
        <f t="shared" ref="H87:H92" si="7">G87*F87/1000</f>
        <v>0.40736</v>
      </c>
      <c r="I87" s="111">
        <f>G87</f>
        <v>203.68</v>
      </c>
    </row>
    <row r="88" spans="1:9" ht="31.5" customHeight="1">
      <c r="A88" s="30">
        <v>19</v>
      </c>
      <c r="B88" s="49" t="s">
        <v>181</v>
      </c>
      <c r="C88" s="51" t="s">
        <v>99</v>
      </c>
      <c r="D88" s="45"/>
      <c r="E88" s="35"/>
      <c r="F88" s="35">
        <v>1</v>
      </c>
      <c r="G88" s="35">
        <v>698.38</v>
      </c>
      <c r="H88" s="100">
        <f t="shared" si="7"/>
        <v>0.69838</v>
      </c>
      <c r="I88" s="13">
        <f>G88</f>
        <v>698.38</v>
      </c>
    </row>
    <row r="89" spans="1:9" ht="31.5" customHeight="1">
      <c r="A89" s="30">
        <v>20</v>
      </c>
      <c r="B89" s="112" t="s">
        <v>204</v>
      </c>
      <c r="C89" s="30" t="s">
        <v>205</v>
      </c>
      <c r="D89" s="45"/>
      <c r="E89" s="35"/>
      <c r="F89" s="35">
        <v>1</v>
      </c>
      <c r="G89" s="35">
        <v>2012.33</v>
      </c>
      <c r="H89" s="100">
        <f t="shared" si="7"/>
        <v>2.01233</v>
      </c>
      <c r="I89" s="13">
        <f t="shared" ref="I89:I91" si="8">G89</f>
        <v>2012.33</v>
      </c>
    </row>
    <row r="90" spans="1:9" ht="31.5" customHeight="1">
      <c r="A90" s="30">
        <v>21</v>
      </c>
      <c r="B90" s="49" t="s">
        <v>183</v>
      </c>
      <c r="C90" s="51" t="s">
        <v>86</v>
      </c>
      <c r="D90" s="45"/>
      <c r="E90" s="35"/>
      <c r="F90" s="35">
        <v>1</v>
      </c>
      <c r="G90" s="35">
        <v>1272</v>
      </c>
      <c r="H90" s="100">
        <f t="shared" si="7"/>
        <v>1.272</v>
      </c>
      <c r="I90" s="13">
        <f t="shared" si="8"/>
        <v>1272</v>
      </c>
    </row>
    <row r="91" spans="1:9" ht="31.5" customHeight="1">
      <c r="A91" s="30">
        <v>22</v>
      </c>
      <c r="B91" s="49" t="s">
        <v>182</v>
      </c>
      <c r="C91" s="51" t="s">
        <v>86</v>
      </c>
      <c r="D91" s="45"/>
      <c r="E91" s="35"/>
      <c r="F91" s="35">
        <v>1</v>
      </c>
      <c r="G91" s="35">
        <v>1187</v>
      </c>
      <c r="H91" s="100">
        <f t="shared" si="7"/>
        <v>1.1870000000000001</v>
      </c>
      <c r="I91" s="13">
        <f t="shared" si="8"/>
        <v>1187</v>
      </c>
    </row>
    <row r="92" spans="1:9" ht="15.75" customHeight="1">
      <c r="A92" s="30">
        <v>23</v>
      </c>
      <c r="B92" s="49" t="s">
        <v>206</v>
      </c>
      <c r="C92" s="51" t="s">
        <v>207</v>
      </c>
      <c r="D92" s="103"/>
      <c r="E92" s="18"/>
      <c r="F92" s="35">
        <v>45</v>
      </c>
      <c r="G92" s="35">
        <v>134.12</v>
      </c>
      <c r="H92" s="100">
        <f t="shared" si="7"/>
        <v>6.035400000000001</v>
      </c>
      <c r="I92" s="13">
        <f>G92*((5+15)+10+15)</f>
        <v>6035.4000000000005</v>
      </c>
    </row>
    <row r="93" spans="1:9" ht="15.75" customHeight="1">
      <c r="A93" s="30"/>
      <c r="B93" s="43" t="s">
        <v>54</v>
      </c>
      <c r="C93" s="39"/>
      <c r="D93" s="47"/>
      <c r="E93" s="39">
        <v>1</v>
      </c>
      <c r="F93" s="39"/>
      <c r="G93" s="39"/>
      <c r="H93" s="39"/>
      <c r="I93" s="33">
        <f>SUM(I87:I92)</f>
        <v>11408.79</v>
      </c>
    </row>
    <row r="94" spans="1:9" ht="15.75" customHeight="1">
      <c r="A94" s="30"/>
      <c r="B94" s="45" t="s">
        <v>83</v>
      </c>
      <c r="C94" s="15"/>
      <c r="D94" s="15"/>
      <c r="E94" s="40"/>
      <c r="F94" s="40"/>
      <c r="G94" s="41"/>
      <c r="H94" s="41"/>
      <c r="I94" s="18">
        <v>0</v>
      </c>
    </row>
    <row r="95" spans="1:9" ht="15.75" customHeight="1">
      <c r="A95" s="48"/>
      <c r="B95" s="44" t="s">
        <v>180</v>
      </c>
      <c r="C95" s="34"/>
      <c r="D95" s="34"/>
      <c r="E95" s="34"/>
      <c r="F95" s="34"/>
      <c r="G95" s="34"/>
      <c r="H95" s="34"/>
      <c r="I95" s="42">
        <f>I85+I93</f>
        <v>102601.54153625001</v>
      </c>
    </row>
    <row r="96" spans="1:9" ht="15.75" customHeight="1">
      <c r="A96" s="147" t="s">
        <v>282</v>
      </c>
      <c r="B96" s="147"/>
      <c r="C96" s="147"/>
      <c r="D96" s="147"/>
      <c r="E96" s="147"/>
      <c r="F96" s="147"/>
      <c r="G96" s="147"/>
      <c r="H96" s="147"/>
      <c r="I96" s="147"/>
    </row>
    <row r="97" spans="1:9" ht="15.75" customHeight="1">
      <c r="A97" s="58"/>
      <c r="B97" s="148" t="s">
        <v>283</v>
      </c>
      <c r="C97" s="148"/>
      <c r="D97" s="148"/>
      <c r="E97" s="148"/>
      <c r="F97" s="148"/>
      <c r="G97" s="148"/>
      <c r="H97" s="66"/>
      <c r="I97" s="3"/>
    </row>
    <row r="98" spans="1:9" ht="15.75" customHeight="1">
      <c r="A98" s="52"/>
      <c r="B98" s="138" t="s">
        <v>6</v>
      </c>
      <c r="C98" s="138"/>
      <c r="D98" s="138"/>
      <c r="E98" s="138"/>
      <c r="F98" s="138"/>
      <c r="G98" s="138"/>
      <c r="H98" s="25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49" t="s">
        <v>7</v>
      </c>
      <c r="B100" s="149"/>
      <c r="C100" s="149"/>
      <c r="D100" s="149"/>
      <c r="E100" s="149"/>
      <c r="F100" s="149"/>
      <c r="G100" s="149"/>
      <c r="H100" s="149"/>
      <c r="I100" s="149"/>
    </row>
    <row r="101" spans="1:9" ht="15.75" customHeight="1">
      <c r="A101" s="149" t="s">
        <v>8</v>
      </c>
      <c r="B101" s="149"/>
      <c r="C101" s="149"/>
      <c r="D101" s="149"/>
      <c r="E101" s="149"/>
      <c r="F101" s="149"/>
      <c r="G101" s="149"/>
      <c r="H101" s="149"/>
      <c r="I101" s="149"/>
    </row>
    <row r="102" spans="1:9" ht="15.75" customHeight="1">
      <c r="A102" s="142" t="s">
        <v>65</v>
      </c>
      <c r="B102" s="142"/>
      <c r="C102" s="142"/>
      <c r="D102" s="142"/>
      <c r="E102" s="142"/>
      <c r="F102" s="142"/>
      <c r="G102" s="142"/>
      <c r="H102" s="142"/>
      <c r="I102" s="142"/>
    </row>
    <row r="103" spans="1:9" ht="15.75" customHeight="1">
      <c r="A103" s="11"/>
    </row>
    <row r="104" spans="1:9" ht="15.75" customHeight="1">
      <c r="A104" s="136" t="s">
        <v>9</v>
      </c>
      <c r="B104" s="136"/>
      <c r="C104" s="136"/>
      <c r="D104" s="136"/>
      <c r="E104" s="136"/>
      <c r="F104" s="136"/>
      <c r="G104" s="136"/>
      <c r="H104" s="136"/>
      <c r="I104" s="136"/>
    </row>
    <row r="105" spans="1:9" ht="15.75" customHeight="1">
      <c r="A105" s="4"/>
    </row>
    <row r="106" spans="1:9" ht="15.75" customHeight="1">
      <c r="B106" s="55" t="s">
        <v>10</v>
      </c>
      <c r="C106" s="137" t="s">
        <v>95</v>
      </c>
      <c r="D106" s="137"/>
      <c r="E106" s="137"/>
      <c r="F106" s="64"/>
      <c r="I106" s="54"/>
    </row>
    <row r="107" spans="1:9" ht="15.75" customHeight="1">
      <c r="A107" s="52"/>
      <c r="C107" s="138" t="s">
        <v>11</v>
      </c>
      <c r="D107" s="138"/>
      <c r="E107" s="138"/>
      <c r="F107" s="25"/>
      <c r="I107" s="53" t="s">
        <v>12</v>
      </c>
    </row>
    <row r="108" spans="1:9" ht="15.75" customHeight="1">
      <c r="A108" s="26"/>
      <c r="C108" s="12"/>
      <c r="D108" s="12"/>
      <c r="G108" s="12"/>
      <c r="H108" s="12"/>
    </row>
    <row r="109" spans="1:9" ht="15.75" customHeight="1">
      <c r="B109" s="55" t="s">
        <v>13</v>
      </c>
      <c r="C109" s="139"/>
      <c r="D109" s="139"/>
      <c r="E109" s="139"/>
      <c r="F109" s="65"/>
      <c r="I109" s="54"/>
    </row>
    <row r="110" spans="1:9" ht="15.75" customHeight="1">
      <c r="A110" s="52"/>
      <c r="C110" s="140" t="s">
        <v>11</v>
      </c>
      <c r="D110" s="140"/>
      <c r="E110" s="140"/>
      <c r="F110" s="52"/>
      <c r="I110" s="53" t="s">
        <v>12</v>
      </c>
    </row>
    <row r="111" spans="1:9" ht="15.75" customHeight="1">
      <c r="A111" s="4" t="s">
        <v>14</v>
      </c>
    </row>
    <row r="112" spans="1:9" ht="15.75" customHeight="1">
      <c r="A112" s="141" t="s">
        <v>15</v>
      </c>
      <c r="B112" s="141"/>
      <c r="C112" s="141"/>
      <c r="D112" s="141"/>
      <c r="E112" s="141"/>
      <c r="F112" s="141"/>
      <c r="G112" s="141"/>
      <c r="H112" s="141"/>
      <c r="I112" s="141"/>
    </row>
    <row r="113" spans="1:9" ht="45" customHeight="1">
      <c r="A113" s="135" t="s">
        <v>16</v>
      </c>
      <c r="B113" s="135"/>
      <c r="C113" s="135"/>
      <c r="D113" s="135"/>
      <c r="E113" s="135"/>
      <c r="F113" s="135"/>
      <c r="G113" s="135"/>
      <c r="H113" s="135"/>
      <c r="I113" s="135"/>
    </row>
    <row r="114" spans="1:9" ht="30" customHeight="1">
      <c r="A114" s="135" t="s">
        <v>17</v>
      </c>
      <c r="B114" s="135"/>
      <c r="C114" s="135"/>
      <c r="D114" s="135"/>
      <c r="E114" s="135"/>
      <c r="F114" s="135"/>
      <c r="G114" s="135"/>
      <c r="H114" s="135"/>
      <c r="I114" s="135"/>
    </row>
    <row r="115" spans="1:9" ht="30" customHeight="1">
      <c r="A115" s="135" t="s">
        <v>21</v>
      </c>
      <c r="B115" s="135"/>
      <c r="C115" s="135"/>
      <c r="D115" s="135"/>
      <c r="E115" s="135"/>
      <c r="F115" s="135"/>
      <c r="G115" s="135"/>
      <c r="H115" s="135"/>
      <c r="I115" s="135"/>
    </row>
    <row r="116" spans="1:9" ht="15" customHeight="1">
      <c r="A116" s="135" t="s">
        <v>20</v>
      </c>
      <c r="B116" s="135"/>
      <c r="C116" s="135"/>
      <c r="D116" s="135"/>
      <c r="E116" s="135"/>
      <c r="F116" s="135"/>
      <c r="G116" s="135"/>
      <c r="H116" s="135"/>
      <c r="I116" s="135"/>
    </row>
  </sheetData>
  <autoFilter ref="I12:I63"/>
  <mergeCells count="29">
    <mergeCell ref="R68:U68"/>
    <mergeCell ref="A82:I82"/>
    <mergeCell ref="A3:I3"/>
    <mergeCell ref="A4:I4"/>
    <mergeCell ref="A5:I5"/>
    <mergeCell ref="A8:I8"/>
    <mergeCell ref="A10:I10"/>
    <mergeCell ref="A14:I14"/>
    <mergeCell ref="A102:I102"/>
    <mergeCell ref="A15:I15"/>
    <mergeCell ref="A28:I28"/>
    <mergeCell ref="A45:I45"/>
    <mergeCell ref="A56:I56"/>
    <mergeCell ref="A96:I96"/>
    <mergeCell ref="B97:G97"/>
    <mergeCell ref="B98:G98"/>
    <mergeCell ref="A100:I100"/>
    <mergeCell ref="A101:I101"/>
    <mergeCell ref="A86:I86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39"/>
  <sheetViews>
    <sheetView topLeftCell="A88" workbookViewId="0">
      <selection activeCell="J113" sqref="J11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8.85546875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91</v>
      </c>
      <c r="I1" s="27"/>
      <c r="J1" s="1"/>
      <c r="K1" s="1"/>
      <c r="L1" s="1"/>
      <c r="M1" s="1"/>
    </row>
    <row r="2" spans="1:13" ht="15.75" customHeight="1">
      <c r="A2" s="29" t="s">
        <v>66</v>
      </c>
      <c r="J2" s="2"/>
      <c r="K2" s="2"/>
      <c r="L2" s="2"/>
      <c r="M2" s="2"/>
    </row>
    <row r="3" spans="1:13" ht="15.75" customHeight="1">
      <c r="A3" s="156" t="s">
        <v>173</v>
      </c>
      <c r="B3" s="156"/>
      <c r="C3" s="156"/>
      <c r="D3" s="156"/>
      <c r="E3" s="156"/>
      <c r="F3" s="156"/>
      <c r="G3" s="156"/>
      <c r="H3" s="156"/>
      <c r="I3" s="156"/>
      <c r="J3" s="3"/>
      <c r="K3" s="3"/>
      <c r="L3" s="3"/>
    </row>
    <row r="4" spans="1:13" ht="31.5" customHeight="1">
      <c r="A4" s="157" t="s">
        <v>142</v>
      </c>
      <c r="B4" s="157"/>
      <c r="C4" s="157"/>
      <c r="D4" s="157"/>
      <c r="E4" s="157"/>
      <c r="F4" s="157"/>
      <c r="G4" s="157"/>
      <c r="H4" s="157"/>
      <c r="I4" s="157"/>
    </row>
    <row r="5" spans="1:13" ht="15.75" customHeight="1">
      <c r="A5" s="156" t="s">
        <v>208</v>
      </c>
      <c r="B5" s="158"/>
      <c r="C5" s="158"/>
      <c r="D5" s="158"/>
      <c r="E5" s="158"/>
      <c r="F5" s="158"/>
      <c r="G5" s="158"/>
      <c r="H5" s="158"/>
      <c r="I5" s="158"/>
      <c r="J5" s="2"/>
      <c r="K5" s="2"/>
      <c r="L5" s="2"/>
      <c r="M5" s="2"/>
    </row>
    <row r="6" spans="1:13" ht="15.75" customHeight="1">
      <c r="A6" s="2"/>
      <c r="B6" s="56"/>
      <c r="C6" s="56"/>
      <c r="D6" s="56"/>
      <c r="E6" s="56"/>
      <c r="F6" s="56"/>
      <c r="G6" s="56"/>
      <c r="H6" s="56"/>
      <c r="I6" s="31">
        <v>43220</v>
      </c>
      <c r="J6" s="2"/>
      <c r="K6" s="2"/>
      <c r="L6" s="2"/>
      <c r="M6" s="2"/>
    </row>
    <row r="7" spans="1:13" ht="15.75" customHeight="1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9" t="s">
        <v>152</v>
      </c>
      <c r="B8" s="159"/>
      <c r="C8" s="159"/>
      <c r="D8" s="159"/>
      <c r="E8" s="159"/>
      <c r="F8" s="159"/>
      <c r="G8" s="159"/>
      <c r="H8" s="159"/>
      <c r="I8" s="15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60" t="s">
        <v>195</v>
      </c>
      <c r="B10" s="160"/>
      <c r="C10" s="160"/>
      <c r="D10" s="160"/>
      <c r="E10" s="160"/>
      <c r="F10" s="160"/>
      <c r="G10" s="160"/>
      <c r="H10" s="160"/>
      <c r="I10" s="16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61" t="s">
        <v>63</v>
      </c>
      <c r="B14" s="161"/>
      <c r="C14" s="161"/>
      <c r="D14" s="161"/>
      <c r="E14" s="161"/>
      <c r="F14" s="161"/>
      <c r="G14" s="161"/>
      <c r="H14" s="161"/>
      <c r="I14" s="161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7" t="s">
        <v>92</v>
      </c>
      <c r="C16" s="68" t="s">
        <v>111</v>
      </c>
      <c r="D16" s="67" t="s">
        <v>112</v>
      </c>
      <c r="E16" s="50">
        <v>127.9</v>
      </c>
      <c r="F16" s="69">
        <f>SUM(E16*156/100)</f>
        <v>199.524</v>
      </c>
      <c r="G16" s="69">
        <v>187.48</v>
      </c>
      <c r="H16" s="70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67" t="s">
        <v>100</v>
      </c>
      <c r="C17" s="68" t="s">
        <v>111</v>
      </c>
      <c r="D17" s="67" t="s">
        <v>166</v>
      </c>
      <c r="E17" s="50">
        <v>511.6</v>
      </c>
      <c r="F17" s="69">
        <f>SUM(E17*104/100)</f>
        <v>532.06399999999996</v>
      </c>
      <c r="G17" s="69">
        <v>185.48</v>
      </c>
      <c r="H17" s="70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67" t="s">
        <v>101</v>
      </c>
      <c r="C18" s="68" t="s">
        <v>111</v>
      </c>
      <c r="D18" s="67" t="s">
        <v>113</v>
      </c>
      <c r="E18" s="50">
        <f>SUM(E16+E17)</f>
        <v>639.5</v>
      </c>
      <c r="F18" s="69">
        <f>SUM(E18*24/100)</f>
        <v>153.47999999999999</v>
      </c>
      <c r="G18" s="69">
        <v>539.30999999999995</v>
      </c>
      <c r="H18" s="70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67" t="s">
        <v>114</v>
      </c>
      <c r="C19" s="68" t="s">
        <v>115</v>
      </c>
      <c r="D19" s="67" t="s">
        <v>116</v>
      </c>
      <c r="E19" s="50">
        <v>38.4</v>
      </c>
      <c r="F19" s="69">
        <f>SUM(E19/10)</f>
        <v>3.84</v>
      </c>
      <c r="G19" s="69">
        <v>181.91</v>
      </c>
      <c r="H19" s="70">
        <f t="shared" si="0"/>
        <v>0.6985344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67" t="s">
        <v>105</v>
      </c>
      <c r="C20" s="68" t="s">
        <v>111</v>
      </c>
      <c r="D20" s="67" t="s">
        <v>30</v>
      </c>
      <c r="E20" s="50">
        <v>58.4</v>
      </c>
      <c r="F20" s="69">
        <f>SUM(E20*12/100)</f>
        <v>7.0079999999999991</v>
      </c>
      <c r="G20" s="69">
        <v>232.92</v>
      </c>
      <c r="H20" s="70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7" t="s">
        <v>106</v>
      </c>
      <c r="C21" s="68" t="s">
        <v>111</v>
      </c>
      <c r="D21" s="67" t="s">
        <v>110</v>
      </c>
      <c r="E21" s="50">
        <v>9.08</v>
      </c>
      <c r="F21" s="69">
        <f>SUM(E21*6/100)</f>
        <v>0.54480000000000006</v>
      </c>
      <c r="G21" s="69">
        <v>231.03</v>
      </c>
      <c r="H21" s="70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67" t="s">
        <v>117</v>
      </c>
      <c r="C22" s="68" t="s">
        <v>56</v>
      </c>
      <c r="D22" s="67" t="s">
        <v>116</v>
      </c>
      <c r="E22" s="50">
        <v>714</v>
      </c>
      <c r="F22" s="69">
        <f>SUM(E22/100)</f>
        <v>7.14</v>
      </c>
      <c r="G22" s="69">
        <v>287.83999999999997</v>
      </c>
      <c r="H22" s="70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67" t="s">
        <v>118</v>
      </c>
      <c r="C23" s="68" t="s">
        <v>56</v>
      </c>
      <c r="D23" s="67" t="s">
        <v>116</v>
      </c>
      <c r="E23" s="63">
        <v>96.6</v>
      </c>
      <c r="F23" s="69">
        <f>SUM(E23/100)</f>
        <v>0.96599999999999997</v>
      </c>
      <c r="G23" s="69">
        <v>47.34</v>
      </c>
      <c r="H23" s="70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67" t="s">
        <v>108</v>
      </c>
      <c r="C24" s="68" t="s">
        <v>56</v>
      </c>
      <c r="D24" s="67" t="s">
        <v>116</v>
      </c>
      <c r="E24" s="19">
        <v>40</v>
      </c>
      <c r="F24" s="71">
        <v>4.8</v>
      </c>
      <c r="G24" s="69">
        <v>416.62</v>
      </c>
      <c r="H24" s="70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67" t="s">
        <v>109</v>
      </c>
      <c r="C25" s="68" t="s">
        <v>56</v>
      </c>
      <c r="D25" s="67" t="s">
        <v>116</v>
      </c>
      <c r="E25" s="50">
        <v>17</v>
      </c>
      <c r="F25" s="69">
        <f>SUM(E25/100)</f>
        <v>0.17</v>
      </c>
      <c r="G25" s="69">
        <v>556.74</v>
      </c>
      <c r="H25" s="70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customHeight="1">
      <c r="A26" s="30">
        <v>5</v>
      </c>
      <c r="B26" s="67" t="s">
        <v>68</v>
      </c>
      <c r="C26" s="68" t="s">
        <v>34</v>
      </c>
      <c r="D26" s="67"/>
      <c r="E26" s="50">
        <v>0.1</v>
      </c>
      <c r="F26" s="69">
        <f>SUM(E26*365)</f>
        <v>36.5</v>
      </c>
      <c r="G26" s="69">
        <v>157.18</v>
      </c>
      <c r="H26" s="70">
        <f>SUM(F26*G26/1000)</f>
        <v>5.737070000000001</v>
      </c>
      <c r="I26" s="13">
        <f>F26/12*G26</f>
        <v>478.08916666666664</v>
      </c>
      <c r="J26" s="24"/>
    </row>
    <row r="27" spans="1:13" ht="15.75" customHeight="1">
      <c r="A27" s="30">
        <v>6</v>
      </c>
      <c r="B27" s="75" t="s">
        <v>23</v>
      </c>
      <c r="C27" s="68" t="s">
        <v>24</v>
      </c>
      <c r="D27" s="75"/>
      <c r="E27" s="50">
        <v>4591.2</v>
      </c>
      <c r="F27" s="69">
        <f>SUM(E27*12)</f>
        <v>55094.399999999994</v>
      </c>
      <c r="G27" s="69">
        <v>5.85</v>
      </c>
      <c r="H27" s="70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43" t="s">
        <v>90</v>
      </c>
      <c r="B28" s="143"/>
      <c r="C28" s="143"/>
      <c r="D28" s="143"/>
      <c r="E28" s="143"/>
      <c r="F28" s="143"/>
      <c r="G28" s="143"/>
      <c r="H28" s="143"/>
      <c r="I28" s="143"/>
      <c r="J28" s="23"/>
      <c r="K28" s="8"/>
      <c r="L28" s="8"/>
      <c r="M28" s="8"/>
    </row>
    <row r="29" spans="1:13" ht="15.75" hidden="1" customHeight="1">
      <c r="A29" s="30"/>
      <c r="B29" s="89" t="s">
        <v>28</v>
      </c>
      <c r="C29" s="68"/>
      <c r="D29" s="67"/>
      <c r="E29" s="50"/>
      <c r="F29" s="69"/>
      <c r="G29" s="69"/>
      <c r="H29" s="70"/>
      <c r="I29" s="13"/>
      <c r="J29" s="23"/>
      <c r="K29" s="8"/>
      <c r="L29" s="8"/>
      <c r="M29" s="8"/>
    </row>
    <row r="30" spans="1:13" ht="15.75" hidden="1" customHeight="1">
      <c r="A30" s="30">
        <v>7</v>
      </c>
      <c r="B30" s="67" t="s">
        <v>119</v>
      </c>
      <c r="C30" s="68" t="s">
        <v>120</v>
      </c>
      <c r="D30" s="67" t="s">
        <v>121</v>
      </c>
      <c r="E30" s="69">
        <v>844.95</v>
      </c>
      <c r="F30" s="69">
        <f>SUM(E30*52/1000)</f>
        <v>43.937400000000004</v>
      </c>
      <c r="G30" s="69">
        <v>166.65</v>
      </c>
      <c r="H30" s="70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hidden="1" customHeight="1">
      <c r="A31" s="30">
        <v>8</v>
      </c>
      <c r="B31" s="67" t="s">
        <v>167</v>
      </c>
      <c r="C31" s="68" t="s">
        <v>120</v>
      </c>
      <c r="D31" s="67" t="s">
        <v>122</v>
      </c>
      <c r="E31" s="69">
        <v>260.13</v>
      </c>
      <c r="F31" s="69">
        <f>SUM(E31*78/1000)</f>
        <v>20.290140000000001</v>
      </c>
      <c r="G31" s="69">
        <v>276.48</v>
      </c>
      <c r="H31" s="70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67" t="s">
        <v>27</v>
      </c>
      <c r="C32" s="68" t="s">
        <v>120</v>
      </c>
      <c r="D32" s="67" t="s">
        <v>57</v>
      </c>
      <c r="E32" s="69">
        <v>844.95</v>
      </c>
      <c r="F32" s="69">
        <f>SUM(E32/1000)</f>
        <v>0.84495000000000009</v>
      </c>
      <c r="G32" s="69">
        <v>3228.73</v>
      </c>
      <c r="H32" s="70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hidden="1" customHeight="1">
      <c r="A33" s="30">
        <v>9</v>
      </c>
      <c r="B33" s="67" t="s">
        <v>154</v>
      </c>
      <c r="C33" s="68" t="s">
        <v>42</v>
      </c>
      <c r="D33" s="67" t="s">
        <v>67</v>
      </c>
      <c r="E33" s="69">
        <v>8</v>
      </c>
      <c r="F33" s="69">
        <v>12.4</v>
      </c>
      <c r="G33" s="69">
        <v>1391.86</v>
      </c>
      <c r="H33" s="70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hidden="1" customHeight="1">
      <c r="A34" s="30">
        <v>10</v>
      </c>
      <c r="B34" s="67" t="s">
        <v>123</v>
      </c>
      <c r="C34" s="68" t="s">
        <v>31</v>
      </c>
      <c r="D34" s="67" t="s">
        <v>67</v>
      </c>
      <c r="E34" s="74">
        <v>0.33333333333333331</v>
      </c>
      <c r="F34" s="69">
        <f>155/3</f>
        <v>51.666666666666664</v>
      </c>
      <c r="G34" s="69">
        <v>60.6</v>
      </c>
      <c r="H34" s="70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67" t="s">
        <v>69</v>
      </c>
      <c r="C35" s="68" t="s">
        <v>34</v>
      </c>
      <c r="D35" s="67" t="s">
        <v>71</v>
      </c>
      <c r="E35" s="50"/>
      <c r="F35" s="69">
        <v>3</v>
      </c>
      <c r="G35" s="69">
        <v>204.32</v>
      </c>
      <c r="H35" s="70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67" t="s">
        <v>70</v>
      </c>
      <c r="C36" s="68" t="s">
        <v>33</v>
      </c>
      <c r="D36" s="67" t="s">
        <v>71</v>
      </c>
      <c r="E36" s="50"/>
      <c r="F36" s="69">
        <v>2</v>
      </c>
      <c r="G36" s="69">
        <v>1214.73</v>
      </c>
      <c r="H36" s="70">
        <f t="shared" si="1"/>
        <v>2.4294600000000002</v>
      </c>
      <c r="I36" s="13">
        <v>0</v>
      </c>
      <c r="J36" s="24"/>
    </row>
    <row r="37" spans="1:14" ht="15.75" customHeight="1">
      <c r="A37" s="30"/>
      <c r="B37" s="89" t="s">
        <v>5</v>
      </c>
      <c r="C37" s="68"/>
      <c r="D37" s="67"/>
      <c r="E37" s="50"/>
      <c r="F37" s="69"/>
      <c r="G37" s="69"/>
      <c r="H37" s="70" t="s">
        <v>139</v>
      </c>
      <c r="I37" s="13"/>
      <c r="J37" s="24"/>
    </row>
    <row r="38" spans="1:14" ht="15.75" customHeight="1">
      <c r="A38" s="30">
        <v>7</v>
      </c>
      <c r="B38" s="67" t="s">
        <v>26</v>
      </c>
      <c r="C38" s="68" t="s">
        <v>33</v>
      </c>
      <c r="D38" s="67"/>
      <c r="E38" s="50"/>
      <c r="F38" s="69">
        <v>10</v>
      </c>
      <c r="G38" s="69">
        <v>1632.6</v>
      </c>
      <c r="H38" s="70">
        <f t="shared" ref="H38:H44" si="3">SUM(F38*G38/1000)</f>
        <v>16.326000000000001</v>
      </c>
      <c r="I38" s="13">
        <f>F38/6*G38</f>
        <v>2721</v>
      </c>
      <c r="J38" s="24"/>
    </row>
    <row r="39" spans="1:14" ht="15.75" customHeight="1">
      <c r="A39" s="30">
        <v>8</v>
      </c>
      <c r="B39" s="67" t="s">
        <v>155</v>
      </c>
      <c r="C39" s="68" t="s">
        <v>29</v>
      </c>
      <c r="D39" s="67" t="s">
        <v>124</v>
      </c>
      <c r="E39" s="69">
        <v>254.8</v>
      </c>
      <c r="F39" s="69">
        <f>SUM(E39*30/1000)</f>
        <v>7.6440000000000001</v>
      </c>
      <c r="G39" s="69">
        <v>2247.8000000000002</v>
      </c>
      <c r="H39" s="70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67" t="s">
        <v>102</v>
      </c>
      <c r="C40" s="68" t="s">
        <v>125</v>
      </c>
      <c r="D40" s="67" t="s">
        <v>71</v>
      </c>
      <c r="E40" s="50"/>
      <c r="F40" s="69">
        <v>40</v>
      </c>
      <c r="G40" s="69">
        <v>213.2</v>
      </c>
      <c r="H40" s="70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customHeight="1">
      <c r="A41" s="30">
        <v>9</v>
      </c>
      <c r="B41" s="67" t="s">
        <v>72</v>
      </c>
      <c r="C41" s="68" t="s">
        <v>29</v>
      </c>
      <c r="D41" s="67" t="s">
        <v>126</v>
      </c>
      <c r="E41" s="69">
        <v>260.13</v>
      </c>
      <c r="F41" s="69">
        <f>SUM(E41*155/1000)</f>
        <v>40.320149999999998</v>
      </c>
      <c r="G41" s="69">
        <v>374.95</v>
      </c>
      <c r="H41" s="70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customHeight="1">
      <c r="A42" s="30">
        <v>10</v>
      </c>
      <c r="B42" s="67" t="s">
        <v>88</v>
      </c>
      <c r="C42" s="68" t="s">
        <v>120</v>
      </c>
      <c r="D42" s="67" t="s">
        <v>127</v>
      </c>
      <c r="E42" s="69">
        <v>132.72999999999999</v>
      </c>
      <c r="F42" s="69">
        <f>SUM(E42*35/1000)</f>
        <v>4.6455499999999992</v>
      </c>
      <c r="G42" s="69">
        <v>6203.7</v>
      </c>
      <c r="H42" s="70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customHeight="1">
      <c r="A43" s="30">
        <v>11</v>
      </c>
      <c r="B43" s="67" t="s">
        <v>128</v>
      </c>
      <c r="C43" s="68" t="s">
        <v>120</v>
      </c>
      <c r="D43" s="67" t="s">
        <v>73</v>
      </c>
      <c r="E43" s="69">
        <v>254.8</v>
      </c>
      <c r="F43" s="69">
        <f>SUM(E43*45/1000)</f>
        <v>11.465999999999999</v>
      </c>
      <c r="G43" s="69">
        <v>458.28</v>
      </c>
      <c r="H43" s="70">
        <f t="shared" si="3"/>
        <v>5.2546384799999997</v>
      </c>
      <c r="I43" s="13">
        <f>F43/7.5*1.5*G43</f>
        <v>1050.9276959999997</v>
      </c>
      <c r="J43" s="24"/>
      <c r="L43" s="20"/>
      <c r="M43" s="21"/>
      <c r="N43" s="22"/>
    </row>
    <row r="44" spans="1:14" ht="15.75" customHeight="1">
      <c r="A44" s="30">
        <v>12</v>
      </c>
      <c r="B44" s="67" t="s">
        <v>74</v>
      </c>
      <c r="C44" s="68" t="s">
        <v>34</v>
      </c>
      <c r="D44" s="67"/>
      <c r="E44" s="50"/>
      <c r="F44" s="69">
        <v>0.9</v>
      </c>
      <c r="G44" s="69">
        <v>853.06</v>
      </c>
      <c r="H44" s="70">
        <f t="shared" si="3"/>
        <v>0.76775400000000005</v>
      </c>
      <c r="I44" s="13">
        <f>F44/7.5*1.5*G44</f>
        <v>153.55080000000001</v>
      </c>
      <c r="J44" s="24"/>
      <c r="L44" s="20"/>
      <c r="M44" s="21"/>
      <c r="N44" s="22"/>
    </row>
    <row r="45" spans="1:14" ht="19.5" customHeight="1">
      <c r="A45" s="144" t="s">
        <v>149</v>
      </c>
      <c r="B45" s="145"/>
      <c r="C45" s="145"/>
      <c r="D45" s="145"/>
      <c r="E45" s="145"/>
      <c r="F45" s="145"/>
      <c r="G45" s="145"/>
      <c r="H45" s="145"/>
      <c r="I45" s="146"/>
      <c r="J45" s="24"/>
      <c r="L45" s="20"/>
      <c r="M45" s="21"/>
      <c r="N45" s="22"/>
    </row>
    <row r="46" spans="1:14" ht="33.75" hidden="1" customHeight="1">
      <c r="A46" s="30"/>
      <c r="B46" s="67" t="s">
        <v>143</v>
      </c>
      <c r="C46" s="68" t="s">
        <v>120</v>
      </c>
      <c r="D46" s="67" t="s">
        <v>44</v>
      </c>
      <c r="E46" s="50">
        <v>1795.9</v>
      </c>
      <c r="F46" s="69">
        <f>SUM(E46*2/1000)</f>
        <v>3.5918000000000001</v>
      </c>
      <c r="G46" s="13">
        <v>865.61</v>
      </c>
      <c r="H46" s="70">
        <f t="shared" ref="H46:H55" si="4">SUM(F46*G46/1000)</f>
        <v>3.1090979980000002</v>
      </c>
      <c r="I46" s="13">
        <v>0</v>
      </c>
      <c r="J46" s="24"/>
      <c r="L46" s="20"/>
      <c r="M46" s="21"/>
      <c r="N46" s="22"/>
    </row>
    <row r="47" spans="1:14" ht="31.5" hidden="1" customHeight="1">
      <c r="A47" s="30"/>
      <c r="B47" s="67" t="s">
        <v>37</v>
      </c>
      <c r="C47" s="68" t="s">
        <v>120</v>
      </c>
      <c r="D47" s="67" t="s">
        <v>44</v>
      </c>
      <c r="E47" s="50">
        <v>104</v>
      </c>
      <c r="F47" s="69">
        <f>SUM(E47*2/1000)</f>
        <v>0.20799999999999999</v>
      </c>
      <c r="G47" s="13">
        <v>619.46</v>
      </c>
      <c r="H47" s="70">
        <f t="shared" si="4"/>
        <v>0.12884767999999999</v>
      </c>
      <c r="I47" s="13">
        <v>0</v>
      </c>
      <c r="J47" s="24"/>
      <c r="L47" s="20"/>
      <c r="M47" s="21"/>
      <c r="N47" s="22"/>
    </row>
    <row r="48" spans="1:14" ht="41.25" hidden="1" customHeight="1">
      <c r="A48" s="30"/>
      <c r="B48" s="67" t="s">
        <v>38</v>
      </c>
      <c r="C48" s="68" t="s">
        <v>120</v>
      </c>
      <c r="D48" s="67" t="s">
        <v>44</v>
      </c>
      <c r="E48" s="50">
        <v>1996.87</v>
      </c>
      <c r="F48" s="69">
        <f>SUM(E48*2/1000)</f>
        <v>3.9937399999999998</v>
      </c>
      <c r="G48" s="13">
        <v>619.46</v>
      </c>
      <c r="H48" s="70">
        <f t="shared" si="4"/>
        <v>2.4739621804</v>
      </c>
      <c r="I48" s="13">
        <v>0</v>
      </c>
      <c r="J48" s="24"/>
      <c r="L48" s="20"/>
      <c r="M48" s="21"/>
      <c r="N48" s="22"/>
    </row>
    <row r="49" spans="1:14" ht="30.75" hidden="1" customHeight="1">
      <c r="A49" s="30"/>
      <c r="B49" s="67" t="s">
        <v>39</v>
      </c>
      <c r="C49" s="68" t="s">
        <v>120</v>
      </c>
      <c r="D49" s="67" t="s">
        <v>44</v>
      </c>
      <c r="E49" s="50">
        <v>2630.35</v>
      </c>
      <c r="F49" s="69">
        <f>SUM(E49*2/1000)</f>
        <v>5.2606999999999999</v>
      </c>
      <c r="G49" s="13">
        <v>648.64</v>
      </c>
      <c r="H49" s="70">
        <f t="shared" si="4"/>
        <v>3.4123004479999999</v>
      </c>
      <c r="I49" s="13">
        <v>0</v>
      </c>
      <c r="J49" s="24"/>
      <c r="L49" s="20"/>
      <c r="M49" s="21"/>
      <c r="N49" s="22"/>
    </row>
    <row r="50" spans="1:14" ht="27" hidden="1" customHeight="1">
      <c r="A50" s="30"/>
      <c r="B50" s="67" t="s">
        <v>35</v>
      </c>
      <c r="C50" s="68" t="s">
        <v>36</v>
      </c>
      <c r="D50" s="67" t="s">
        <v>44</v>
      </c>
      <c r="E50" s="50">
        <v>131.47</v>
      </c>
      <c r="F50" s="69">
        <f>SUM(E50*2/100)</f>
        <v>2.6294</v>
      </c>
      <c r="G50" s="13">
        <v>77.84</v>
      </c>
      <c r="H50" s="70">
        <f t="shared" si="4"/>
        <v>0.20467249599999998</v>
      </c>
      <c r="I50" s="13">
        <v>0</v>
      </c>
      <c r="J50" s="24"/>
      <c r="L50" s="20"/>
      <c r="M50" s="21"/>
      <c r="N50" s="22"/>
    </row>
    <row r="51" spans="1:14" ht="35.25" hidden="1" customHeight="1">
      <c r="A51" s="30">
        <v>14</v>
      </c>
      <c r="B51" s="67" t="s">
        <v>60</v>
      </c>
      <c r="C51" s="68" t="s">
        <v>120</v>
      </c>
      <c r="D51" s="67" t="s">
        <v>168</v>
      </c>
      <c r="E51" s="50">
        <v>2872.4</v>
      </c>
      <c r="F51" s="69">
        <f>SUM(E51*5/1000)</f>
        <v>14.362</v>
      </c>
      <c r="G51" s="13">
        <v>1297.28</v>
      </c>
      <c r="H51" s="70">
        <f t="shared" si="4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14" ht="34.5" customHeight="1">
      <c r="A52" s="30">
        <v>13</v>
      </c>
      <c r="B52" s="67" t="s">
        <v>129</v>
      </c>
      <c r="C52" s="68" t="s">
        <v>120</v>
      </c>
      <c r="D52" s="67" t="s">
        <v>44</v>
      </c>
      <c r="E52" s="50">
        <v>2872.4</v>
      </c>
      <c r="F52" s="69">
        <f>SUM(E52*2/1000)</f>
        <v>5.7448000000000006</v>
      </c>
      <c r="G52" s="13">
        <v>1297.28</v>
      </c>
      <c r="H52" s="70">
        <f t="shared" si="4"/>
        <v>7.4526141440000009</v>
      </c>
      <c r="I52" s="13">
        <f>F52/2*G52</f>
        <v>3726.3070720000005</v>
      </c>
      <c r="J52" s="24"/>
      <c r="L52" s="20"/>
      <c r="M52" s="21"/>
      <c r="N52" s="22"/>
    </row>
    <row r="53" spans="1:14" ht="30.75" customHeight="1">
      <c r="A53" s="30">
        <v>14</v>
      </c>
      <c r="B53" s="67" t="s">
        <v>130</v>
      </c>
      <c r="C53" s="68" t="s">
        <v>40</v>
      </c>
      <c r="D53" s="67" t="s">
        <v>44</v>
      </c>
      <c r="E53" s="50">
        <v>40</v>
      </c>
      <c r="F53" s="69">
        <f>SUM(E53*2/100)</f>
        <v>0.8</v>
      </c>
      <c r="G53" s="13">
        <v>2918.89</v>
      </c>
      <c r="H53" s="70">
        <f t="shared" si="4"/>
        <v>2.3351120000000001</v>
      </c>
      <c r="I53" s="13">
        <f>F53/2*G53</f>
        <v>1167.556</v>
      </c>
      <c r="J53" s="24"/>
      <c r="L53" s="20"/>
      <c r="M53" s="21"/>
      <c r="N53" s="22"/>
    </row>
    <row r="54" spans="1:14" ht="15" customHeight="1">
      <c r="A54" s="30">
        <v>15</v>
      </c>
      <c r="B54" s="67" t="s">
        <v>41</v>
      </c>
      <c r="C54" s="68" t="s">
        <v>42</v>
      </c>
      <c r="D54" s="67" t="s">
        <v>44</v>
      </c>
      <c r="E54" s="50">
        <v>1</v>
      </c>
      <c r="F54" s="69">
        <v>0.02</v>
      </c>
      <c r="G54" s="13">
        <v>6042.12</v>
      </c>
      <c r="H54" s="70">
        <f t="shared" si="4"/>
        <v>0.1208424</v>
      </c>
      <c r="I54" s="13">
        <f>F54/2*G54</f>
        <v>60.421199999999999</v>
      </c>
      <c r="J54" s="24"/>
      <c r="L54" s="20"/>
      <c r="M54" s="21"/>
      <c r="N54" s="22"/>
    </row>
    <row r="55" spans="1:14" ht="21" hidden="1" customHeight="1">
      <c r="A55" s="30">
        <v>13</v>
      </c>
      <c r="B55" s="67" t="s">
        <v>43</v>
      </c>
      <c r="C55" s="68" t="s">
        <v>31</v>
      </c>
      <c r="D55" s="67" t="s">
        <v>75</v>
      </c>
      <c r="E55" s="50">
        <v>160</v>
      </c>
      <c r="F55" s="69">
        <f>SUM(E55)*3</f>
        <v>480</v>
      </c>
      <c r="G55" s="13">
        <v>70.209999999999994</v>
      </c>
      <c r="H55" s="70">
        <f t="shared" si="4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14" ht="15.75" customHeight="1">
      <c r="A56" s="144" t="s">
        <v>171</v>
      </c>
      <c r="B56" s="145"/>
      <c r="C56" s="145"/>
      <c r="D56" s="145"/>
      <c r="E56" s="145"/>
      <c r="F56" s="145"/>
      <c r="G56" s="145"/>
      <c r="H56" s="145"/>
      <c r="I56" s="146"/>
      <c r="J56" s="24"/>
      <c r="L56" s="20"/>
      <c r="M56" s="21"/>
      <c r="N56" s="22"/>
    </row>
    <row r="57" spans="1:14" ht="15.75" customHeight="1">
      <c r="A57" s="30"/>
      <c r="B57" s="89" t="s">
        <v>45</v>
      </c>
      <c r="C57" s="68"/>
      <c r="D57" s="67"/>
      <c r="E57" s="50"/>
      <c r="F57" s="69"/>
      <c r="G57" s="69"/>
      <c r="H57" s="70"/>
      <c r="I57" s="13"/>
      <c r="J57" s="24"/>
      <c r="L57" s="20"/>
      <c r="M57" s="21"/>
      <c r="N57" s="22"/>
    </row>
    <row r="58" spans="1:14" ht="31.5" customHeight="1">
      <c r="A58" s="30">
        <v>16</v>
      </c>
      <c r="B58" s="67" t="s">
        <v>132</v>
      </c>
      <c r="C58" s="68" t="s">
        <v>111</v>
      </c>
      <c r="D58" s="67" t="s">
        <v>76</v>
      </c>
      <c r="E58" s="50">
        <v>239.59</v>
      </c>
      <c r="F58" s="69">
        <f>E58*6/100</f>
        <v>14.375399999999999</v>
      </c>
      <c r="G58" s="76">
        <v>1654.04</v>
      </c>
      <c r="H58" s="70">
        <f>F58*G58/1000</f>
        <v>23.777486615999997</v>
      </c>
      <c r="I58" s="13">
        <f>G58*5.78</f>
        <v>9560.351200000001</v>
      </c>
      <c r="J58" s="24"/>
      <c r="L58" s="20"/>
      <c r="M58" s="21"/>
      <c r="N58" s="22"/>
    </row>
    <row r="59" spans="1:14" ht="15" customHeight="1">
      <c r="A59" s="30">
        <v>17</v>
      </c>
      <c r="B59" s="105" t="s">
        <v>93</v>
      </c>
      <c r="C59" s="106" t="s">
        <v>209</v>
      </c>
      <c r="D59" s="105" t="s">
        <v>71</v>
      </c>
      <c r="E59" s="79"/>
      <c r="F59" s="81"/>
      <c r="G59" s="116">
        <v>1501</v>
      </c>
      <c r="H59" s="83"/>
      <c r="I59" s="13">
        <f>G59*10</f>
        <v>15010</v>
      </c>
      <c r="J59" s="24"/>
      <c r="L59" s="20"/>
      <c r="M59" s="21"/>
      <c r="N59" s="22"/>
    </row>
    <row r="60" spans="1:14" ht="15.75" customHeight="1">
      <c r="A60" s="30"/>
      <c r="B60" s="90" t="s">
        <v>46</v>
      </c>
      <c r="C60" s="77"/>
      <c r="D60" s="78"/>
      <c r="E60" s="79"/>
      <c r="F60" s="81"/>
      <c r="G60" s="13"/>
      <c r="H60" s="83"/>
      <c r="I60" s="13"/>
      <c r="J60" s="24"/>
      <c r="L60" s="20"/>
      <c r="M60" s="21"/>
      <c r="N60" s="22"/>
    </row>
    <row r="61" spans="1:14" ht="15.75" hidden="1" customHeight="1">
      <c r="A61" s="30"/>
      <c r="B61" s="78" t="s">
        <v>47</v>
      </c>
      <c r="C61" s="77" t="s">
        <v>56</v>
      </c>
      <c r="D61" s="78" t="s">
        <v>57</v>
      </c>
      <c r="E61" s="79">
        <v>2686</v>
      </c>
      <c r="F61" s="81">
        <f>E61/100</f>
        <v>26.86</v>
      </c>
      <c r="G61" s="13">
        <v>848.37</v>
      </c>
      <c r="H61" s="83">
        <f>G61*F61/1000</f>
        <v>22.787218199999998</v>
      </c>
      <c r="I61" s="13">
        <v>0</v>
      </c>
      <c r="J61" s="24"/>
      <c r="L61" s="20"/>
    </row>
    <row r="62" spans="1:14" ht="15.75" customHeight="1">
      <c r="A62" s="30">
        <v>18</v>
      </c>
      <c r="B62" s="78" t="s">
        <v>103</v>
      </c>
      <c r="C62" s="77" t="s">
        <v>25</v>
      </c>
      <c r="D62" s="78" t="s">
        <v>30</v>
      </c>
      <c r="E62" s="79">
        <v>343</v>
      </c>
      <c r="F62" s="81">
        <v>4116</v>
      </c>
      <c r="G62" s="13">
        <v>1.2</v>
      </c>
      <c r="H62" s="83">
        <f>F62*G62</f>
        <v>4939.2</v>
      </c>
      <c r="I62" s="13">
        <f>4116/12*G62</f>
        <v>411.59999999999997</v>
      </c>
    </row>
    <row r="63" spans="1:14" ht="15.75" hidden="1" customHeight="1">
      <c r="A63" s="30"/>
      <c r="B63" s="90" t="s">
        <v>144</v>
      </c>
      <c r="C63" s="77"/>
      <c r="D63" s="78"/>
      <c r="E63" s="79"/>
      <c r="F63" s="81"/>
      <c r="G63" s="13"/>
      <c r="H63" s="83"/>
      <c r="I63" s="13"/>
    </row>
    <row r="64" spans="1:14" ht="15.75" hidden="1" customHeight="1">
      <c r="A64" s="30"/>
      <c r="B64" s="78" t="s">
        <v>145</v>
      </c>
      <c r="C64" s="77" t="s">
        <v>31</v>
      </c>
      <c r="D64" s="78" t="s">
        <v>71</v>
      </c>
      <c r="E64" s="79">
        <v>3</v>
      </c>
      <c r="F64" s="80">
        <v>3</v>
      </c>
      <c r="G64" s="82">
        <v>254.16</v>
      </c>
      <c r="H64" s="81">
        <v>0.76200000000000001</v>
      </c>
      <c r="I64" s="13">
        <v>0</v>
      </c>
    </row>
    <row r="65" spans="1:22" ht="15.75" hidden="1" customHeight="1">
      <c r="A65" s="30"/>
      <c r="B65" s="90" t="s">
        <v>48</v>
      </c>
      <c r="C65" s="77"/>
      <c r="D65" s="78"/>
      <c r="E65" s="79"/>
      <c r="F65" s="80"/>
      <c r="G65" s="80"/>
      <c r="H65" s="81" t="s">
        <v>139</v>
      </c>
      <c r="I65" s="1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0"/>
      <c r="B66" s="14" t="s">
        <v>49</v>
      </c>
      <c r="C66" s="16" t="s">
        <v>131</v>
      </c>
      <c r="D66" s="78" t="s">
        <v>71</v>
      </c>
      <c r="E66" s="19">
        <v>15</v>
      </c>
      <c r="F66" s="69">
        <v>15</v>
      </c>
      <c r="G66" s="13">
        <v>237.74</v>
      </c>
      <c r="H66" s="84">
        <f t="shared" ref="H66:H79" si="5">SUM(F66*G66/1000)</f>
        <v>3.5661000000000005</v>
      </c>
      <c r="I66" s="13">
        <v>0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0"/>
      <c r="B67" s="14" t="s">
        <v>50</v>
      </c>
      <c r="C67" s="16" t="s">
        <v>131</v>
      </c>
      <c r="D67" s="78" t="s">
        <v>71</v>
      </c>
      <c r="E67" s="19">
        <v>5</v>
      </c>
      <c r="F67" s="69">
        <v>5</v>
      </c>
      <c r="G67" s="13">
        <v>81.510000000000005</v>
      </c>
      <c r="H67" s="84">
        <f t="shared" si="5"/>
        <v>0.40755000000000002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0"/>
      <c r="B68" s="14" t="s">
        <v>51</v>
      </c>
      <c r="C68" s="16" t="s">
        <v>133</v>
      </c>
      <c r="D68" s="14" t="s">
        <v>57</v>
      </c>
      <c r="E68" s="50">
        <v>24123</v>
      </c>
      <c r="F68" s="13">
        <f>SUM(E68/100)</f>
        <v>241.23</v>
      </c>
      <c r="G68" s="13">
        <v>226.79</v>
      </c>
      <c r="H68" s="84">
        <f t="shared" si="5"/>
        <v>54.708551699999994</v>
      </c>
      <c r="I68" s="13">
        <f>F68*G68</f>
        <v>54708.551699999996</v>
      </c>
      <c r="J68" s="5"/>
      <c r="K68" s="5"/>
      <c r="L68" s="5"/>
      <c r="M68" s="5"/>
      <c r="N68" s="5"/>
      <c r="O68" s="5"/>
      <c r="P68" s="5"/>
      <c r="Q68" s="5"/>
      <c r="R68" s="140"/>
      <c r="S68" s="140"/>
      <c r="T68" s="140"/>
      <c r="U68" s="140"/>
    </row>
    <row r="69" spans="1:22" ht="15.75" hidden="1" customHeight="1">
      <c r="A69" s="30"/>
      <c r="B69" s="14" t="s">
        <v>52</v>
      </c>
      <c r="C69" s="16" t="s">
        <v>134</v>
      </c>
      <c r="D69" s="14"/>
      <c r="E69" s="50">
        <v>24123</v>
      </c>
      <c r="F69" s="13">
        <f>SUM(E69/1000)</f>
        <v>24.123000000000001</v>
      </c>
      <c r="G69" s="13">
        <v>176.61</v>
      </c>
      <c r="H69" s="84">
        <f t="shared" si="5"/>
        <v>4.2603630300000006</v>
      </c>
      <c r="I69" s="13">
        <f t="shared" ref="I69:I73" si="6">F69*G69</f>
        <v>4260.3630300000004</v>
      </c>
    </row>
    <row r="70" spans="1:22" ht="15.75" hidden="1" customHeight="1">
      <c r="A70" s="30"/>
      <c r="B70" s="14" t="s">
        <v>53</v>
      </c>
      <c r="C70" s="16" t="s">
        <v>81</v>
      </c>
      <c r="D70" s="14" t="s">
        <v>57</v>
      </c>
      <c r="E70" s="50">
        <v>2730</v>
      </c>
      <c r="F70" s="13">
        <f>SUM(E70/100)</f>
        <v>27.3</v>
      </c>
      <c r="G70" s="13">
        <v>2217.7800000000002</v>
      </c>
      <c r="H70" s="84">
        <f t="shared" si="5"/>
        <v>60.545394000000009</v>
      </c>
      <c r="I70" s="13">
        <f t="shared" si="6"/>
        <v>60545.394000000008</v>
      </c>
    </row>
    <row r="71" spans="1:22" ht="15.75" hidden="1" customHeight="1">
      <c r="A71" s="30"/>
      <c r="B71" s="85" t="s">
        <v>135</v>
      </c>
      <c r="C71" s="16" t="s">
        <v>34</v>
      </c>
      <c r="D71" s="14"/>
      <c r="E71" s="50">
        <v>23</v>
      </c>
      <c r="F71" s="13">
        <f>SUM(E71)</f>
        <v>23</v>
      </c>
      <c r="G71" s="13">
        <v>42.67</v>
      </c>
      <c r="H71" s="84">
        <f t="shared" si="5"/>
        <v>0.98141000000000012</v>
      </c>
      <c r="I71" s="13">
        <f t="shared" si="6"/>
        <v>981.41000000000008</v>
      </c>
    </row>
    <row r="72" spans="1:22" ht="15.75" hidden="1" customHeight="1">
      <c r="A72" s="30"/>
      <c r="B72" s="85" t="s">
        <v>136</v>
      </c>
      <c r="C72" s="16" t="s">
        <v>34</v>
      </c>
      <c r="D72" s="14"/>
      <c r="E72" s="50">
        <v>23</v>
      </c>
      <c r="F72" s="13">
        <f>SUM(E72)</f>
        <v>23</v>
      </c>
      <c r="G72" s="13">
        <v>39.81</v>
      </c>
      <c r="H72" s="84">
        <f t="shared" si="5"/>
        <v>0.91563000000000005</v>
      </c>
      <c r="I72" s="13">
        <f t="shared" si="6"/>
        <v>915.63000000000011</v>
      </c>
    </row>
    <row r="73" spans="1:22" ht="15.75" hidden="1" customHeight="1">
      <c r="A73" s="30"/>
      <c r="B73" s="14" t="s">
        <v>61</v>
      </c>
      <c r="C73" s="16" t="s">
        <v>62</v>
      </c>
      <c r="D73" s="14" t="s">
        <v>57</v>
      </c>
      <c r="E73" s="19">
        <v>10</v>
      </c>
      <c r="F73" s="69">
        <f>SUM(E73)</f>
        <v>10</v>
      </c>
      <c r="G73" s="13">
        <v>53.32</v>
      </c>
      <c r="H73" s="84">
        <f t="shared" si="5"/>
        <v>0.53320000000000001</v>
      </c>
      <c r="I73" s="13">
        <f t="shared" si="6"/>
        <v>533.20000000000005</v>
      </c>
    </row>
    <row r="74" spans="1:22" ht="15.75" hidden="1" customHeight="1">
      <c r="A74" s="30"/>
      <c r="B74" s="57" t="s">
        <v>77</v>
      </c>
      <c r="C74" s="16"/>
      <c r="D74" s="14"/>
      <c r="E74" s="19"/>
      <c r="F74" s="13"/>
      <c r="G74" s="13"/>
      <c r="H74" s="84" t="s">
        <v>139</v>
      </c>
      <c r="I74" s="13"/>
    </row>
    <row r="75" spans="1:22" ht="15.75" hidden="1" customHeight="1">
      <c r="A75" s="30"/>
      <c r="B75" s="14" t="s">
        <v>78</v>
      </c>
      <c r="C75" s="16" t="s">
        <v>32</v>
      </c>
      <c r="D75" s="14"/>
      <c r="E75" s="19">
        <v>2</v>
      </c>
      <c r="F75" s="61">
        <v>0.2</v>
      </c>
      <c r="G75" s="13">
        <v>536.23</v>
      </c>
      <c r="H75" s="84">
        <v>0.251</v>
      </c>
      <c r="I75" s="13">
        <v>0</v>
      </c>
    </row>
    <row r="76" spans="1:22" ht="15.75" hidden="1" customHeight="1">
      <c r="A76" s="30"/>
      <c r="B76" s="14" t="s">
        <v>94</v>
      </c>
      <c r="C76" s="16" t="s">
        <v>31</v>
      </c>
      <c r="D76" s="14"/>
      <c r="E76" s="19">
        <v>1</v>
      </c>
      <c r="F76" s="69">
        <f>SUM(E76)</f>
        <v>1</v>
      </c>
      <c r="G76" s="13">
        <v>383.25</v>
      </c>
      <c r="H76" s="84">
        <f t="shared" si="5"/>
        <v>0.38324999999999998</v>
      </c>
      <c r="I76" s="13">
        <v>0</v>
      </c>
    </row>
    <row r="77" spans="1:22" ht="15.75" hidden="1" customHeight="1">
      <c r="A77" s="30"/>
      <c r="B77" s="14" t="s">
        <v>79</v>
      </c>
      <c r="C77" s="16" t="s">
        <v>31</v>
      </c>
      <c r="D77" s="14"/>
      <c r="E77" s="19">
        <v>2</v>
      </c>
      <c r="F77" s="13">
        <v>2</v>
      </c>
      <c r="G77" s="13">
        <v>911.85</v>
      </c>
      <c r="H77" s="84">
        <f>F77*G77/1000</f>
        <v>1.8237000000000001</v>
      </c>
      <c r="I77" s="13">
        <v>0</v>
      </c>
    </row>
    <row r="78" spans="1:22" ht="15.75" hidden="1" customHeight="1">
      <c r="A78" s="30"/>
      <c r="B78" s="86" t="s">
        <v>80</v>
      </c>
      <c r="C78" s="16"/>
      <c r="D78" s="14"/>
      <c r="E78" s="19"/>
      <c r="F78" s="13"/>
      <c r="G78" s="13" t="s">
        <v>139</v>
      </c>
      <c r="H78" s="84" t="s">
        <v>139</v>
      </c>
      <c r="I78" s="13"/>
    </row>
    <row r="79" spans="1:22" ht="15.75" hidden="1" customHeight="1">
      <c r="A79" s="30"/>
      <c r="B79" s="45" t="s">
        <v>140</v>
      </c>
      <c r="C79" s="16" t="s">
        <v>81</v>
      </c>
      <c r="D79" s="14"/>
      <c r="E79" s="19"/>
      <c r="F79" s="13">
        <v>1.35</v>
      </c>
      <c r="G79" s="13">
        <v>2949.85</v>
      </c>
      <c r="H79" s="84">
        <f t="shared" si="5"/>
        <v>3.9822975</v>
      </c>
      <c r="I79" s="13">
        <v>0</v>
      </c>
    </row>
    <row r="80" spans="1:22" ht="15.75" hidden="1" customHeight="1">
      <c r="A80" s="30"/>
      <c r="B80" s="72" t="s">
        <v>137</v>
      </c>
      <c r="C80" s="86"/>
      <c r="D80" s="32"/>
      <c r="E80" s="33"/>
      <c r="F80" s="73"/>
      <c r="G80" s="73"/>
      <c r="H80" s="87">
        <f>SUM(H58:H79)</f>
        <v>5118.885151045999</v>
      </c>
      <c r="I80" s="73"/>
    </row>
    <row r="81" spans="1:9" ht="15.75" hidden="1" customHeight="1">
      <c r="A81" s="117"/>
      <c r="B81" s="78" t="s">
        <v>138</v>
      </c>
      <c r="C81" s="118"/>
      <c r="D81" s="119"/>
      <c r="E81" s="62"/>
      <c r="F81" s="111">
        <v>1</v>
      </c>
      <c r="G81" s="111">
        <v>19342.2</v>
      </c>
      <c r="H81" s="120">
        <f>G81*F81/1000</f>
        <v>19.342200000000002</v>
      </c>
      <c r="I81" s="111">
        <v>0</v>
      </c>
    </row>
    <row r="82" spans="1:9" ht="15.75" customHeight="1">
      <c r="A82" s="30"/>
      <c r="B82" s="121" t="s">
        <v>144</v>
      </c>
      <c r="C82" s="114"/>
      <c r="D82" s="113"/>
      <c r="E82" s="19"/>
      <c r="F82" s="13"/>
      <c r="G82" s="13"/>
      <c r="H82" s="13"/>
      <c r="I82" s="13"/>
    </row>
    <row r="83" spans="1:9" ht="15.75" customHeight="1">
      <c r="A83" s="117">
        <v>19</v>
      </c>
      <c r="B83" s="105" t="s">
        <v>210</v>
      </c>
      <c r="C83" s="114" t="s">
        <v>131</v>
      </c>
      <c r="D83" s="113" t="s">
        <v>211</v>
      </c>
      <c r="E83" s="122"/>
      <c r="F83" s="111"/>
      <c r="G83" s="115">
        <v>169.36</v>
      </c>
      <c r="H83" s="111"/>
      <c r="I83" s="111">
        <f>G83*5</f>
        <v>846.80000000000007</v>
      </c>
    </row>
    <row r="84" spans="1:9" ht="15.75" customHeight="1">
      <c r="A84" s="30"/>
      <c r="B84" s="126" t="s">
        <v>48</v>
      </c>
      <c r="C84" s="106"/>
      <c r="D84" s="105"/>
      <c r="E84" s="19"/>
      <c r="F84" s="13"/>
      <c r="G84" s="123"/>
      <c r="H84" s="13"/>
      <c r="I84" s="13"/>
    </row>
    <row r="85" spans="1:9" ht="15.75" customHeight="1">
      <c r="A85" s="30">
        <v>20</v>
      </c>
      <c r="B85" s="124" t="s">
        <v>49</v>
      </c>
      <c r="C85" s="125" t="s">
        <v>131</v>
      </c>
      <c r="D85" s="103" t="s">
        <v>211</v>
      </c>
      <c r="E85" s="19"/>
      <c r="F85" s="13"/>
      <c r="G85" s="123">
        <v>237.74</v>
      </c>
      <c r="H85" s="13"/>
      <c r="I85" s="13">
        <f>G85*1</f>
        <v>237.74</v>
      </c>
    </row>
    <row r="86" spans="1:9" ht="15.75" customHeight="1">
      <c r="A86" s="153" t="s">
        <v>172</v>
      </c>
      <c r="B86" s="154"/>
      <c r="C86" s="154"/>
      <c r="D86" s="154"/>
      <c r="E86" s="154"/>
      <c r="F86" s="154"/>
      <c r="G86" s="154"/>
      <c r="H86" s="154"/>
      <c r="I86" s="155"/>
    </row>
    <row r="87" spans="1:9" ht="15.75" customHeight="1">
      <c r="A87" s="30">
        <v>21</v>
      </c>
      <c r="B87" s="67" t="s">
        <v>141</v>
      </c>
      <c r="C87" s="16" t="s">
        <v>58</v>
      </c>
      <c r="D87" s="88" t="s">
        <v>59</v>
      </c>
      <c r="E87" s="13">
        <v>4591.2</v>
      </c>
      <c r="F87" s="13">
        <f>SUM(E87*12)</f>
        <v>55094.399999999994</v>
      </c>
      <c r="G87" s="13">
        <v>2.54</v>
      </c>
      <c r="H87" s="84">
        <f>SUM(F87*G87/1000)</f>
        <v>139.93977599999999</v>
      </c>
      <c r="I87" s="13">
        <f>F87/12*G87</f>
        <v>11661.647999999999</v>
      </c>
    </row>
    <row r="88" spans="1:9" ht="31.5" customHeight="1">
      <c r="A88" s="30">
        <v>22</v>
      </c>
      <c r="B88" s="14" t="s">
        <v>82</v>
      </c>
      <c r="C88" s="16"/>
      <c r="D88" s="88" t="s">
        <v>59</v>
      </c>
      <c r="E88" s="50">
        <f>E87</f>
        <v>4591.2</v>
      </c>
      <c r="F88" s="13">
        <f>E88*12</f>
        <v>55094.399999999994</v>
      </c>
      <c r="G88" s="13">
        <v>2.0499999999999998</v>
      </c>
      <c r="H88" s="84">
        <f>F88*G88/1000</f>
        <v>112.94351999999998</v>
      </c>
      <c r="I88" s="13">
        <f>F88/12*G88</f>
        <v>9411.9599999999991</v>
      </c>
    </row>
    <row r="89" spans="1:9" ht="15.75" customHeight="1">
      <c r="A89" s="46"/>
      <c r="B89" s="37" t="s">
        <v>85</v>
      </c>
      <c r="C89" s="38"/>
      <c r="D89" s="15"/>
      <c r="E89" s="15"/>
      <c r="F89" s="15"/>
      <c r="G89" s="19"/>
      <c r="H89" s="19"/>
      <c r="I89" s="33">
        <f>I88+I87+I85+I83+I62+I59+I58+I54+I53+I52+I44+I43+I42+I41+I39+I38+I27+I26+I20+I18+I17+I16</f>
        <v>111918.07416424999</v>
      </c>
    </row>
    <row r="90" spans="1:9" ht="15.75" customHeight="1">
      <c r="A90" s="150" t="s">
        <v>64</v>
      </c>
      <c r="B90" s="151"/>
      <c r="C90" s="151"/>
      <c r="D90" s="151"/>
      <c r="E90" s="151"/>
      <c r="F90" s="151"/>
      <c r="G90" s="151"/>
      <c r="H90" s="151"/>
      <c r="I90" s="152"/>
    </row>
    <row r="91" spans="1:9" ht="15.75" customHeight="1">
      <c r="A91" s="30">
        <v>23</v>
      </c>
      <c r="B91" s="101" t="s">
        <v>212</v>
      </c>
      <c r="C91" s="125" t="s">
        <v>213</v>
      </c>
      <c r="D91" s="101" t="s">
        <v>211</v>
      </c>
      <c r="E91" s="35"/>
      <c r="F91" s="35">
        <f>124/3</f>
        <v>41.333333333333336</v>
      </c>
      <c r="G91" s="35">
        <v>56.34</v>
      </c>
      <c r="H91" s="100">
        <f t="shared" ref="H91:H97" si="7">G91*F91/1000</f>
        <v>2.3287200000000001</v>
      </c>
      <c r="I91" s="13">
        <f>G91*1</f>
        <v>56.34</v>
      </c>
    </row>
    <row r="92" spans="1:9" ht="15.75" customHeight="1">
      <c r="A92" s="30">
        <v>24</v>
      </c>
      <c r="B92" s="101" t="s">
        <v>214</v>
      </c>
      <c r="C92" s="125" t="s">
        <v>131</v>
      </c>
      <c r="D92" s="45"/>
      <c r="E92" s="35"/>
      <c r="F92" s="35">
        <v>6</v>
      </c>
      <c r="G92" s="35">
        <v>214.83</v>
      </c>
      <c r="H92" s="100">
        <f t="shared" si="7"/>
        <v>1.28898</v>
      </c>
      <c r="I92" s="13">
        <f>G92*1</f>
        <v>214.83</v>
      </c>
    </row>
    <row r="93" spans="1:9" ht="15" customHeight="1">
      <c r="A93" s="30">
        <v>25</v>
      </c>
      <c r="B93" s="101" t="s">
        <v>215</v>
      </c>
      <c r="C93" s="125" t="s">
        <v>131</v>
      </c>
      <c r="D93" s="45"/>
      <c r="E93" s="35"/>
      <c r="F93" s="35">
        <v>0.06</v>
      </c>
      <c r="G93" s="35">
        <v>784.36</v>
      </c>
      <c r="H93" s="100">
        <f t="shared" si="7"/>
        <v>4.7061599999999995E-2</v>
      </c>
      <c r="I93" s="13">
        <f>G93*2</f>
        <v>1568.72</v>
      </c>
    </row>
    <row r="94" spans="1:9" ht="31.5" customHeight="1">
      <c r="A94" s="30">
        <v>26</v>
      </c>
      <c r="B94" s="98" t="s">
        <v>216</v>
      </c>
      <c r="C94" s="99" t="s">
        <v>99</v>
      </c>
      <c r="D94" s="101"/>
      <c r="E94" s="35"/>
      <c r="F94" s="35">
        <v>3</v>
      </c>
      <c r="G94" s="35">
        <v>613.44000000000005</v>
      </c>
      <c r="H94" s="100">
        <f t="shared" si="7"/>
        <v>1.8403200000000002</v>
      </c>
      <c r="I94" s="13">
        <f>G94*1</f>
        <v>613.44000000000005</v>
      </c>
    </row>
    <row r="95" spans="1:9" ht="15.75" customHeight="1">
      <c r="A95" s="30">
        <v>27</v>
      </c>
      <c r="B95" s="98" t="s">
        <v>217</v>
      </c>
      <c r="C95" s="99" t="s">
        <v>131</v>
      </c>
      <c r="D95" s="101"/>
      <c r="E95" s="35"/>
      <c r="F95" s="35">
        <f>2/10</f>
        <v>0.2</v>
      </c>
      <c r="G95" s="35">
        <v>89.92</v>
      </c>
      <c r="H95" s="100">
        <f t="shared" si="7"/>
        <v>1.7984000000000003E-2</v>
      </c>
      <c r="I95" s="13">
        <f>G95*3</f>
        <v>269.76</v>
      </c>
    </row>
    <row r="96" spans="1:9" ht="15.75" customHeight="1">
      <c r="A96" s="30">
        <v>28</v>
      </c>
      <c r="B96" s="98" t="s">
        <v>218</v>
      </c>
      <c r="C96" s="99" t="s">
        <v>131</v>
      </c>
      <c r="D96" s="101"/>
      <c r="E96" s="35"/>
      <c r="F96" s="35">
        <v>1</v>
      </c>
      <c r="G96" s="35">
        <v>95.25</v>
      </c>
      <c r="H96" s="100">
        <f t="shared" si="7"/>
        <v>9.5250000000000001E-2</v>
      </c>
      <c r="I96" s="13">
        <f>G96*4</f>
        <v>381</v>
      </c>
    </row>
    <row r="97" spans="1:9" ht="15.75" customHeight="1">
      <c r="A97" s="30">
        <v>29</v>
      </c>
      <c r="B97" s="98" t="s">
        <v>219</v>
      </c>
      <c r="C97" s="99" t="s">
        <v>131</v>
      </c>
      <c r="D97" s="101"/>
      <c r="E97" s="35"/>
      <c r="F97" s="35">
        <v>1</v>
      </c>
      <c r="G97" s="35">
        <v>6.84</v>
      </c>
      <c r="H97" s="100">
        <f t="shared" si="7"/>
        <v>6.8399999999999997E-3</v>
      </c>
      <c r="I97" s="13">
        <f>G97*1</f>
        <v>6.84</v>
      </c>
    </row>
    <row r="98" spans="1:9" ht="17.25" customHeight="1">
      <c r="A98" s="30">
        <v>30</v>
      </c>
      <c r="B98" s="98" t="s">
        <v>232</v>
      </c>
      <c r="C98" s="99" t="s">
        <v>99</v>
      </c>
      <c r="D98" s="45"/>
      <c r="E98" s="35"/>
      <c r="F98" s="35">
        <f>1/100</f>
        <v>0.01</v>
      </c>
      <c r="G98" s="35">
        <v>194.64</v>
      </c>
      <c r="H98" s="100">
        <f>G98*F98/1000</f>
        <v>1.9463999999999998E-3</v>
      </c>
      <c r="I98" s="13">
        <f>G98*1</f>
        <v>194.64</v>
      </c>
    </row>
    <row r="99" spans="1:9" ht="15" customHeight="1">
      <c r="A99" s="30">
        <v>31</v>
      </c>
      <c r="B99" s="98" t="s">
        <v>220</v>
      </c>
      <c r="C99" s="99" t="s">
        <v>131</v>
      </c>
      <c r="D99" s="103"/>
      <c r="E99" s="18"/>
      <c r="F99" s="35">
        <f>8.5/10</f>
        <v>0.85</v>
      </c>
      <c r="G99" s="35">
        <v>151.31</v>
      </c>
      <c r="H99" s="100">
        <f t="shared" ref="H99" si="8">G99*F99/1000</f>
        <v>0.12861349999999999</v>
      </c>
      <c r="I99" s="13">
        <f>G99*2</f>
        <v>302.62</v>
      </c>
    </row>
    <row r="100" spans="1:9" ht="15" customHeight="1">
      <c r="A100" s="30">
        <v>32</v>
      </c>
      <c r="B100" s="98" t="s">
        <v>221</v>
      </c>
      <c r="C100" s="99" t="s">
        <v>131</v>
      </c>
      <c r="D100" s="103"/>
      <c r="E100" s="18"/>
      <c r="F100" s="35"/>
      <c r="G100" s="35">
        <v>169.24</v>
      </c>
      <c r="H100" s="100"/>
      <c r="I100" s="13">
        <f>G100*2</f>
        <v>338.48</v>
      </c>
    </row>
    <row r="101" spans="1:9" ht="15" customHeight="1">
      <c r="A101" s="30">
        <v>33</v>
      </c>
      <c r="B101" s="98" t="s">
        <v>222</v>
      </c>
      <c r="C101" s="99" t="s">
        <v>131</v>
      </c>
      <c r="D101" s="103"/>
      <c r="E101" s="18"/>
      <c r="F101" s="35"/>
      <c r="G101" s="35">
        <v>12.8</v>
      </c>
      <c r="H101" s="100"/>
      <c r="I101" s="13">
        <f>G101*2</f>
        <v>25.6</v>
      </c>
    </row>
    <row r="102" spans="1:9" ht="15" customHeight="1">
      <c r="A102" s="30">
        <v>34</v>
      </c>
      <c r="B102" s="98" t="s">
        <v>223</v>
      </c>
      <c r="C102" s="99" t="s">
        <v>131</v>
      </c>
      <c r="D102" s="103"/>
      <c r="E102" s="18"/>
      <c r="F102" s="35"/>
      <c r="G102" s="35">
        <v>4.9400000000000004</v>
      </c>
      <c r="H102" s="100"/>
      <c r="I102" s="13">
        <f>G102*3</f>
        <v>14.82</v>
      </c>
    </row>
    <row r="103" spans="1:9" ht="32.25" customHeight="1">
      <c r="A103" s="30">
        <v>35</v>
      </c>
      <c r="B103" s="98" t="s">
        <v>224</v>
      </c>
      <c r="C103" s="99" t="s">
        <v>86</v>
      </c>
      <c r="D103" s="103"/>
      <c r="E103" s="18"/>
      <c r="F103" s="35"/>
      <c r="G103" s="35">
        <v>1365</v>
      </c>
      <c r="H103" s="100"/>
      <c r="I103" s="13">
        <f>G103*3</f>
        <v>4095</v>
      </c>
    </row>
    <row r="104" spans="1:9" ht="15" customHeight="1">
      <c r="A104" s="30">
        <v>36</v>
      </c>
      <c r="B104" s="98" t="s">
        <v>225</v>
      </c>
      <c r="C104" s="99" t="s">
        <v>131</v>
      </c>
      <c r="D104" s="103"/>
      <c r="E104" s="18"/>
      <c r="F104" s="35"/>
      <c r="G104" s="35">
        <v>12.72</v>
      </c>
      <c r="H104" s="100"/>
      <c r="I104" s="13">
        <f>G104*1</f>
        <v>12.72</v>
      </c>
    </row>
    <row r="105" spans="1:9" ht="15" customHeight="1">
      <c r="A105" s="30">
        <v>37</v>
      </c>
      <c r="B105" s="98" t="s">
        <v>226</v>
      </c>
      <c r="C105" s="99" t="s">
        <v>131</v>
      </c>
      <c r="D105" s="103"/>
      <c r="E105" s="18"/>
      <c r="F105" s="35"/>
      <c r="G105" s="35">
        <v>14.36</v>
      </c>
      <c r="H105" s="100"/>
      <c r="I105" s="13">
        <f>G105*1</f>
        <v>14.36</v>
      </c>
    </row>
    <row r="106" spans="1:9" ht="15" customHeight="1">
      <c r="A106" s="30">
        <v>38</v>
      </c>
      <c r="B106" s="98" t="s">
        <v>227</v>
      </c>
      <c r="C106" s="99" t="s">
        <v>131</v>
      </c>
      <c r="D106" s="103"/>
      <c r="E106" s="18"/>
      <c r="F106" s="35"/>
      <c r="G106" s="35">
        <v>8.44</v>
      </c>
      <c r="H106" s="100"/>
      <c r="I106" s="13">
        <f>G106*1</f>
        <v>8.44</v>
      </c>
    </row>
    <row r="107" spans="1:9" ht="15" customHeight="1">
      <c r="A107" s="30">
        <v>39</v>
      </c>
      <c r="B107" s="98" t="s">
        <v>87</v>
      </c>
      <c r="C107" s="99" t="s">
        <v>131</v>
      </c>
      <c r="D107" s="103"/>
      <c r="E107" s="18"/>
      <c r="F107" s="35"/>
      <c r="G107" s="35">
        <v>197.48</v>
      </c>
      <c r="H107" s="100"/>
      <c r="I107" s="13">
        <f>G107*1</f>
        <v>197.48</v>
      </c>
    </row>
    <row r="108" spans="1:9" ht="36.75" customHeight="1">
      <c r="A108" s="30">
        <v>40</v>
      </c>
      <c r="B108" s="49" t="s">
        <v>183</v>
      </c>
      <c r="C108" s="51" t="s">
        <v>86</v>
      </c>
      <c r="D108" s="103"/>
      <c r="E108" s="18"/>
      <c r="F108" s="35"/>
      <c r="G108" s="35">
        <v>1272</v>
      </c>
      <c r="H108" s="100"/>
      <c r="I108" s="13">
        <f>G108*2</f>
        <v>2544</v>
      </c>
    </row>
    <row r="109" spans="1:9" ht="30" customHeight="1">
      <c r="A109" s="30">
        <v>41</v>
      </c>
      <c r="B109" s="49" t="s">
        <v>182</v>
      </c>
      <c r="C109" s="51" t="s">
        <v>86</v>
      </c>
      <c r="D109" s="103"/>
      <c r="E109" s="18"/>
      <c r="F109" s="35"/>
      <c r="G109" s="35">
        <v>1187</v>
      </c>
      <c r="H109" s="100"/>
      <c r="I109" s="13">
        <f>G109*4</f>
        <v>4748</v>
      </c>
    </row>
    <row r="110" spans="1:9" ht="15" customHeight="1">
      <c r="A110" s="30">
        <v>42</v>
      </c>
      <c r="B110" s="49" t="s">
        <v>228</v>
      </c>
      <c r="C110" s="51" t="s">
        <v>131</v>
      </c>
      <c r="D110" s="103"/>
      <c r="E110" s="18"/>
      <c r="F110" s="35"/>
      <c r="G110" s="35">
        <v>5.42</v>
      </c>
      <c r="H110" s="100"/>
      <c r="I110" s="13">
        <f>G110*9</f>
        <v>48.78</v>
      </c>
    </row>
    <row r="111" spans="1:9" ht="15" customHeight="1">
      <c r="A111" s="30">
        <v>43</v>
      </c>
      <c r="B111" s="49" t="s">
        <v>229</v>
      </c>
      <c r="C111" s="51" t="s">
        <v>131</v>
      </c>
      <c r="D111" s="103"/>
      <c r="E111" s="18"/>
      <c r="F111" s="35"/>
      <c r="G111" s="35">
        <v>4.46</v>
      </c>
      <c r="H111" s="100"/>
      <c r="I111" s="13">
        <f>G111*2</f>
        <v>8.92</v>
      </c>
    </row>
    <row r="112" spans="1:9" ht="15" customHeight="1">
      <c r="A112" s="30">
        <v>44</v>
      </c>
      <c r="B112" s="49" t="s">
        <v>230</v>
      </c>
      <c r="C112" s="51" t="s">
        <v>131</v>
      </c>
      <c r="D112" s="103"/>
      <c r="E112" s="18"/>
      <c r="F112" s="35"/>
      <c r="G112" s="35">
        <v>5.25</v>
      </c>
      <c r="H112" s="100"/>
      <c r="I112" s="13">
        <f>G112*1</f>
        <v>5.25</v>
      </c>
    </row>
    <row r="113" spans="1:9" ht="15" customHeight="1">
      <c r="A113" s="30">
        <v>45</v>
      </c>
      <c r="B113" s="49" t="s">
        <v>206</v>
      </c>
      <c r="C113" s="51" t="s">
        <v>207</v>
      </c>
      <c r="D113" s="103"/>
      <c r="E113" s="18"/>
      <c r="F113" s="35"/>
      <c r="G113" s="35">
        <v>134.12</v>
      </c>
      <c r="H113" s="100"/>
      <c r="I113" s="13">
        <f>G113*8.5</f>
        <v>1140.02</v>
      </c>
    </row>
    <row r="114" spans="1:9" ht="30.75" customHeight="1">
      <c r="A114" s="30">
        <v>46</v>
      </c>
      <c r="B114" s="127" t="s">
        <v>231</v>
      </c>
      <c r="C114" s="128" t="s">
        <v>40</v>
      </c>
      <c r="D114" s="103"/>
      <c r="E114" s="18"/>
      <c r="F114" s="35"/>
      <c r="G114" s="123">
        <v>3724.37</v>
      </c>
      <c r="H114" s="100"/>
      <c r="I114" s="13">
        <f>G114*0.01</f>
        <v>37.243699999999997</v>
      </c>
    </row>
    <row r="115" spans="1:9" ht="15" customHeight="1">
      <c r="A115" s="30">
        <v>47</v>
      </c>
      <c r="B115" s="127" t="s">
        <v>158</v>
      </c>
      <c r="C115" s="128" t="s">
        <v>42</v>
      </c>
      <c r="D115" s="103"/>
      <c r="E115" s="18"/>
      <c r="F115" s="35"/>
      <c r="G115" s="123">
        <v>7709.44</v>
      </c>
      <c r="H115" s="100"/>
      <c r="I115" s="13">
        <f>G115*0.01</f>
        <v>77.094399999999993</v>
      </c>
    </row>
    <row r="116" spans="1:9" ht="15.75" customHeight="1">
      <c r="A116" s="30"/>
      <c r="B116" s="43" t="s">
        <v>54</v>
      </c>
      <c r="C116" s="39"/>
      <c r="D116" s="47"/>
      <c r="E116" s="39">
        <v>1</v>
      </c>
      <c r="F116" s="39"/>
      <c r="G116" s="39"/>
      <c r="H116" s="39"/>
      <c r="I116" s="33">
        <f>SUM(I91:I115)</f>
        <v>16924.398100000002</v>
      </c>
    </row>
    <row r="117" spans="1:9" ht="15.75" customHeight="1">
      <c r="A117" s="30"/>
      <c r="B117" s="45" t="s">
        <v>83</v>
      </c>
      <c r="C117" s="15"/>
      <c r="D117" s="15"/>
      <c r="E117" s="40"/>
      <c r="F117" s="40"/>
      <c r="G117" s="41"/>
      <c r="H117" s="41"/>
      <c r="I117" s="18">
        <v>0</v>
      </c>
    </row>
    <row r="118" spans="1:9" ht="15.75" customHeight="1">
      <c r="A118" s="48"/>
      <c r="B118" s="44" t="s">
        <v>180</v>
      </c>
      <c r="C118" s="34"/>
      <c r="D118" s="34"/>
      <c r="E118" s="34"/>
      <c r="F118" s="34"/>
      <c r="G118" s="34"/>
      <c r="H118" s="34"/>
      <c r="I118" s="42">
        <f>I89+I116</f>
        <v>128842.47226425</v>
      </c>
    </row>
    <row r="119" spans="1:9" ht="15.75" customHeight="1">
      <c r="A119" s="147" t="s">
        <v>233</v>
      </c>
      <c r="B119" s="147"/>
      <c r="C119" s="147"/>
      <c r="D119" s="147"/>
      <c r="E119" s="147"/>
      <c r="F119" s="147"/>
      <c r="G119" s="147"/>
      <c r="H119" s="147"/>
      <c r="I119" s="147"/>
    </row>
    <row r="120" spans="1:9" ht="15.75" customHeight="1">
      <c r="A120" s="58"/>
      <c r="B120" s="148" t="s">
        <v>234</v>
      </c>
      <c r="C120" s="148"/>
      <c r="D120" s="148"/>
      <c r="E120" s="148"/>
      <c r="F120" s="148"/>
      <c r="G120" s="148"/>
      <c r="H120" s="66"/>
      <c r="I120" s="3"/>
    </row>
    <row r="121" spans="1:9" ht="15.75" customHeight="1">
      <c r="A121" s="52"/>
      <c r="B121" s="138" t="s">
        <v>6</v>
      </c>
      <c r="C121" s="138"/>
      <c r="D121" s="138"/>
      <c r="E121" s="138"/>
      <c r="F121" s="138"/>
      <c r="G121" s="138"/>
      <c r="H121" s="25"/>
      <c r="I121" s="5"/>
    </row>
    <row r="122" spans="1:9" ht="15.75" customHeight="1">
      <c r="A122" s="10"/>
      <c r="B122" s="10"/>
      <c r="C122" s="10"/>
      <c r="D122" s="10"/>
      <c r="E122" s="10"/>
      <c r="F122" s="10"/>
      <c r="G122" s="10"/>
      <c r="H122" s="10"/>
      <c r="I122" s="10"/>
    </row>
    <row r="123" spans="1:9" ht="15.75" customHeight="1">
      <c r="A123" s="149" t="s">
        <v>7</v>
      </c>
      <c r="B123" s="149"/>
      <c r="C123" s="149"/>
      <c r="D123" s="149"/>
      <c r="E123" s="149"/>
      <c r="F123" s="149"/>
      <c r="G123" s="149"/>
      <c r="H123" s="149"/>
      <c r="I123" s="149"/>
    </row>
    <row r="124" spans="1:9" ht="15.75" customHeight="1">
      <c r="A124" s="149" t="s">
        <v>8</v>
      </c>
      <c r="B124" s="149"/>
      <c r="C124" s="149"/>
      <c r="D124" s="149"/>
      <c r="E124" s="149"/>
      <c r="F124" s="149"/>
      <c r="G124" s="149"/>
      <c r="H124" s="149"/>
      <c r="I124" s="149"/>
    </row>
    <row r="125" spans="1:9" ht="15.75" customHeight="1">
      <c r="A125" s="142" t="s">
        <v>65</v>
      </c>
      <c r="B125" s="142"/>
      <c r="C125" s="142"/>
      <c r="D125" s="142"/>
      <c r="E125" s="142"/>
      <c r="F125" s="142"/>
      <c r="G125" s="142"/>
      <c r="H125" s="142"/>
      <c r="I125" s="142"/>
    </row>
    <row r="126" spans="1:9" ht="15.75" customHeight="1">
      <c r="A126" s="11"/>
    </row>
    <row r="127" spans="1:9" ht="15.75" customHeight="1">
      <c r="A127" s="136" t="s">
        <v>9</v>
      </c>
      <c r="B127" s="136"/>
      <c r="C127" s="136"/>
      <c r="D127" s="136"/>
      <c r="E127" s="136"/>
      <c r="F127" s="136"/>
      <c r="G127" s="136"/>
      <c r="H127" s="136"/>
      <c r="I127" s="136"/>
    </row>
    <row r="128" spans="1:9" ht="15.75" customHeight="1">
      <c r="A128" s="4"/>
    </row>
    <row r="129" spans="1:9" ht="15.75" customHeight="1">
      <c r="B129" s="55" t="s">
        <v>10</v>
      </c>
      <c r="C129" s="137" t="s">
        <v>95</v>
      </c>
      <c r="D129" s="137"/>
      <c r="E129" s="137"/>
      <c r="F129" s="64"/>
      <c r="I129" s="54"/>
    </row>
    <row r="130" spans="1:9" ht="15.75" customHeight="1">
      <c r="A130" s="52"/>
      <c r="C130" s="138" t="s">
        <v>11</v>
      </c>
      <c r="D130" s="138"/>
      <c r="E130" s="138"/>
      <c r="F130" s="25"/>
      <c r="I130" s="53" t="s">
        <v>12</v>
      </c>
    </row>
    <row r="131" spans="1:9" ht="15.75" customHeight="1">
      <c r="A131" s="26"/>
      <c r="C131" s="12"/>
      <c r="D131" s="12"/>
      <c r="G131" s="12"/>
      <c r="H131" s="12"/>
    </row>
    <row r="132" spans="1:9" ht="15.75" customHeight="1">
      <c r="B132" s="55" t="s">
        <v>13</v>
      </c>
      <c r="C132" s="139"/>
      <c r="D132" s="139"/>
      <c r="E132" s="139"/>
      <c r="F132" s="65"/>
      <c r="I132" s="54"/>
    </row>
    <row r="133" spans="1:9" ht="15.75" customHeight="1">
      <c r="A133" s="52"/>
      <c r="C133" s="140" t="s">
        <v>11</v>
      </c>
      <c r="D133" s="140"/>
      <c r="E133" s="140"/>
      <c r="F133" s="52"/>
      <c r="I133" s="53" t="s">
        <v>12</v>
      </c>
    </row>
    <row r="134" spans="1:9" ht="15.75" customHeight="1">
      <c r="A134" s="4" t="s">
        <v>14</v>
      </c>
    </row>
    <row r="135" spans="1:9" ht="15.75" customHeight="1">
      <c r="A135" s="141" t="s">
        <v>15</v>
      </c>
      <c r="B135" s="141"/>
      <c r="C135" s="141"/>
      <c r="D135" s="141"/>
      <c r="E135" s="141"/>
      <c r="F135" s="141"/>
      <c r="G135" s="141"/>
      <c r="H135" s="141"/>
      <c r="I135" s="141"/>
    </row>
    <row r="136" spans="1:9" ht="45" customHeight="1">
      <c r="A136" s="135" t="s">
        <v>16</v>
      </c>
      <c r="B136" s="135"/>
      <c r="C136" s="135"/>
      <c r="D136" s="135"/>
      <c r="E136" s="135"/>
      <c r="F136" s="135"/>
      <c r="G136" s="135"/>
      <c r="H136" s="135"/>
      <c r="I136" s="135"/>
    </row>
    <row r="137" spans="1:9" ht="30" customHeight="1">
      <c r="A137" s="135" t="s">
        <v>17</v>
      </c>
      <c r="B137" s="135"/>
      <c r="C137" s="135"/>
      <c r="D137" s="135"/>
      <c r="E137" s="135"/>
      <c r="F137" s="135"/>
      <c r="G137" s="135"/>
      <c r="H137" s="135"/>
      <c r="I137" s="135"/>
    </row>
    <row r="138" spans="1:9" ht="30" customHeight="1">
      <c r="A138" s="135" t="s">
        <v>21</v>
      </c>
      <c r="B138" s="135"/>
      <c r="C138" s="135"/>
      <c r="D138" s="135"/>
      <c r="E138" s="135"/>
      <c r="F138" s="135"/>
      <c r="G138" s="135"/>
      <c r="H138" s="135"/>
      <c r="I138" s="135"/>
    </row>
    <row r="139" spans="1:9" ht="15" customHeight="1">
      <c r="A139" s="135" t="s">
        <v>20</v>
      </c>
      <c r="B139" s="135"/>
      <c r="C139" s="135"/>
      <c r="D139" s="135"/>
      <c r="E139" s="135"/>
      <c r="F139" s="135"/>
      <c r="G139" s="135"/>
      <c r="H139" s="135"/>
      <c r="I139" s="135"/>
    </row>
  </sheetData>
  <autoFilter ref="I12:I63"/>
  <mergeCells count="29">
    <mergeCell ref="R68:U68"/>
    <mergeCell ref="A86:I86"/>
    <mergeCell ref="A3:I3"/>
    <mergeCell ref="A4:I4"/>
    <mergeCell ref="A5:I5"/>
    <mergeCell ref="A8:I8"/>
    <mergeCell ref="A10:I10"/>
    <mergeCell ref="A14:I14"/>
    <mergeCell ref="A125:I125"/>
    <mergeCell ref="A15:I15"/>
    <mergeCell ref="A28:I28"/>
    <mergeCell ref="A45:I45"/>
    <mergeCell ref="A56:I56"/>
    <mergeCell ref="A119:I119"/>
    <mergeCell ref="B120:G120"/>
    <mergeCell ref="B121:G121"/>
    <mergeCell ref="A123:I123"/>
    <mergeCell ref="A124:I124"/>
    <mergeCell ref="A90:I90"/>
    <mergeCell ref="A136:I136"/>
    <mergeCell ref="A137:I137"/>
    <mergeCell ref="A138:I138"/>
    <mergeCell ref="A139:I139"/>
    <mergeCell ref="A127:I127"/>
    <mergeCell ref="C129:E129"/>
    <mergeCell ref="C130:E130"/>
    <mergeCell ref="C132:E132"/>
    <mergeCell ref="C133:E133"/>
    <mergeCell ref="A135:I13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53"/>
  <sheetViews>
    <sheetView topLeftCell="A117" workbookViewId="0">
      <selection activeCell="B134" sqref="B134:G134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91</v>
      </c>
      <c r="I1" s="27"/>
      <c r="J1" s="1"/>
      <c r="K1" s="1"/>
      <c r="L1" s="1"/>
      <c r="M1" s="1"/>
    </row>
    <row r="2" spans="1:13" ht="15.75" customHeight="1">
      <c r="A2" s="29" t="s">
        <v>66</v>
      </c>
      <c r="J2" s="2"/>
      <c r="K2" s="2"/>
      <c r="L2" s="2"/>
      <c r="M2" s="2"/>
    </row>
    <row r="3" spans="1:13" ht="15.75" customHeight="1">
      <c r="A3" s="156" t="s">
        <v>174</v>
      </c>
      <c r="B3" s="156"/>
      <c r="C3" s="156"/>
      <c r="D3" s="156"/>
      <c r="E3" s="156"/>
      <c r="F3" s="156"/>
      <c r="G3" s="156"/>
      <c r="H3" s="156"/>
      <c r="I3" s="156"/>
      <c r="J3" s="3"/>
      <c r="K3" s="3"/>
      <c r="L3" s="3"/>
    </row>
    <row r="4" spans="1:13" ht="31.5" customHeight="1">
      <c r="A4" s="157" t="s">
        <v>142</v>
      </c>
      <c r="B4" s="157"/>
      <c r="C4" s="157"/>
      <c r="D4" s="157"/>
      <c r="E4" s="157"/>
      <c r="F4" s="157"/>
      <c r="G4" s="157"/>
      <c r="H4" s="157"/>
      <c r="I4" s="157"/>
    </row>
    <row r="5" spans="1:13" ht="15.75" customHeight="1">
      <c r="A5" s="156" t="s">
        <v>235</v>
      </c>
      <c r="B5" s="158"/>
      <c r="C5" s="158"/>
      <c r="D5" s="158"/>
      <c r="E5" s="158"/>
      <c r="F5" s="158"/>
      <c r="G5" s="158"/>
      <c r="H5" s="158"/>
      <c r="I5" s="158"/>
      <c r="J5" s="2"/>
      <c r="K5" s="2"/>
      <c r="L5" s="2"/>
      <c r="M5" s="2"/>
    </row>
    <row r="6" spans="1:13" ht="15.75" customHeight="1">
      <c r="A6" s="2"/>
      <c r="B6" s="56"/>
      <c r="C6" s="56"/>
      <c r="D6" s="56"/>
      <c r="E6" s="56"/>
      <c r="F6" s="56"/>
      <c r="G6" s="56"/>
      <c r="H6" s="56"/>
      <c r="I6" s="31">
        <v>43251</v>
      </c>
      <c r="J6" s="2"/>
      <c r="K6" s="2"/>
      <c r="L6" s="2"/>
      <c r="M6" s="2"/>
    </row>
    <row r="7" spans="1:13" ht="15.75" customHeight="1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9" t="s">
        <v>152</v>
      </c>
      <c r="B8" s="159"/>
      <c r="C8" s="159"/>
      <c r="D8" s="159"/>
      <c r="E8" s="159"/>
      <c r="F8" s="159"/>
      <c r="G8" s="159"/>
      <c r="H8" s="159"/>
      <c r="I8" s="15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60" t="s">
        <v>195</v>
      </c>
      <c r="B10" s="160"/>
      <c r="C10" s="160"/>
      <c r="D10" s="160"/>
      <c r="E10" s="160"/>
      <c r="F10" s="160"/>
      <c r="G10" s="160"/>
      <c r="H10" s="160"/>
      <c r="I10" s="16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61" t="s">
        <v>63</v>
      </c>
      <c r="B14" s="161"/>
      <c r="C14" s="161"/>
      <c r="D14" s="161"/>
      <c r="E14" s="161"/>
      <c r="F14" s="161"/>
      <c r="G14" s="161"/>
      <c r="H14" s="161"/>
      <c r="I14" s="161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7" t="s">
        <v>92</v>
      </c>
      <c r="C16" s="68" t="s">
        <v>111</v>
      </c>
      <c r="D16" s="67" t="s">
        <v>112</v>
      </c>
      <c r="E16" s="50">
        <v>127.9</v>
      </c>
      <c r="F16" s="69">
        <f>SUM(E16*156/100)</f>
        <v>199.524</v>
      </c>
      <c r="G16" s="69">
        <v>187.48</v>
      </c>
      <c r="H16" s="70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67" t="s">
        <v>100</v>
      </c>
      <c r="C17" s="68" t="s">
        <v>111</v>
      </c>
      <c r="D17" s="67" t="s">
        <v>166</v>
      </c>
      <c r="E17" s="50">
        <v>511.6</v>
      </c>
      <c r="F17" s="69">
        <f>SUM(E17*104/100)</f>
        <v>532.06399999999996</v>
      </c>
      <c r="G17" s="69">
        <v>185.48</v>
      </c>
      <c r="H17" s="70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67" t="s">
        <v>101</v>
      </c>
      <c r="C18" s="68" t="s">
        <v>111</v>
      </c>
      <c r="D18" s="67" t="s">
        <v>113</v>
      </c>
      <c r="E18" s="50">
        <f>SUM(E16+E17)</f>
        <v>639.5</v>
      </c>
      <c r="F18" s="69">
        <f>SUM(E18*24/100)</f>
        <v>153.47999999999999</v>
      </c>
      <c r="G18" s="69">
        <v>539.30999999999995</v>
      </c>
      <c r="H18" s="70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customHeight="1">
      <c r="A19" s="30">
        <v>4</v>
      </c>
      <c r="B19" s="67" t="s">
        <v>114</v>
      </c>
      <c r="C19" s="68" t="s">
        <v>115</v>
      </c>
      <c r="D19" s="67" t="s">
        <v>116</v>
      </c>
      <c r="E19" s="50">
        <v>38.4</v>
      </c>
      <c r="F19" s="69">
        <f>SUM(E19/10)</f>
        <v>3.84</v>
      </c>
      <c r="G19" s="69">
        <v>181.91</v>
      </c>
      <c r="H19" s="70">
        <f t="shared" si="0"/>
        <v>0.6985344</v>
      </c>
      <c r="I19" s="13">
        <f>F19*G19</f>
        <v>698.53440000000001</v>
      </c>
      <c r="J19" s="23"/>
      <c r="K19" s="8"/>
      <c r="L19" s="8"/>
      <c r="M19" s="8"/>
    </row>
    <row r="20" spans="1:13" ht="15.75" customHeight="1">
      <c r="A20" s="30">
        <v>5</v>
      </c>
      <c r="B20" s="67" t="s">
        <v>105</v>
      </c>
      <c r="C20" s="68" t="s">
        <v>111</v>
      </c>
      <c r="D20" s="67" t="s">
        <v>30</v>
      </c>
      <c r="E20" s="50">
        <v>58.4</v>
      </c>
      <c r="F20" s="69">
        <f>SUM(E20*12/100)</f>
        <v>7.0079999999999991</v>
      </c>
      <c r="G20" s="69">
        <v>232.92</v>
      </c>
      <c r="H20" s="70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customHeight="1">
      <c r="A21" s="30">
        <v>6</v>
      </c>
      <c r="B21" s="67" t="s">
        <v>106</v>
      </c>
      <c r="C21" s="68" t="s">
        <v>111</v>
      </c>
      <c r="D21" s="67" t="s">
        <v>110</v>
      </c>
      <c r="E21" s="50">
        <v>9.08</v>
      </c>
      <c r="F21" s="69">
        <f>SUM(E21*6/100)</f>
        <v>0.54480000000000006</v>
      </c>
      <c r="G21" s="69">
        <v>231.03</v>
      </c>
      <c r="H21" s="70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customHeight="1">
      <c r="A22" s="30">
        <v>7</v>
      </c>
      <c r="B22" s="67" t="s">
        <v>117</v>
      </c>
      <c r="C22" s="68" t="s">
        <v>56</v>
      </c>
      <c r="D22" s="67" t="s">
        <v>116</v>
      </c>
      <c r="E22" s="50">
        <v>714</v>
      </c>
      <c r="F22" s="69">
        <f>SUM(E22/100)</f>
        <v>7.14</v>
      </c>
      <c r="G22" s="69">
        <v>287.83999999999997</v>
      </c>
      <c r="H22" s="70">
        <f t="shared" si="0"/>
        <v>2.0551775999999995</v>
      </c>
      <c r="I22" s="13">
        <f>F22*G22</f>
        <v>2055.1775999999995</v>
      </c>
      <c r="J22" s="23"/>
      <c r="K22" s="8"/>
      <c r="L22" s="8"/>
      <c r="M22" s="8"/>
    </row>
    <row r="23" spans="1:13" ht="15.75" customHeight="1">
      <c r="A23" s="30">
        <v>8</v>
      </c>
      <c r="B23" s="67" t="s">
        <v>118</v>
      </c>
      <c r="C23" s="68" t="s">
        <v>56</v>
      </c>
      <c r="D23" s="67" t="s">
        <v>116</v>
      </c>
      <c r="E23" s="63">
        <v>96.6</v>
      </c>
      <c r="F23" s="69">
        <f>SUM(E23/100)</f>
        <v>0.96599999999999997</v>
      </c>
      <c r="G23" s="69">
        <v>47.34</v>
      </c>
      <c r="H23" s="70">
        <f t="shared" si="0"/>
        <v>4.5730440000000004E-2</v>
      </c>
      <c r="I23" s="13">
        <f t="shared" ref="I23:I25" si="1">F23*G23</f>
        <v>45.730440000000002</v>
      </c>
      <c r="J23" s="23"/>
      <c r="K23" s="8"/>
      <c r="L23" s="8"/>
      <c r="M23" s="8"/>
    </row>
    <row r="24" spans="1:13" ht="15.75" customHeight="1">
      <c r="A24" s="30">
        <v>9</v>
      </c>
      <c r="B24" s="67" t="s">
        <v>108</v>
      </c>
      <c r="C24" s="68" t="s">
        <v>56</v>
      </c>
      <c r="D24" s="67" t="s">
        <v>116</v>
      </c>
      <c r="E24" s="19">
        <v>40</v>
      </c>
      <c r="F24" s="71">
        <v>4.8</v>
      </c>
      <c r="G24" s="69">
        <v>416.62</v>
      </c>
      <c r="H24" s="70">
        <f>F24*G24/1000</f>
        <v>1.9997759999999998</v>
      </c>
      <c r="I24" s="13">
        <f t="shared" si="1"/>
        <v>1999.7759999999998</v>
      </c>
      <c r="J24" s="23"/>
      <c r="K24" s="8"/>
      <c r="L24" s="8"/>
      <c r="M24" s="8"/>
    </row>
    <row r="25" spans="1:13" ht="15.75" customHeight="1">
      <c r="A25" s="30">
        <v>10</v>
      </c>
      <c r="B25" s="67" t="s">
        <v>109</v>
      </c>
      <c r="C25" s="68" t="s">
        <v>56</v>
      </c>
      <c r="D25" s="67" t="s">
        <v>116</v>
      </c>
      <c r="E25" s="50">
        <v>17</v>
      </c>
      <c r="F25" s="69">
        <f>SUM(E25/100)</f>
        <v>0.17</v>
      </c>
      <c r="G25" s="69">
        <v>556.74</v>
      </c>
      <c r="H25" s="70">
        <f t="shared" si="0"/>
        <v>9.4645800000000002E-2</v>
      </c>
      <c r="I25" s="13">
        <f t="shared" si="1"/>
        <v>94.645800000000008</v>
      </c>
      <c r="J25" s="23"/>
      <c r="K25" s="8"/>
      <c r="L25" s="8"/>
      <c r="M25" s="8"/>
    </row>
    <row r="26" spans="1:13" ht="15.75" customHeight="1">
      <c r="A26" s="30">
        <v>11</v>
      </c>
      <c r="B26" s="67" t="s">
        <v>68</v>
      </c>
      <c r="C26" s="68" t="s">
        <v>34</v>
      </c>
      <c r="D26" s="67"/>
      <c r="E26" s="50">
        <v>0.1</v>
      </c>
      <c r="F26" s="69">
        <f>SUM(E26*365)</f>
        <v>36.5</v>
      </c>
      <c r="G26" s="69">
        <v>157.18</v>
      </c>
      <c r="H26" s="70">
        <f>SUM(F26*G26/1000)</f>
        <v>5.737070000000001</v>
      </c>
      <c r="I26" s="13">
        <f>F26/12*G26</f>
        <v>478.08916666666664</v>
      </c>
      <c r="J26" s="24"/>
    </row>
    <row r="27" spans="1:13" ht="15.75" customHeight="1">
      <c r="A27" s="30">
        <v>12</v>
      </c>
      <c r="B27" s="75" t="s">
        <v>23</v>
      </c>
      <c r="C27" s="68" t="s">
        <v>24</v>
      </c>
      <c r="D27" s="75"/>
      <c r="E27" s="50">
        <v>4591.2</v>
      </c>
      <c r="F27" s="69">
        <f>SUM(E27*12)</f>
        <v>55094.399999999994</v>
      </c>
      <c r="G27" s="69">
        <v>5.85</v>
      </c>
      <c r="H27" s="70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43" t="s">
        <v>90</v>
      </c>
      <c r="B28" s="143"/>
      <c r="C28" s="143"/>
      <c r="D28" s="143"/>
      <c r="E28" s="143"/>
      <c r="F28" s="143"/>
      <c r="G28" s="143"/>
      <c r="H28" s="143"/>
      <c r="I28" s="143"/>
      <c r="J28" s="23"/>
      <c r="K28" s="8"/>
      <c r="L28" s="8"/>
      <c r="M28" s="8"/>
    </row>
    <row r="29" spans="1:13" ht="15.75" customHeight="1">
      <c r="A29" s="30"/>
      <c r="B29" s="89" t="s">
        <v>28</v>
      </c>
      <c r="C29" s="68"/>
      <c r="D29" s="67"/>
      <c r="E29" s="50"/>
      <c r="F29" s="69"/>
      <c r="G29" s="69"/>
      <c r="H29" s="70"/>
      <c r="I29" s="13"/>
      <c r="J29" s="23"/>
      <c r="K29" s="8"/>
      <c r="L29" s="8"/>
      <c r="M29" s="8"/>
    </row>
    <row r="30" spans="1:13" ht="15.75" customHeight="1">
      <c r="A30" s="30">
        <v>13</v>
      </c>
      <c r="B30" s="67" t="s">
        <v>119</v>
      </c>
      <c r="C30" s="68" t="s">
        <v>120</v>
      </c>
      <c r="D30" s="67" t="s">
        <v>121</v>
      </c>
      <c r="E30" s="69">
        <v>844.95</v>
      </c>
      <c r="F30" s="69">
        <f>SUM(E30*52/1000)</f>
        <v>43.937400000000004</v>
      </c>
      <c r="G30" s="69">
        <v>166.65</v>
      </c>
      <c r="H30" s="70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customHeight="1">
      <c r="A31" s="30">
        <v>14</v>
      </c>
      <c r="B31" s="67" t="s">
        <v>167</v>
      </c>
      <c r="C31" s="68" t="s">
        <v>120</v>
      </c>
      <c r="D31" s="67" t="s">
        <v>122</v>
      </c>
      <c r="E31" s="69">
        <v>260.13</v>
      </c>
      <c r="F31" s="69">
        <f>SUM(E31*78/1000)</f>
        <v>20.290140000000001</v>
      </c>
      <c r="G31" s="69">
        <v>276.48</v>
      </c>
      <c r="H31" s="70">
        <f t="shared" ref="H31:H36" si="2">SUM(F31*G31/1000)</f>
        <v>5.6098179072000001</v>
      </c>
      <c r="I31" s="13">
        <f t="shared" ref="I31:I34" si="3">F31/6*G31</f>
        <v>934.96965120000016</v>
      </c>
      <c r="J31" s="23"/>
      <c r="K31" s="8"/>
      <c r="L31" s="8"/>
      <c r="M31" s="8"/>
    </row>
    <row r="32" spans="1:13" ht="15.75" customHeight="1">
      <c r="A32" s="30">
        <v>15</v>
      </c>
      <c r="B32" s="67" t="s">
        <v>27</v>
      </c>
      <c r="C32" s="68" t="s">
        <v>120</v>
      </c>
      <c r="D32" s="67" t="s">
        <v>57</v>
      </c>
      <c r="E32" s="69">
        <v>844.95</v>
      </c>
      <c r="F32" s="69">
        <f>SUM(E32/1000)</f>
        <v>0.84495000000000009</v>
      </c>
      <c r="G32" s="69">
        <v>3228.73</v>
      </c>
      <c r="H32" s="70">
        <f t="shared" si="2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customHeight="1">
      <c r="A33" s="30">
        <v>16</v>
      </c>
      <c r="B33" s="67" t="s">
        <v>154</v>
      </c>
      <c r="C33" s="68" t="s">
        <v>42</v>
      </c>
      <c r="D33" s="67" t="s">
        <v>67</v>
      </c>
      <c r="E33" s="69">
        <v>8</v>
      </c>
      <c r="F33" s="69">
        <v>12.4</v>
      </c>
      <c r="G33" s="69">
        <v>1391.86</v>
      </c>
      <c r="H33" s="70">
        <v>17.259</v>
      </c>
      <c r="I33" s="13">
        <f t="shared" si="3"/>
        <v>2876.5106666666666</v>
      </c>
      <c r="J33" s="23"/>
      <c r="K33" s="8"/>
      <c r="L33" s="8"/>
      <c r="M33" s="8"/>
    </row>
    <row r="34" spans="1:14" ht="15.75" customHeight="1">
      <c r="A34" s="30">
        <v>17</v>
      </c>
      <c r="B34" s="67" t="s">
        <v>123</v>
      </c>
      <c r="C34" s="68" t="s">
        <v>31</v>
      </c>
      <c r="D34" s="67" t="s">
        <v>67</v>
      </c>
      <c r="E34" s="74">
        <v>0.33333333333333331</v>
      </c>
      <c r="F34" s="69">
        <f>155/3</f>
        <v>51.666666666666664</v>
      </c>
      <c r="G34" s="69">
        <v>60.6</v>
      </c>
      <c r="H34" s="70">
        <f>SUM(G34*155/3/1000)</f>
        <v>3.1309999999999998</v>
      </c>
      <c r="I34" s="13">
        <f t="shared" si="3"/>
        <v>521.83333333333337</v>
      </c>
      <c r="J34" s="23"/>
      <c r="K34" s="8"/>
    </row>
    <row r="35" spans="1:14" ht="15.75" hidden="1" customHeight="1">
      <c r="A35" s="30"/>
      <c r="B35" s="67" t="s">
        <v>69</v>
      </c>
      <c r="C35" s="68" t="s">
        <v>34</v>
      </c>
      <c r="D35" s="67" t="s">
        <v>71</v>
      </c>
      <c r="E35" s="50"/>
      <c r="F35" s="69">
        <v>3</v>
      </c>
      <c r="G35" s="69">
        <v>204.32</v>
      </c>
      <c r="H35" s="70">
        <f t="shared" si="2"/>
        <v>0.61296000000000006</v>
      </c>
      <c r="I35" s="13">
        <v>0</v>
      </c>
      <c r="J35" s="24"/>
    </row>
    <row r="36" spans="1:14" ht="15.75" hidden="1" customHeight="1">
      <c r="A36" s="30"/>
      <c r="B36" s="67" t="s">
        <v>70</v>
      </c>
      <c r="C36" s="68" t="s">
        <v>33</v>
      </c>
      <c r="D36" s="67" t="s">
        <v>71</v>
      </c>
      <c r="E36" s="50"/>
      <c r="F36" s="69">
        <v>2</v>
      </c>
      <c r="G36" s="69">
        <v>1214.73</v>
      </c>
      <c r="H36" s="70">
        <f t="shared" si="2"/>
        <v>2.4294600000000002</v>
      </c>
      <c r="I36" s="13">
        <v>0</v>
      </c>
      <c r="J36" s="24"/>
    </row>
    <row r="37" spans="1:14" ht="22.5" customHeight="1">
      <c r="A37" s="30"/>
      <c r="B37" s="89" t="s">
        <v>5</v>
      </c>
      <c r="C37" s="68"/>
      <c r="D37" s="67"/>
      <c r="E37" s="50"/>
      <c r="F37" s="69"/>
      <c r="G37" s="69"/>
      <c r="H37" s="70" t="s">
        <v>139</v>
      </c>
      <c r="I37" s="13"/>
      <c r="J37" s="24"/>
    </row>
    <row r="38" spans="1:14" ht="18" hidden="1" customHeight="1">
      <c r="A38" s="30">
        <v>8</v>
      </c>
      <c r="B38" s="67" t="s">
        <v>26</v>
      </c>
      <c r="C38" s="68" t="s">
        <v>33</v>
      </c>
      <c r="D38" s="67"/>
      <c r="E38" s="50"/>
      <c r="F38" s="69">
        <v>10</v>
      </c>
      <c r="G38" s="69">
        <v>1632.6</v>
      </c>
      <c r="H38" s="70">
        <f t="shared" ref="H38:H44" si="4">SUM(F38*G38/1000)</f>
        <v>16.326000000000001</v>
      </c>
      <c r="I38" s="13">
        <f>F38/6*G38</f>
        <v>2721</v>
      </c>
      <c r="J38" s="24"/>
    </row>
    <row r="39" spans="1:14" ht="27" hidden="1" customHeight="1">
      <c r="A39" s="30">
        <v>9</v>
      </c>
      <c r="B39" s="67" t="s">
        <v>155</v>
      </c>
      <c r="C39" s="68" t="s">
        <v>29</v>
      </c>
      <c r="D39" s="67" t="s">
        <v>124</v>
      </c>
      <c r="E39" s="69">
        <v>254.8</v>
      </c>
      <c r="F39" s="69">
        <f>SUM(E39*30/1000)</f>
        <v>7.6440000000000001</v>
      </c>
      <c r="G39" s="69">
        <v>2247.8000000000002</v>
      </c>
      <c r="H39" s="70">
        <f t="shared" si="4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22.5" customHeight="1">
      <c r="A40" s="30">
        <v>18</v>
      </c>
      <c r="B40" s="67" t="s">
        <v>102</v>
      </c>
      <c r="C40" s="68" t="s">
        <v>125</v>
      </c>
      <c r="D40" s="67" t="s">
        <v>71</v>
      </c>
      <c r="E40" s="50"/>
      <c r="F40" s="69">
        <v>40</v>
      </c>
      <c r="G40" s="69">
        <v>213.2</v>
      </c>
      <c r="H40" s="70">
        <f t="shared" si="4"/>
        <v>8.5280000000000005</v>
      </c>
      <c r="I40" s="13">
        <f>G40*6</f>
        <v>1279.1999999999998</v>
      </c>
      <c r="J40" s="24"/>
      <c r="L40" s="20"/>
      <c r="M40" s="21"/>
      <c r="N40" s="22"/>
    </row>
    <row r="41" spans="1:14" ht="27" hidden="1" customHeight="1">
      <c r="A41" s="30">
        <v>10</v>
      </c>
      <c r="B41" s="67" t="s">
        <v>72</v>
      </c>
      <c r="C41" s="68" t="s">
        <v>29</v>
      </c>
      <c r="D41" s="67" t="s">
        <v>126</v>
      </c>
      <c r="E41" s="69">
        <v>260.13</v>
      </c>
      <c r="F41" s="69">
        <f>SUM(E41*155/1000)</f>
        <v>40.320149999999998</v>
      </c>
      <c r="G41" s="69">
        <v>374.95</v>
      </c>
      <c r="H41" s="70">
        <f t="shared" si="4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27" hidden="1" customHeight="1">
      <c r="A42" s="30">
        <v>11</v>
      </c>
      <c r="B42" s="67" t="s">
        <v>88</v>
      </c>
      <c r="C42" s="68" t="s">
        <v>120</v>
      </c>
      <c r="D42" s="67" t="s">
        <v>127</v>
      </c>
      <c r="E42" s="69">
        <v>132.72999999999999</v>
      </c>
      <c r="F42" s="69">
        <f>SUM(E42*35/1000)</f>
        <v>4.6455499999999992</v>
      </c>
      <c r="G42" s="69">
        <v>6203.7</v>
      </c>
      <c r="H42" s="70">
        <f t="shared" si="4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27" hidden="1" customHeight="1">
      <c r="A43" s="30">
        <v>12</v>
      </c>
      <c r="B43" s="67" t="s">
        <v>128</v>
      </c>
      <c r="C43" s="68" t="s">
        <v>120</v>
      </c>
      <c r="D43" s="67" t="s">
        <v>73</v>
      </c>
      <c r="E43" s="69">
        <v>254.8</v>
      </c>
      <c r="F43" s="69">
        <f>SUM(E43*45/1000)</f>
        <v>11.465999999999999</v>
      </c>
      <c r="G43" s="69">
        <v>458.28</v>
      </c>
      <c r="H43" s="70">
        <f t="shared" si="4"/>
        <v>5.2546384799999997</v>
      </c>
      <c r="I43" s="13">
        <f>F43/6*G43</f>
        <v>875.77307999999982</v>
      </c>
      <c r="J43" s="24"/>
      <c r="L43" s="20"/>
      <c r="M43" s="21"/>
      <c r="N43" s="22"/>
    </row>
    <row r="44" spans="1:14" ht="26.25" hidden="1" customHeight="1">
      <c r="A44" s="30">
        <v>13</v>
      </c>
      <c r="B44" s="67" t="s">
        <v>74</v>
      </c>
      <c r="C44" s="68" t="s">
        <v>34</v>
      </c>
      <c r="D44" s="67"/>
      <c r="E44" s="50"/>
      <c r="F44" s="69">
        <v>0.9</v>
      </c>
      <c r="G44" s="69">
        <v>853.06</v>
      </c>
      <c r="H44" s="70">
        <f t="shared" si="4"/>
        <v>0.76775400000000005</v>
      </c>
      <c r="I44" s="13">
        <f>F44/6*G44</f>
        <v>127.95899999999999</v>
      </c>
      <c r="J44" s="24"/>
      <c r="L44" s="20"/>
      <c r="M44" s="21"/>
      <c r="N44" s="22"/>
    </row>
    <row r="45" spans="1:14" ht="15.75" customHeight="1">
      <c r="A45" s="144" t="s">
        <v>149</v>
      </c>
      <c r="B45" s="145"/>
      <c r="C45" s="145"/>
      <c r="D45" s="145"/>
      <c r="E45" s="145"/>
      <c r="F45" s="145"/>
      <c r="G45" s="145"/>
      <c r="H45" s="145"/>
      <c r="I45" s="146"/>
      <c r="J45" s="24"/>
      <c r="L45" s="20"/>
      <c r="M45" s="21"/>
      <c r="N45" s="22"/>
    </row>
    <row r="46" spans="1:14" ht="15.75" customHeight="1">
      <c r="A46" s="30">
        <v>19</v>
      </c>
      <c r="B46" s="67" t="s">
        <v>143</v>
      </c>
      <c r="C46" s="68" t="s">
        <v>120</v>
      </c>
      <c r="D46" s="67" t="s">
        <v>44</v>
      </c>
      <c r="E46" s="50">
        <v>1795.9</v>
      </c>
      <c r="F46" s="69">
        <f>SUM(E46*2/1000)</f>
        <v>3.5918000000000001</v>
      </c>
      <c r="G46" s="13">
        <v>865.61</v>
      </c>
      <c r="H46" s="70">
        <f t="shared" ref="H46:H55" si="5">SUM(F46*G46/1000)</f>
        <v>3.1090979980000002</v>
      </c>
      <c r="I46" s="13">
        <f t="shared" ref="I46:I49" si="6">F46/2*G46</f>
        <v>1554.5489990000001</v>
      </c>
      <c r="J46" s="24"/>
      <c r="L46" s="20"/>
      <c r="M46" s="21"/>
      <c r="N46" s="22"/>
    </row>
    <row r="47" spans="1:14" ht="15.75" customHeight="1">
      <c r="A47" s="30">
        <v>20</v>
      </c>
      <c r="B47" s="67" t="s">
        <v>37</v>
      </c>
      <c r="C47" s="68" t="s">
        <v>120</v>
      </c>
      <c r="D47" s="67" t="s">
        <v>44</v>
      </c>
      <c r="E47" s="50">
        <v>104</v>
      </c>
      <c r="F47" s="69">
        <f>SUM(E47*2/1000)</f>
        <v>0.20799999999999999</v>
      </c>
      <c r="G47" s="13">
        <v>619.46</v>
      </c>
      <c r="H47" s="70">
        <f t="shared" si="5"/>
        <v>0.12884767999999999</v>
      </c>
      <c r="I47" s="13">
        <f t="shared" si="6"/>
        <v>64.423839999999998</v>
      </c>
      <c r="J47" s="24"/>
      <c r="L47" s="20"/>
      <c r="M47" s="21"/>
      <c r="N47" s="22"/>
    </row>
    <row r="48" spans="1:14" ht="15.75" customHeight="1">
      <c r="A48" s="30">
        <v>21</v>
      </c>
      <c r="B48" s="67" t="s">
        <v>38</v>
      </c>
      <c r="C48" s="68" t="s">
        <v>120</v>
      </c>
      <c r="D48" s="67" t="s">
        <v>44</v>
      </c>
      <c r="E48" s="50">
        <v>1996.87</v>
      </c>
      <c r="F48" s="69">
        <f>SUM(E48*2/1000)</f>
        <v>3.9937399999999998</v>
      </c>
      <c r="G48" s="13">
        <v>619.46</v>
      </c>
      <c r="H48" s="70">
        <f t="shared" si="5"/>
        <v>2.4739621804</v>
      </c>
      <c r="I48" s="13">
        <f t="shared" si="6"/>
        <v>1236.9810901999999</v>
      </c>
      <c r="J48" s="24"/>
      <c r="L48" s="20"/>
      <c r="M48" s="21"/>
      <c r="N48" s="22"/>
    </row>
    <row r="49" spans="1:14" ht="15.75" customHeight="1">
      <c r="A49" s="30">
        <v>22</v>
      </c>
      <c r="B49" s="67" t="s">
        <v>39</v>
      </c>
      <c r="C49" s="68" t="s">
        <v>120</v>
      </c>
      <c r="D49" s="67" t="s">
        <v>44</v>
      </c>
      <c r="E49" s="50">
        <v>2630.35</v>
      </c>
      <c r="F49" s="69">
        <f>SUM(E49*2/1000)</f>
        <v>5.2606999999999999</v>
      </c>
      <c r="G49" s="13">
        <v>648.64</v>
      </c>
      <c r="H49" s="70">
        <f t="shared" si="5"/>
        <v>3.4123004479999999</v>
      </c>
      <c r="I49" s="13">
        <f t="shared" si="6"/>
        <v>1706.150224</v>
      </c>
      <c r="J49" s="24"/>
      <c r="L49" s="20"/>
      <c r="M49" s="21"/>
      <c r="N49" s="22"/>
    </row>
    <row r="50" spans="1:14" ht="15.75" customHeight="1">
      <c r="A50" s="30">
        <v>23</v>
      </c>
      <c r="B50" s="67" t="s">
        <v>35</v>
      </c>
      <c r="C50" s="68" t="s">
        <v>36</v>
      </c>
      <c r="D50" s="67" t="s">
        <v>44</v>
      </c>
      <c r="E50" s="50">
        <v>131.47</v>
      </c>
      <c r="F50" s="69">
        <f>SUM(E50*2/100)</f>
        <v>2.6294</v>
      </c>
      <c r="G50" s="13">
        <v>77.84</v>
      </c>
      <c r="H50" s="70">
        <f t="shared" si="5"/>
        <v>0.20467249599999998</v>
      </c>
      <c r="I50" s="13">
        <f>F50/2*G50</f>
        <v>102.336248</v>
      </c>
      <c r="J50" s="24"/>
      <c r="L50" s="20"/>
      <c r="M50" s="21"/>
      <c r="N50" s="22"/>
    </row>
    <row r="51" spans="1:14" ht="15.75" customHeight="1">
      <c r="A51" s="30">
        <v>24</v>
      </c>
      <c r="B51" s="67" t="s">
        <v>60</v>
      </c>
      <c r="C51" s="68" t="s">
        <v>120</v>
      </c>
      <c r="D51" s="67" t="s">
        <v>168</v>
      </c>
      <c r="E51" s="50">
        <v>2872.4</v>
      </c>
      <c r="F51" s="69">
        <f>SUM(E51*5/1000)</f>
        <v>14.362</v>
      </c>
      <c r="G51" s="13">
        <v>1297.28</v>
      </c>
      <c r="H51" s="70">
        <f t="shared" si="5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14" ht="31.5" hidden="1" customHeight="1">
      <c r="A52" s="30">
        <v>24</v>
      </c>
      <c r="B52" s="67" t="s">
        <v>129</v>
      </c>
      <c r="C52" s="68" t="s">
        <v>120</v>
      </c>
      <c r="D52" s="67" t="s">
        <v>44</v>
      </c>
      <c r="E52" s="50">
        <v>2872.4</v>
      </c>
      <c r="F52" s="69">
        <f>SUM(E52*2/1000)</f>
        <v>5.7448000000000006</v>
      </c>
      <c r="G52" s="13">
        <v>1297.28</v>
      </c>
      <c r="H52" s="70">
        <f t="shared" si="5"/>
        <v>7.4526141440000009</v>
      </c>
      <c r="I52" s="13">
        <f>F52/2*G52</f>
        <v>3726.3070720000005</v>
      </c>
      <c r="J52" s="24"/>
      <c r="L52" s="20"/>
      <c r="M52" s="21"/>
      <c r="N52" s="22"/>
    </row>
    <row r="53" spans="1:14" ht="31.5" hidden="1" customHeight="1">
      <c r="A53" s="30">
        <v>25</v>
      </c>
      <c r="B53" s="67" t="s">
        <v>130</v>
      </c>
      <c r="C53" s="68" t="s">
        <v>40</v>
      </c>
      <c r="D53" s="67" t="s">
        <v>44</v>
      </c>
      <c r="E53" s="50">
        <v>40</v>
      </c>
      <c r="F53" s="69">
        <f>SUM(E53*2/100)</f>
        <v>0.8</v>
      </c>
      <c r="G53" s="13">
        <v>2918.89</v>
      </c>
      <c r="H53" s="70">
        <f t="shared" si="5"/>
        <v>2.3351120000000001</v>
      </c>
      <c r="I53" s="13">
        <f t="shared" ref="I53:I54" si="7">F53/2*G53</f>
        <v>1167.556</v>
      </c>
      <c r="J53" s="24"/>
      <c r="L53" s="20"/>
      <c r="M53" s="21"/>
      <c r="N53" s="22"/>
    </row>
    <row r="54" spans="1:14" ht="15.75" hidden="1" customHeight="1">
      <c r="A54" s="30">
        <v>26</v>
      </c>
      <c r="B54" s="67" t="s">
        <v>41</v>
      </c>
      <c r="C54" s="68" t="s">
        <v>42</v>
      </c>
      <c r="D54" s="67" t="s">
        <v>44</v>
      </c>
      <c r="E54" s="50">
        <v>1</v>
      </c>
      <c r="F54" s="69">
        <v>0.02</v>
      </c>
      <c r="G54" s="13">
        <v>6042.12</v>
      </c>
      <c r="H54" s="70">
        <f t="shared" si="5"/>
        <v>0.1208424</v>
      </c>
      <c r="I54" s="13">
        <f t="shared" si="7"/>
        <v>60.421199999999999</v>
      </c>
      <c r="J54" s="24"/>
      <c r="L54" s="20"/>
      <c r="M54" s="21"/>
      <c r="N54" s="22"/>
    </row>
    <row r="55" spans="1:14" ht="15.75" hidden="1" customHeight="1">
      <c r="A55" s="30">
        <v>15</v>
      </c>
      <c r="B55" s="67" t="s">
        <v>43</v>
      </c>
      <c r="C55" s="68" t="s">
        <v>31</v>
      </c>
      <c r="D55" s="67" t="s">
        <v>75</v>
      </c>
      <c r="E55" s="50">
        <v>160</v>
      </c>
      <c r="F55" s="69">
        <f>SUM(E55)*3</f>
        <v>480</v>
      </c>
      <c r="G55" s="13">
        <v>70.209999999999994</v>
      </c>
      <c r="H55" s="70">
        <f t="shared" si="5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14" ht="15.75" customHeight="1">
      <c r="A56" s="144" t="s">
        <v>150</v>
      </c>
      <c r="B56" s="145"/>
      <c r="C56" s="145"/>
      <c r="D56" s="145"/>
      <c r="E56" s="145"/>
      <c r="F56" s="145"/>
      <c r="G56" s="145"/>
      <c r="H56" s="145"/>
      <c r="I56" s="146"/>
      <c r="J56" s="24"/>
      <c r="L56" s="20"/>
      <c r="M56" s="21"/>
      <c r="N56" s="22"/>
    </row>
    <row r="57" spans="1:14" ht="16.5" customHeight="1">
      <c r="A57" s="30"/>
      <c r="B57" s="89" t="s">
        <v>45</v>
      </c>
      <c r="C57" s="68"/>
      <c r="D57" s="67"/>
      <c r="E57" s="50"/>
      <c r="F57" s="69"/>
      <c r="G57" s="69"/>
      <c r="H57" s="70"/>
      <c r="I57" s="13"/>
      <c r="J57" s="24"/>
      <c r="L57" s="20"/>
      <c r="M57" s="21"/>
      <c r="N57" s="22"/>
    </row>
    <row r="58" spans="1:14" ht="18" hidden="1" customHeight="1">
      <c r="A58" s="30">
        <v>27</v>
      </c>
      <c r="B58" s="67" t="s">
        <v>132</v>
      </c>
      <c r="C58" s="68" t="s">
        <v>111</v>
      </c>
      <c r="D58" s="67" t="s">
        <v>76</v>
      </c>
      <c r="E58" s="50">
        <v>239.59</v>
      </c>
      <c r="F58" s="69">
        <f>E58*6/100</f>
        <v>14.375399999999999</v>
      </c>
      <c r="G58" s="76">
        <v>1654.04</v>
      </c>
      <c r="H58" s="70">
        <f>F58*G58/1000</f>
        <v>23.777486615999997</v>
      </c>
      <c r="I58" s="13">
        <f>F58/6*G58</f>
        <v>3962.9144359999996</v>
      </c>
      <c r="J58" s="24"/>
      <c r="L58" s="20"/>
      <c r="M58" s="21"/>
      <c r="N58" s="22"/>
    </row>
    <row r="59" spans="1:14" ht="18" customHeight="1">
      <c r="A59" s="30">
        <v>25</v>
      </c>
      <c r="B59" s="78" t="s">
        <v>93</v>
      </c>
      <c r="C59" s="77" t="s">
        <v>236</v>
      </c>
      <c r="D59" s="129" t="s">
        <v>237</v>
      </c>
      <c r="E59" s="79"/>
      <c r="F59" s="81"/>
      <c r="G59" s="115">
        <v>1501</v>
      </c>
      <c r="H59" s="83"/>
      <c r="I59" s="13">
        <f>G59*2</f>
        <v>3002</v>
      </c>
      <c r="J59" s="24"/>
      <c r="L59" s="20"/>
      <c r="M59" s="21"/>
      <c r="N59" s="22"/>
    </row>
    <row r="60" spans="1:14" ht="15.75" customHeight="1">
      <c r="A60" s="30"/>
      <c r="B60" s="90" t="s">
        <v>46</v>
      </c>
      <c r="C60" s="77"/>
      <c r="D60" s="78"/>
      <c r="E60" s="79"/>
      <c r="F60" s="81"/>
      <c r="G60" s="13"/>
      <c r="H60" s="83"/>
      <c r="I60" s="13"/>
      <c r="J60" s="24"/>
      <c r="L60" s="20"/>
      <c r="M60" s="21"/>
      <c r="N60" s="22"/>
    </row>
    <row r="61" spans="1:14" ht="15.75" hidden="1" customHeight="1">
      <c r="A61" s="30"/>
      <c r="B61" s="78" t="s">
        <v>47</v>
      </c>
      <c r="C61" s="77" t="s">
        <v>56</v>
      </c>
      <c r="D61" s="78" t="s">
        <v>57</v>
      </c>
      <c r="E61" s="79">
        <v>2686</v>
      </c>
      <c r="F61" s="81">
        <f>E61/100</f>
        <v>26.86</v>
      </c>
      <c r="G61" s="13">
        <v>848.37</v>
      </c>
      <c r="H61" s="83">
        <f>G61*F61/1000</f>
        <v>22.787218199999998</v>
      </c>
      <c r="I61" s="13">
        <v>0</v>
      </c>
      <c r="J61" s="24"/>
      <c r="L61" s="20"/>
    </row>
    <row r="62" spans="1:14" ht="15.75" customHeight="1">
      <c r="A62" s="30">
        <v>26</v>
      </c>
      <c r="B62" s="78" t="s">
        <v>103</v>
      </c>
      <c r="C62" s="77" t="s">
        <v>25</v>
      </c>
      <c r="D62" s="78" t="s">
        <v>30</v>
      </c>
      <c r="E62" s="79">
        <v>343</v>
      </c>
      <c r="F62" s="81">
        <v>4116</v>
      </c>
      <c r="G62" s="13">
        <v>1.2</v>
      </c>
      <c r="H62" s="83">
        <f>F62*G62</f>
        <v>4939.2</v>
      </c>
      <c r="I62" s="13">
        <f>4116/12*G62</f>
        <v>411.59999999999997</v>
      </c>
    </row>
    <row r="63" spans="1:14" ht="15.75" hidden="1" customHeight="1">
      <c r="A63" s="30"/>
      <c r="B63" s="90" t="s">
        <v>144</v>
      </c>
      <c r="C63" s="77"/>
      <c r="D63" s="78"/>
      <c r="E63" s="79"/>
      <c r="F63" s="81"/>
      <c r="G63" s="13"/>
      <c r="H63" s="83"/>
      <c r="I63" s="13"/>
    </row>
    <row r="64" spans="1:14" ht="15.75" hidden="1" customHeight="1">
      <c r="A64" s="30"/>
      <c r="B64" s="78" t="s">
        <v>145</v>
      </c>
      <c r="C64" s="77" t="s">
        <v>31</v>
      </c>
      <c r="D64" s="78" t="s">
        <v>71</v>
      </c>
      <c r="E64" s="79">
        <v>3</v>
      </c>
      <c r="F64" s="80">
        <v>3</v>
      </c>
      <c r="G64" s="82">
        <v>254.16</v>
      </c>
      <c r="H64" s="81">
        <v>0.76200000000000001</v>
      </c>
      <c r="I64" s="13">
        <v>0</v>
      </c>
    </row>
    <row r="65" spans="1:22" ht="15.75" customHeight="1">
      <c r="A65" s="30"/>
      <c r="B65" s="90" t="s">
        <v>48</v>
      </c>
      <c r="C65" s="77"/>
      <c r="D65" s="78"/>
      <c r="E65" s="79"/>
      <c r="F65" s="80"/>
      <c r="G65" s="80"/>
      <c r="H65" s="81" t="s">
        <v>139</v>
      </c>
      <c r="I65" s="1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0"/>
      <c r="B66" s="14" t="s">
        <v>49</v>
      </c>
      <c r="C66" s="16" t="s">
        <v>131</v>
      </c>
      <c r="D66" s="78" t="s">
        <v>71</v>
      </c>
      <c r="E66" s="19">
        <v>15</v>
      </c>
      <c r="F66" s="69">
        <v>15</v>
      </c>
      <c r="G66" s="13">
        <v>237.74</v>
      </c>
      <c r="H66" s="84">
        <f t="shared" ref="H66:H79" si="8">SUM(F66*G66/1000)</f>
        <v>3.5661000000000005</v>
      </c>
      <c r="I66" s="13">
        <v>0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0"/>
      <c r="B67" s="14" t="s">
        <v>50</v>
      </c>
      <c r="C67" s="16" t="s">
        <v>131</v>
      </c>
      <c r="D67" s="78" t="s">
        <v>71</v>
      </c>
      <c r="E67" s="19">
        <v>5</v>
      </c>
      <c r="F67" s="69">
        <v>5</v>
      </c>
      <c r="G67" s="13">
        <v>81.510000000000005</v>
      </c>
      <c r="H67" s="84">
        <f t="shared" si="8"/>
        <v>0.40755000000000002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customHeight="1">
      <c r="A68" s="30">
        <v>27</v>
      </c>
      <c r="B68" s="14" t="s">
        <v>51</v>
      </c>
      <c r="C68" s="16" t="s">
        <v>133</v>
      </c>
      <c r="D68" s="14" t="s">
        <v>57</v>
      </c>
      <c r="E68" s="50">
        <v>24123</v>
      </c>
      <c r="F68" s="13">
        <f>SUM(E68/100)</f>
        <v>241.23</v>
      </c>
      <c r="G68" s="13">
        <v>226.79</v>
      </c>
      <c r="H68" s="84">
        <f t="shared" si="8"/>
        <v>54.708551699999994</v>
      </c>
      <c r="I68" s="13">
        <f>F68*G68</f>
        <v>54708.551699999996</v>
      </c>
      <c r="J68" s="5"/>
      <c r="K68" s="5"/>
      <c r="L68" s="5"/>
      <c r="M68" s="5"/>
      <c r="N68" s="5"/>
      <c r="O68" s="5"/>
      <c r="P68" s="5"/>
      <c r="Q68" s="5"/>
      <c r="R68" s="140"/>
      <c r="S68" s="140"/>
      <c r="T68" s="140"/>
      <c r="U68" s="140"/>
    </row>
    <row r="69" spans="1:22" ht="15.75" customHeight="1">
      <c r="A69" s="30">
        <v>28</v>
      </c>
      <c r="B69" s="14" t="s">
        <v>52</v>
      </c>
      <c r="C69" s="16" t="s">
        <v>134</v>
      </c>
      <c r="D69" s="14"/>
      <c r="E69" s="50">
        <v>24123</v>
      </c>
      <c r="F69" s="13">
        <f>SUM(E69/1000)</f>
        <v>24.123000000000001</v>
      </c>
      <c r="G69" s="13">
        <v>176.61</v>
      </c>
      <c r="H69" s="84">
        <f t="shared" si="8"/>
        <v>4.2603630300000006</v>
      </c>
      <c r="I69" s="13">
        <f t="shared" ref="I69:I73" si="9">F69*G69</f>
        <v>4260.3630300000004</v>
      </c>
    </row>
    <row r="70" spans="1:22" ht="15.75" customHeight="1">
      <c r="A70" s="30">
        <v>29</v>
      </c>
      <c r="B70" s="14" t="s">
        <v>53</v>
      </c>
      <c r="C70" s="16" t="s">
        <v>81</v>
      </c>
      <c r="D70" s="14" t="s">
        <v>57</v>
      </c>
      <c r="E70" s="50">
        <v>2730</v>
      </c>
      <c r="F70" s="13">
        <f>SUM(E70/100)</f>
        <v>27.3</v>
      </c>
      <c r="G70" s="13">
        <v>2217.7800000000002</v>
      </c>
      <c r="H70" s="84">
        <f t="shared" si="8"/>
        <v>60.545394000000009</v>
      </c>
      <c r="I70" s="13">
        <f t="shared" si="9"/>
        <v>60545.394000000008</v>
      </c>
    </row>
    <row r="71" spans="1:22" ht="15.75" customHeight="1">
      <c r="A71" s="30">
        <v>30</v>
      </c>
      <c r="B71" s="85" t="s">
        <v>135</v>
      </c>
      <c r="C71" s="16" t="s">
        <v>34</v>
      </c>
      <c r="D71" s="14"/>
      <c r="E71" s="50">
        <v>23</v>
      </c>
      <c r="F71" s="13">
        <f>SUM(E71)</f>
        <v>23</v>
      </c>
      <c r="G71" s="13">
        <v>42.67</v>
      </c>
      <c r="H71" s="84">
        <f t="shared" si="8"/>
        <v>0.98141000000000012</v>
      </c>
      <c r="I71" s="13">
        <f t="shared" si="9"/>
        <v>981.41000000000008</v>
      </c>
    </row>
    <row r="72" spans="1:22" ht="15.75" customHeight="1">
      <c r="A72" s="30">
        <v>31</v>
      </c>
      <c r="B72" s="85" t="s">
        <v>136</v>
      </c>
      <c r="C72" s="16" t="s">
        <v>34</v>
      </c>
      <c r="D72" s="14"/>
      <c r="E72" s="50">
        <v>23</v>
      </c>
      <c r="F72" s="13">
        <f>SUM(E72)</f>
        <v>23</v>
      </c>
      <c r="G72" s="13">
        <v>39.81</v>
      </c>
      <c r="H72" s="84">
        <f t="shared" si="8"/>
        <v>0.91563000000000005</v>
      </c>
      <c r="I72" s="13">
        <f t="shared" si="9"/>
        <v>915.63000000000011</v>
      </c>
    </row>
    <row r="73" spans="1:22" ht="15.75" hidden="1" customHeight="1">
      <c r="A73" s="30"/>
      <c r="B73" s="14" t="s">
        <v>61</v>
      </c>
      <c r="C73" s="16" t="s">
        <v>62</v>
      </c>
      <c r="D73" s="14" t="s">
        <v>57</v>
      </c>
      <c r="E73" s="19">
        <v>10</v>
      </c>
      <c r="F73" s="69">
        <f>SUM(E73)</f>
        <v>10</v>
      </c>
      <c r="G73" s="13">
        <v>53.32</v>
      </c>
      <c r="H73" s="84">
        <f t="shared" si="8"/>
        <v>0.53320000000000001</v>
      </c>
      <c r="I73" s="13">
        <f t="shared" si="9"/>
        <v>533.20000000000005</v>
      </c>
    </row>
    <row r="74" spans="1:22" ht="15.75" hidden="1" customHeight="1">
      <c r="A74" s="30"/>
      <c r="B74" s="57" t="s">
        <v>77</v>
      </c>
      <c r="C74" s="16"/>
      <c r="D74" s="14"/>
      <c r="E74" s="19"/>
      <c r="F74" s="13"/>
      <c r="G74" s="13"/>
      <c r="H74" s="84" t="s">
        <v>139</v>
      </c>
      <c r="I74" s="13"/>
    </row>
    <row r="75" spans="1:22" ht="15.75" hidden="1" customHeight="1">
      <c r="A75" s="30"/>
      <c r="B75" s="14" t="s">
        <v>78</v>
      </c>
      <c r="C75" s="16" t="s">
        <v>32</v>
      </c>
      <c r="D75" s="14"/>
      <c r="E75" s="19">
        <v>2</v>
      </c>
      <c r="F75" s="61">
        <v>0.2</v>
      </c>
      <c r="G75" s="13">
        <v>536.23</v>
      </c>
      <c r="H75" s="84">
        <v>0.251</v>
      </c>
      <c r="I75" s="13">
        <v>0</v>
      </c>
    </row>
    <row r="76" spans="1:22" ht="15.75" hidden="1" customHeight="1">
      <c r="A76" s="30"/>
      <c r="B76" s="14" t="s">
        <v>94</v>
      </c>
      <c r="C76" s="16" t="s">
        <v>31</v>
      </c>
      <c r="D76" s="14"/>
      <c r="E76" s="19">
        <v>1</v>
      </c>
      <c r="F76" s="69">
        <f>SUM(E76)</f>
        <v>1</v>
      </c>
      <c r="G76" s="13">
        <v>383.25</v>
      </c>
      <c r="H76" s="84">
        <f t="shared" si="8"/>
        <v>0.38324999999999998</v>
      </c>
      <c r="I76" s="13">
        <v>0</v>
      </c>
    </row>
    <row r="77" spans="1:22" ht="15.75" hidden="1" customHeight="1">
      <c r="A77" s="30"/>
      <c r="B77" s="14" t="s">
        <v>79</v>
      </c>
      <c r="C77" s="16" t="s">
        <v>31</v>
      </c>
      <c r="D77" s="14"/>
      <c r="E77" s="19">
        <v>2</v>
      </c>
      <c r="F77" s="13">
        <v>2</v>
      </c>
      <c r="G77" s="13">
        <v>911.85</v>
      </c>
      <c r="H77" s="84">
        <f>F77*G77/1000</f>
        <v>1.8237000000000001</v>
      </c>
      <c r="I77" s="13">
        <v>0</v>
      </c>
    </row>
    <row r="78" spans="1:22" ht="15.75" hidden="1" customHeight="1">
      <c r="A78" s="30"/>
      <c r="B78" s="86" t="s">
        <v>80</v>
      </c>
      <c r="C78" s="16"/>
      <c r="D78" s="14"/>
      <c r="E78" s="19"/>
      <c r="F78" s="13"/>
      <c r="G78" s="13" t="s">
        <v>139</v>
      </c>
      <c r="H78" s="84" t="s">
        <v>139</v>
      </c>
      <c r="I78" s="13"/>
    </row>
    <row r="79" spans="1:22" ht="15.75" hidden="1" customHeight="1">
      <c r="A79" s="30"/>
      <c r="B79" s="45" t="s">
        <v>140</v>
      </c>
      <c r="C79" s="16" t="s">
        <v>81</v>
      </c>
      <c r="D79" s="14"/>
      <c r="E79" s="19"/>
      <c r="F79" s="13">
        <v>1.35</v>
      </c>
      <c r="G79" s="13">
        <v>2949.85</v>
      </c>
      <c r="H79" s="84">
        <f t="shared" si="8"/>
        <v>3.9822975</v>
      </c>
      <c r="I79" s="13">
        <v>0</v>
      </c>
    </row>
    <row r="80" spans="1:22" ht="15.75" hidden="1" customHeight="1">
      <c r="A80" s="30"/>
      <c r="B80" s="72" t="s">
        <v>137</v>
      </c>
      <c r="C80" s="86"/>
      <c r="D80" s="32"/>
      <c r="E80" s="33"/>
      <c r="F80" s="73"/>
      <c r="G80" s="73"/>
      <c r="H80" s="87">
        <f>SUM(H58:H79)</f>
        <v>5118.885151045999</v>
      </c>
      <c r="I80" s="73"/>
    </row>
    <row r="81" spans="1:9" ht="15.75" hidden="1" customHeight="1">
      <c r="A81" s="30"/>
      <c r="B81" s="67" t="s">
        <v>138</v>
      </c>
      <c r="C81" s="16"/>
      <c r="D81" s="14"/>
      <c r="E81" s="62"/>
      <c r="F81" s="13">
        <v>1</v>
      </c>
      <c r="G81" s="13">
        <v>19342.2</v>
      </c>
      <c r="H81" s="84">
        <f>G81*F81/1000</f>
        <v>19.342200000000002</v>
      </c>
      <c r="I81" s="13">
        <v>0</v>
      </c>
    </row>
    <row r="82" spans="1:9" ht="15.75" customHeight="1">
      <c r="A82" s="153" t="s">
        <v>151</v>
      </c>
      <c r="B82" s="154"/>
      <c r="C82" s="154"/>
      <c r="D82" s="154"/>
      <c r="E82" s="154"/>
      <c r="F82" s="154"/>
      <c r="G82" s="154"/>
      <c r="H82" s="154"/>
      <c r="I82" s="155"/>
    </row>
    <row r="83" spans="1:9" ht="15.75" customHeight="1">
      <c r="A83" s="30">
        <v>32</v>
      </c>
      <c r="B83" s="67" t="s">
        <v>141</v>
      </c>
      <c r="C83" s="16" t="s">
        <v>58</v>
      </c>
      <c r="D83" s="88" t="s">
        <v>59</v>
      </c>
      <c r="E83" s="13">
        <v>4591.2</v>
      </c>
      <c r="F83" s="13">
        <f>SUM(E83*12)</f>
        <v>55094.399999999994</v>
      </c>
      <c r="G83" s="13">
        <v>2.54</v>
      </c>
      <c r="H83" s="84">
        <f>SUM(F83*G83/1000)</f>
        <v>139.93977599999999</v>
      </c>
      <c r="I83" s="13">
        <f>F83/12*G83</f>
        <v>11661.647999999999</v>
      </c>
    </row>
    <row r="84" spans="1:9" ht="31.5" customHeight="1">
      <c r="A84" s="30">
        <v>33</v>
      </c>
      <c r="B84" s="14" t="s">
        <v>82</v>
      </c>
      <c r="C84" s="16"/>
      <c r="D84" s="88" t="s">
        <v>59</v>
      </c>
      <c r="E84" s="50">
        <f>E83</f>
        <v>4591.2</v>
      </c>
      <c r="F84" s="13">
        <f>E84*12</f>
        <v>55094.399999999994</v>
      </c>
      <c r="G84" s="13">
        <v>2.0499999999999998</v>
      </c>
      <c r="H84" s="84">
        <f>F84*G84/1000</f>
        <v>112.94351999999998</v>
      </c>
      <c r="I84" s="13">
        <f>F84/12*G84</f>
        <v>9411.9599999999991</v>
      </c>
    </row>
    <row r="85" spans="1:9" ht="15.75" customHeight="1">
      <c r="A85" s="46"/>
      <c r="B85" s="37" t="s">
        <v>85</v>
      </c>
      <c r="C85" s="38"/>
      <c r="D85" s="15"/>
      <c r="E85" s="15"/>
      <c r="F85" s="15"/>
      <c r="G85" s="19"/>
      <c r="H85" s="19"/>
      <c r="I85" s="33">
        <f>I84+I83+I72+I71+I70+I69+I68+I62+I59+I51+I50+I49+I48+I47+I46+I40+I34+I33+I32+I31+I30+I27+I26+I25+I24+I23+I22+I21+I20+I19+I18+I17+I16</f>
        <v>214476.71151690005</v>
      </c>
    </row>
    <row r="86" spans="1:9" ht="15.75" customHeight="1">
      <c r="A86" s="150" t="s">
        <v>64</v>
      </c>
      <c r="B86" s="151"/>
      <c r="C86" s="151"/>
      <c r="D86" s="151"/>
      <c r="E86" s="151"/>
      <c r="F86" s="151"/>
      <c r="G86" s="151"/>
      <c r="H86" s="151"/>
      <c r="I86" s="152"/>
    </row>
    <row r="87" spans="1:9" ht="35.25" customHeight="1">
      <c r="A87" s="30">
        <v>34</v>
      </c>
      <c r="B87" s="98" t="s">
        <v>164</v>
      </c>
      <c r="C87" s="99" t="s">
        <v>104</v>
      </c>
      <c r="D87" s="16" t="s">
        <v>238</v>
      </c>
      <c r="E87" s="35"/>
      <c r="F87" s="35">
        <v>2</v>
      </c>
      <c r="G87" s="35">
        <v>6183.75</v>
      </c>
      <c r="H87" s="100">
        <f t="shared" ref="H87" si="10">G87*F87/1000</f>
        <v>12.3675</v>
      </c>
      <c r="I87" s="13">
        <f>G87*0.6</f>
        <v>3710.25</v>
      </c>
    </row>
    <row r="88" spans="1:9" ht="15.75" customHeight="1">
      <c r="A88" s="30">
        <v>35</v>
      </c>
      <c r="B88" s="98" t="s">
        <v>217</v>
      </c>
      <c r="C88" s="99" t="s">
        <v>131</v>
      </c>
      <c r="D88" s="45"/>
      <c r="E88" s="35"/>
      <c r="F88" s="35">
        <v>2</v>
      </c>
      <c r="G88" s="35">
        <v>89.92</v>
      </c>
      <c r="H88" s="100">
        <f>G88*F88/1000</f>
        <v>0.17984</v>
      </c>
      <c r="I88" s="13">
        <f>G88*2</f>
        <v>179.84</v>
      </c>
    </row>
    <row r="89" spans="1:9" ht="18" customHeight="1">
      <c r="A89" s="30">
        <v>36</v>
      </c>
      <c r="B89" s="98" t="s">
        <v>218</v>
      </c>
      <c r="C89" s="99" t="s">
        <v>131</v>
      </c>
      <c r="D89" s="101"/>
      <c r="E89" s="35"/>
      <c r="F89" s="35">
        <f>4/10</f>
        <v>0.4</v>
      </c>
      <c r="G89" s="35">
        <v>95.25</v>
      </c>
      <c r="H89" s="100">
        <f t="shared" ref="H89" si="11">G89*F89/1000</f>
        <v>3.8100000000000002E-2</v>
      </c>
      <c r="I89" s="13">
        <f>G89*4</f>
        <v>381</v>
      </c>
    </row>
    <row r="90" spans="1:9" ht="15.75" hidden="1" customHeight="1">
      <c r="A90" s="30"/>
      <c r="B90" s="98" t="s">
        <v>219</v>
      </c>
      <c r="C90" s="99" t="s">
        <v>131</v>
      </c>
      <c r="D90" s="45"/>
      <c r="E90" s="13"/>
      <c r="F90" s="13">
        <v>1</v>
      </c>
      <c r="G90" s="35">
        <v>6.84</v>
      </c>
      <c r="H90" s="84">
        <f>G90*F90/1000</f>
        <v>6.8399999999999997E-3</v>
      </c>
      <c r="I90" s="13">
        <v>0</v>
      </c>
    </row>
    <row r="91" spans="1:9" ht="15.75" hidden="1" customHeight="1">
      <c r="A91" s="30"/>
      <c r="B91" s="49" t="s">
        <v>156</v>
      </c>
      <c r="C91" s="51" t="s">
        <v>99</v>
      </c>
      <c r="D91" s="45"/>
      <c r="E91" s="13"/>
      <c r="F91" s="13">
        <v>3</v>
      </c>
      <c r="G91" s="13">
        <v>267.58</v>
      </c>
      <c r="H91" s="84">
        <f>G91*F91/1000</f>
        <v>0.80274000000000001</v>
      </c>
      <c r="I91" s="13">
        <v>0</v>
      </c>
    </row>
    <row r="92" spans="1:9" ht="31.5" hidden="1" customHeight="1">
      <c r="A92" s="30"/>
      <c r="B92" s="49" t="s">
        <v>84</v>
      </c>
      <c r="C92" s="51" t="s">
        <v>131</v>
      </c>
      <c r="D92" s="45"/>
      <c r="E92" s="13"/>
      <c r="F92" s="13">
        <v>7</v>
      </c>
      <c r="G92" s="13">
        <v>79.09</v>
      </c>
      <c r="H92" s="84">
        <f t="shared" ref="H92:H104" si="12">G92*F92/1000</f>
        <v>0.55362999999999996</v>
      </c>
      <c r="I92" s="13">
        <v>0</v>
      </c>
    </row>
    <row r="93" spans="1:9" ht="31.5" hidden="1" customHeight="1">
      <c r="A93" s="30"/>
      <c r="B93" s="49" t="s">
        <v>157</v>
      </c>
      <c r="C93" s="51" t="s">
        <v>29</v>
      </c>
      <c r="D93" s="45"/>
      <c r="E93" s="13"/>
      <c r="F93" s="17">
        <f>4/1000</f>
        <v>4.0000000000000001E-3</v>
      </c>
      <c r="G93" s="13">
        <v>1510.06</v>
      </c>
      <c r="H93" s="84">
        <f t="shared" si="12"/>
        <v>6.0402399999999997E-3</v>
      </c>
      <c r="I93" s="13">
        <v>0</v>
      </c>
    </row>
    <row r="94" spans="1:9" ht="15.75" hidden="1" customHeight="1">
      <c r="A94" s="30"/>
      <c r="B94" s="49" t="s">
        <v>158</v>
      </c>
      <c r="C94" s="51" t="s">
        <v>159</v>
      </c>
      <c r="D94" s="45"/>
      <c r="E94" s="13"/>
      <c r="F94" s="13">
        <f>1/100</f>
        <v>0.01</v>
      </c>
      <c r="G94" s="13">
        <v>7033.13</v>
      </c>
      <c r="H94" s="84">
        <f t="shared" si="12"/>
        <v>7.0331299999999999E-2</v>
      </c>
      <c r="I94" s="13">
        <v>0</v>
      </c>
    </row>
    <row r="95" spans="1:9" ht="31.5" hidden="1" customHeight="1">
      <c r="A95" s="30"/>
      <c r="B95" s="49" t="s">
        <v>160</v>
      </c>
      <c r="C95" s="51" t="s">
        <v>40</v>
      </c>
      <c r="D95" s="45"/>
      <c r="E95" s="13"/>
      <c r="F95" s="13">
        <f>4/100</f>
        <v>0.04</v>
      </c>
      <c r="G95" s="13">
        <v>3397.65</v>
      </c>
      <c r="H95" s="84">
        <f t="shared" si="12"/>
        <v>0.135906</v>
      </c>
      <c r="I95" s="13">
        <v>0</v>
      </c>
    </row>
    <row r="96" spans="1:9" ht="15.75" hidden="1" customHeight="1">
      <c r="A96" s="30"/>
      <c r="B96" s="49" t="s">
        <v>161</v>
      </c>
      <c r="C96" s="51" t="s">
        <v>162</v>
      </c>
      <c r="D96" s="45"/>
      <c r="E96" s="13"/>
      <c r="F96" s="13">
        <v>1</v>
      </c>
      <c r="G96" s="13">
        <v>29624</v>
      </c>
      <c r="H96" s="84">
        <f t="shared" si="12"/>
        <v>29.623999999999999</v>
      </c>
      <c r="I96" s="13">
        <v>0</v>
      </c>
    </row>
    <row r="97" spans="1:9" ht="15.75" hidden="1" customHeight="1">
      <c r="A97" s="30"/>
      <c r="B97" s="49" t="s">
        <v>163</v>
      </c>
      <c r="C97" s="51" t="s">
        <v>162</v>
      </c>
      <c r="D97" s="45"/>
      <c r="E97" s="13"/>
      <c r="F97" s="13">
        <v>1</v>
      </c>
      <c r="G97" s="13">
        <v>59761</v>
      </c>
      <c r="H97" s="84">
        <f t="shared" si="12"/>
        <v>59.761000000000003</v>
      </c>
      <c r="I97" s="13">
        <v>0</v>
      </c>
    </row>
    <row r="98" spans="1:9" ht="31.5" hidden="1" customHeight="1">
      <c r="A98" s="30"/>
      <c r="B98" s="49" t="s">
        <v>164</v>
      </c>
      <c r="C98" s="51" t="s">
        <v>104</v>
      </c>
      <c r="D98" s="45"/>
      <c r="E98" s="13"/>
      <c r="F98" s="13">
        <f>75/10</f>
        <v>7.5</v>
      </c>
      <c r="G98" s="13">
        <v>5641.28</v>
      </c>
      <c r="H98" s="84">
        <f t="shared" si="12"/>
        <v>42.309599999999996</v>
      </c>
      <c r="I98" s="13">
        <v>0</v>
      </c>
    </row>
    <row r="99" spans="1:9" ht="15.75" hidden="1" customHeight="1">
      <c r="A99" s="30"/>
      <c r="B99" s="59" t="s">
        <v>96</v>
      </c>
      <c r="C99" s="60" t="s">
        <v>97</v>
      </c>
      <c r="D99" s="45"/>
      <c r="E99" s="13"/>
      <c r="F99" s="13">
        <v>4</v>
      </c>
      <c r="G99" s="13">
        <v>1063.47</v>
      </c>
      <c r="H99" s="84">
        <f t="shared" si="12"/>
        <v>4.2538800000000005</v>
      </c>
      <c r="I99" s="13">
        <v>0</v>
      </c>
    </row>
    <row r="100" spans="1:9" ht="31.5" hidden="1" customHeight="1">
      <c r="A100" s="30"/>
      <c r="B100" s="49" t="s">
        <v>146</v>
      </c>
      <c r="C100" s="51" t="s">
        <v>86</v>
      </c>
      <c r="D100" s="45"/>
      <c r="E100" s="13"/>
      <c r="F100" s="13">
        <v>4</v>
      </c>
      <c r="G100" s="13">
        <v>1639</v>
      </c>
      <c r="H100" s="84">
        <f t="shared" si="12"/>
        <v>6.556</v>
      </c>
      <c r="I100" s="13">
        <v>0</v>
      </c>
    </row>
    <row r="101" spans="1:9" ht="15.75" hidden="1" customHeight="1">
      <c r="A101" s="30"/>
      <c r="B101" s="49" t="s">
        <v>98</v>
      </c>
      <c r="C101" s="51" t="s">
        <v>99</v>
      </c>
      <c r="D101" s="45"/>
      <c r="E101" s="13"/>
      <c r="F101" s="13">
        <v>2</v>
      </c>
      <c r="G101" s="13">
        <v>195.95</v>
      </c>
      <c r="H101" s="84">
        <f t="shared" si="12"/>
        <v>0.39189999999999997</v>
      </c>
      <c r="I101" s="13">
        <v>0</v>
      </c>
    </row>
    <row r="102" spans="1:9" ht="31.5" hidden="1" customHeight="1">
      <c r="A102" s="30"/>
      <c r="B102" s="49" t="s">
        <v>165</v>
      </c>
      <c r="C102" s="51" t="s">
        <v>86</v>
      </c>
      <c r="D102" s="45"/>
      <c r="E102" s="13"/>
      <c r="F102" s="13">
        <v>1</v>
      </c>
      <c r="G102" s="13">
        <v>513.99</v>
      </c>
      <c r="H102" s="84">
        <f t="shared" si="12"/>
        <v>0.51399000000000006</v>
      </c>
      <c r="I102" s="13">
        <v>0</v>
      </c>
    </row>
    <row r="103" spans="1:9" ht="15.75" hidden="1" customHeight="1">
      <c r="A103" s="30"/>
      <c r="B103" s="59" t="s">
        <v>148</v>
      </c>
      <c r="C103" s="60" t="s">
        <v>97</v>
      </c>
      <c r="D103" s="45"/>
      <c r="E103" s="13"/>
      <c r="F103" s="13">
        <v>3</v>
      </c>
      <c r="G103" s="13">
        <v>1063.47</v>
      </c>
      <c r="H103" s="84">
        <f t="shared" si="12"/>
        <v>3.19041</v>
      </c>
      <c r="I103" s="13">
        <v>0</v>
      </c>
    </row>
    <row r="104" spans="1:9" ht="31.5" hidden="1" customHeight="1">
      <c r="A104" s="30"/>
      <c r="B104" s="49" t="s">
        <v>147</v>
      </c>
      <c r="C104" s="51" t="s">
        <v>99</v>
      </c>
      <c r="D104" s="45"/>
      <c r="E104" s="13"/>
      <c r="F104" s="13">
        <v>1</v>
      </c>
      <c r="G104" s="13">
        <v>625.07000000000005</v>
      </c>
      <c r="H104" s="84">
        <f t="shared" si="12"/>
        <v>0.62507000000000001</v>
      </c>
      <c r="I104" s="13">
        <v>0</v>
      </c>
    </row>
    <row r="105" spans="1:9" ht="17.25" customHeight="1">
      <c r="A105" s="30">
        <v>37</v>
      </c>
      <c r="B105" s="98" t="s">
        <v>219</v>
      </c>
      <c r="C105" s="99" t="s">
        <v>131</v>
      </c>
      <c r="D105" s="45"/>
      <c r="E105" s="13"/>
      <c r="F105" s="13"/>
      <c r="G105" s="35">
        <v>6.84</v>
      </c>
      <c r="H105" s="84"/>
      <c r="I105" s="13">
        <f>G105*2</f>
        <v>13.68</v>
      </c>
    </row>
    <row r="106" spans="1:9" ht="15.75" customHeight="1">
      <c r="A106" s="30">
        <v>38</v>
      </c>
      <c r="B106" s="98" t="s">
        <v>220</v>
      </c>
      <c r="C106" s="99" t="s">
        <v>131</v>
      </c>
      <c r="D106" s="45"/>
      <c r="E106" s="13"/>
      <c r="F106" s="13"/>
      <c r="G106" s="35">
        <v>151.31</v>
      </c>
      <c r="H106" s="84"/>
      <c r="I106" s="13">
        <f>G106*1</f>
        <v>151.31</v>
      </c>
    </row>
    <row r="107" spans="1:9" ht="18.75" customHeight="1">
      <c r="A107" s="30">
        <v>39</v>
      </c>
      <c r="B107" s="98" t="s">
        <v>221</v>
      </c>
      <c r="C107" s="99" t="s">
        <v>131</v>
      </c>
      <c r="D107" s="45"/>
      <c r="E107" s="13"/>
      <c r="F107" s="13"/>
      <c r="G107" s="35">
        <v>169.24</v>
      </c>
      <c r="H107" s="84"/>
      <c r="I107" s="13">
        <f>G107*1</f>
        <v>169.24</v>
      </c>
    </row>
    <row r="108" spans="1:9" ht="18.75" customHeight="1">
      <c r="A108" s="30">
        <v>40</v>
      </c>
      <c r="B108" s="98" t="s">
        <v>222</v>
      </c>
      <c r="C108" s="99" t="s">
        <v>131</v>
      </c>
      <c r="D108" s="45"/>
      <c r="E108" s="13"/>
      <c r="F108" s="13"/>
      <c r="G108" s="35">
        <v>12.8</v>
      </c>
      <c r="H108" s="84"/>
      <c r="I108" s="13">
        <f>G108*4</f>
        <v>51.2</v>
      </c>
    </row>
    <row r="109" spans="1:9" ht="18.75" customHeight="1">
      <c r="A109" s="30">
        <v>41</v>
      </c>
      <c r="B109" s="98" t="s">
        <v>197</v>
      </c>
      <c r="C109" s="99" t="s">
        <v>89</v>
      </c>
      <c r="D109" s="45"/>
      <c r="E109" s="13"/>
      <c r="F109" s="13"/>
      <c r="G109" s="35">
        <v>203.68</v>
      </c>
      <c r="H109" s="84"/>
      <c r="I109" s="13">
        <f>G109*2</f>
        <v>407.36</v>
      </c>
    </row>
    <row r="110" spans="1:9" ht="18.75" customHeight="1">
      <c r="A110" s="30">
        <v>42</v>
      </c>
      <c r="B110" s="98" t="s">
        <v>227</v>
      </c>
      <c r="C110" s="99" t="s">
        <v>131</v>
      </c>
      <c r="D110" s="45"/>
      <c r="E110" s="13"/>
      <c r="F110" s="13"/>
      <c r="G110" s="35">
        <v>8.44</v>
      </c>
      <c r="H110" s="84"/>
      <c r="I110" s="13">
        <f>G110*2</f>
        <v>16.88</v>
      </c>
    </row>
    <row r="111" spans="1:9" ht="18.75" customHeight="1">
      <c r="A111" s="30">
        <v>43</v>
      </c>
      <c r="B111" s="98" t="s">
        <v>87</v>
      </c>
      <c r="C111" s="99" t="s">
        <v>131</v>
      </c>
      <c r="D111" s="45"/>
      <c r="E111" s="13"/>
      <c r="F111" s="13"/>
      <c r="G111" s="35">
        <v>197.48</v>
      </c>
      <c r="H111" s="84"/>
      <c r="I111" s="13">
        <f>G111*1</f>
        <v>197.48</v>
      </c>
    </row>
    <row r="112" spans="1:9" ht="29.25" customHeight="1">
      <c r="A112" s="30">
        <v>44</v>
      </c>
      <c r="B112" s="49" t="s">
        <v>239</v>
      </c>
      <c r="C112" s="51" t="s">
        <v>86</v>
      </c>
      <c r="D112" s="45"/>
      <c r="E112" s="13"/>
      <c r="F112" s="13"/>
      <c r="G112" s="35">
        <v>1272</v>
      </c>
      <c r="H112" s="84"/>
      <c r="I112" s="13">
        <f>G112*14</f>
        <v>17808</v>
      </c>
    </row>
    <row r="113" spans="1:9" ht="18.75" customHeight="1">
      <c r="A113" s="30">
        <v>45</v>
      </c>
      <c r="B113" s="49" t="s">
        <v>228</v>
      </c>
      <c r="C113" s="51" t="s">
        <v>131</v>
      </c>
      <c r="D113" s="45"/>
      <c r="E113" s="13"/>
      <c r="F113" s="13"/>
      <c r="G113" s="35">
        <v>5.42</v>
      </c>
      <c r="H113" s="84"/>
      <c r="I113" s="13">
        <f>G113*4</f>
        <v>21.68</v>
      </c>
    </row>
    <row r="114" spans="1:9" ht="18.75" customHeight="1">
      <c r="A114" s="30">
        <v>46</v>
      </c>
      <c r="B114" s="49" t="s">
        <v>240</v>
      </c>
      <c r="C114" s="51" t="s">
        <v>131</v>
      </c>
      <c r="D114" s="45"/>
      <c r="E114" s="13"/>
      <c r="F114" s="13"/>
      <c r="G114" s="35">
        <v>8.36</v>
      </c>
      <c r="H114" s="84"/>
      <c r="I114" s="13">
        <f>G114*1</f>
        <v>8.36</v>
      </c>
    </row>
    <row r="115" spans="1:9" ht="18.75" customHeight="1">
      <c r="A115" s="30">
        <v>47</v>
      </c>
      <c r="B115" s="49" t="s">
        <v>230</v>
      </c>
      <c r="C115" s="51" t="s">
        <v>131</v>
      </c>
      <c r="D115" s="45"/>
      <c r="E115" s="13"/>
      <c r="F115" s="13"/>
      <c r="G115" s="35">
        <v>5.25</v>
      </c>
      <c r="H115" s="84"/>
      <c r="I115" s="13">
        <f>G115*3</f>
        <v>15.75</v>
      </c>
    </row>
    <row r="116" spans="1:9" ht="18.75" customHeight="1">
      <c r="A116" s="30">
        <v>48</v>
      </c>
      <c r="B116" s="49" t="s">
        <v>241</v>
      </c>
      <c r="C116" s="51" t="s">
        <v>131</v>
      </c>
      <c r="D116" s="45"/>
      <c r="E116" s="13"/>
      <c r="F116" s="13"/>
      <c r="G116" s="35">
        <v>8.44</v>
      </c>
      <c r="H116" s="84"/>
      <c r="I116" s="13">
        <f>G116*2</f>
        <v>16.88</v>
      </c>
    </row>
    <row r="117" spans="1:9" ht="18.75" customHeight="1">
      <c r="A117" s="30">
        <v>49</v>
      </c>
      <c r="B117" s="98" t="s">
        <v>242</v>
      </c>
      <c r="C117" s="99" t="s">
        <v>243</v>
      </c>
      <c r="D117" s="16" t="s">
        <v>245</v>
      </c>
      <c r="E117" s="13"/>
      <c r="F117" s="13"/>
      <c r="G117" s="35">
        <v>210.51</v>
      </c>
      <c r="H117" s="84"/>
      <c r="I117" s="13">
        <f>G117*80</f>
        <v>16840.8</v>
      </c>
    </row>
    <row r="118" spans="1:9" ht="18.75" customHeight="1">
      <c r="A118" s="30">
        <v>50</v>
      </c>
      <c r="B118" s="98" t="s">
        <v>244</v>
      </c>
      <c r="C118" s="99" t="s">
        <v>131</v>
      </c>
      <c r="D118" s="45"/>
      <c r="E118" s="13"/>
      <c r="F118" s="13"/>
      <c r="G118" s="35">
        <v>7</v>
      </c>
      <c r="H118" s="84"/>
      <c r="I118" s="13">
        <f>G118*85</f>
        <v>595</v>
      </c>
    </row>
    <row r="119" spans="1:9" ht="18.75" customHeight="1">
      <c r="A119" s="30">
        <v>51</v>
      </c>
      <c r="B119" s="98" t="s">
        <v>246</v>
      </c>
      <c r="C119" s="99" t="s">
        <v>207</v>
      </c>
      <c r="D119" s="45"/>
      <c r="E119" s="13"/>
      <c r="F119" s="13"/>
      <c r="G119" s="35">
        <v>202.21</v>
      </c>
      <c r="H119" s="84"/>
      <c r="I119" s="13">
        <f>G119*3</f>
        <v>606.63</v>
      </c>
    </row>
    <row r="120" spans="1:9" ht="18.75" customHeight="1">
      <c r="A120" s="30">
        <v>52</v>
      </c>
      <c r="B120" s="98" t="s">
        <v>247</v>
      </c>
      <c r="C120" s="99" t="s">
        <v>243</v>
      </c>
      <c r="D120" s="45"/>
      <c r="E120" s="13"/>
      <c r="F120" s="13"/>
      <c r="G120" s="35">
        <v>377.17</v>
      </c>
      <c r="H120" s="84"/>
      <c r="I120" s="13">
        <f>G120*1</f>
        <v>377.17</v>
      </c>
    </row>
    <row r="121" spans="1:9" ht="18.75" customHeight="1">
      <c r="A121" s="30">
        <v>53</v>
      </c>
      <c r="B121" s="132" t="s">
        <v>248</v>
      </c>
      <c r="C121" s="102" t="s">
        <v>249</v>
      </c>
      <c r="D121" s="45"/>
      <c r="E121" s="13"/>
      <c r="F121" s="13"/>
      <c r="G121" s="35">
        <v>13785.45</v>
      </c>
      <c r="H121" s="84"/>
      <c r="I121" s="13">
        <f>G121*0.8</f>
        <v>11028.36</v>
      </c>
    </row>
    <row r="122" spans="1:9" ht="18.75" customHeight="1">
      <c r="A122" s="30">
        <v>54</v>
      </c>
      <c r="B122" s="132" t="s">
        <v>250</v>
      </c>
      <c r="C122" s="102" t="s">
        <v>131</v>
      </c>
      <c r="D122" s="16" t="s">
        <v>255</v>
      </c>
      <c r="E122" s="13"/>
      <c r="F122" s="13"/>
      <c r="G122" s="35">
        <v>185</v>
      </c>
      <c r="H122" s="84"/>
      <c r="I122" s="13">
        <f>G122*51</f>
        <v>9435</v>
      </c>
    </row>
    <row r="123" spans="1:9" ht="18.75" customHeight="1">
      <c r="A123" s="30">
        <v>55</v>
      </c>
      <c r="B123" s="132" t="s">
        <v>251</v>
      </c>
      <c r="C123" s="102" t="s">
        <v>252</v>
      </c>
      <c r="D123" s="45"/>
      <c r="E123" s="13"/>
      <c r="F123" s="13"/>
      <c r="G123" s="35">
        <v>80</v>
      </c>
      <c r="H123" s="84"/>
      <c r="I123" s="13">
        <f>G123*1</f>
        <v>80</v>
      </c>
    </row>
    <row r="124" spans="1:9" ht="18.75" customHeight="1">
      <c r="A124" s="30">
        <v>56</v>
      </c>
      <c r="B124" s="132" t="s">
        <v>253</v>
      </c>
      <c r="C124" s="102" t="s">
        <v>254</v>
      </c>
      <c r="D124" s="45"/>
      <c r="E124" s="13"/>
      <c r="F124" s="13"/>
      <c r="G124" s="35">
        <v>300</v>
      </c>
      <c r="H124" s="84"/>
      <c r="I124" s="13">
        <f>G124*1</f>
        <v>300</v>
      </c>
    </row>
    <row r="125" spans="1:9" ht="18.75" customHeight="1">
      <c r="A125" s="30">
        <v>57</v>
      </c>
      <c r="B125" s="132" t="s">
        <v>256</v>
      </c>
      <c r="C125" s="99" t="s">
        <v>86</v>
      </c>
      <c r="D125" s="45"/>
      <c r="E125" s="13"/>
      <c r="F125" s="13"/>
      <c r="G125" s="35">
        <v>1749.7</v>
      </c>
      <c r="H125" s="84"/>
      <c r="I125" s="13">
        <f>G125*2.7</f>
        <v>4724.1900000000005</v>
      </c>
    </row>
    <row r="126" spans="1:9" ht="18.75" customHeight="1">
      <c r="A126" s="30">
        <v>58</v>
      </c>
      <c r="B126" s="132" t="s">
        <v>257</v>
      </c>
      <c r="C126" s="99" t="s">
        <v>131</v>
      </c>
      <c r="D126" s="45"/>
      <c r="E126" s="13"/>
      <c r="F126" s="13"/>
      <c r="G126" s="35">
        <v>1253.56</v>
      </c>
      <c r="H126" s="84"/>
      <c r="I126" s="13">
        <f>G126*1</f>
        <v>1253.56</v>
      </c>
    </row>
    <row r="127" spans="1:9" ht="18.75" customHeight="1">
      <c r="A127" s="30">
        <v>59</v>
      </c>
      <c r="B127" s="49" t="s">
        <v>206</v>
      </c>
      <c r="C127" s="51" t="s">
        <v>207</v>
      </c>
      <c r="D127" s="45"/>
      <c r="E127" s="13"/>
      <c r="F127" s="13"/>
      <c r="G127" s="35">
        <v>134.12</v>
      </c>
      <c r="H127" s="84"/>
      <c r="I127" s="13">
        <f>G127*3</f>
        <v>402.36</v>
      </c>
    </row>
    <row r="128" spans="1:9" ht="32.25" customHeight="1">
      <c r="A128" s="30">
        <v>60</v>
      </c>
      <c r="B128" s="127" t="s">
        <v>231</v>
      </c>
      <c r="C128" s="128" t="s">
        <v>40</v>
      </c>
      <c r="D128" s="45"/>
      <c r="E128" s="13"/>
      <c r="F128" s="13"/>
      <c r="G128" s="35">
        <v>3724.37</v>
      </c>
      <c r="H128" s="84"/>
      <c r="I128" s="13">
        <f>G128*0.01</f>
        <v>37.243699999999997</v>
      </c>
    </row>
    <row r="129" spans="1:9" ht="18.75" hidden="1" customHeight="1">
      <c r="A129" s="30"/>
      <c r="B129" s="130"/>
      <c r="C129" s="131"/>
      <c r="D129" s="45"/>
      <c r="E129" s="13"/>
      <c r="F129" s="13"/>
      <c r="G129" s="123"/>
      <c r="H129" s="84"/>
      <c r="I129" s="13"/>
    </row>
    <row r="130" spans="1:9" ht="15.75" customHeight="1">
      <c r="A130" s="30"/>
      <c r="B130" s="43" t="s">
        <v>54</v>
      </c>
      <c r="C130" s="39"/>
      <c r="D130" s="47"/>
      <c r="E130" s="39">
        <v>1</v>
      </c>
      <c r="F130" s="39"/>
      <c r="G130" s="39"/>
      <c r="H130" s="39"/>
      <c r="I130" s="33">
        <f>SUM(I87:I129)</f>
        <v>68829.223700000002</v>
      </c>
    </row>
    <row r="131" spans="1:9" ht="15.75" customHeight="1">
      <c r="A131" s="30"/>
      <c r="B131" s="45" t="s">
        <v>83</v>
      </c>
      <c r="C131" s="15"/>
      <c r="D131" s="15"/>
      <c r="E131" s="40"/>
      <c r="F131" s="40"/>
      <c r="G131" s="41"/>
      <c r="H131" s="41"/>
      <c r="I131" s="18">
        <v>0</v>
      </c>
    </row>
    <row r="132" spans="1:9" ht="15.75" customHeight="1">
      <c r="A132" s="48"/>
      <c r="B132" s="44" t="s">
        <v>180</v>
      </c>
      <c r="C132" s="34"/>
      <c r="D132" s="34"/>
      <c r="E132" s="34"/>
      <c r="F132" s="34"/>
      <c r="G132" s="34"/>
      <c r="H132" s="34"/>
      <c r="I132" s="42">
        <f>I85+I130</f>
        <v>283305.93521690008</v>
      </c>
    </row>
    <row r="133" spans="1:9" ht="15.75" customHeight="1">
      <c r="A133" s="147" t="s">
        <v>268</v>
      </c>
      <c r="B133" s="147"/>
      <c r="C133" s="147"/>
      <c r="D133" s="147"/>
      <c r="E133" s="147"/>
      <c r="F133" s="147"/>
      <c r="G133" s="147"/>
      <c r="H133" s="147"/>
      <c r="I133" s="147"/>
    </row>
    <row r="134" spans="1:9" ht="15.75" customHeight="1">
      <c r="A134" s="58"/>
      <c r="B134" s="148" t="s">
        <v>269</v>
      </c>
      <c r="C134" s="148"/>
      <c r="D134" s="148"/>
      <c r="E134" s="148"/>
      <c r="F134" s="148"/>
      <c r="G134" s="148"/>
      <c r="H134" s="66"/>
      <c r="I134" s="3"/>
    </row>
    <row r="135" spans="1:9" ht="15.75" customHeight="1">
      <c r="A135" s="52"/>
      <c r="B135" s="138" t="s">
        <v>6</v>
      </c>
      <c r="C135" s="138"/>
      <c r="D135" s="138"/>
      <c r="E135" s="138"/>
      <c r="F135" s="138"/>
      <c r="G135" s="138"/>
      <c r="H135" s="25"/>
      <c r="I135" s="5"/>
    </row>
    <row r="136" spans="1:9" ht="15.75" customHeight="1">
      <c r="A136" s="10"/>
      <c r="B136" s="10"/>
      <c r="C136" s="10"/>
      <c r="D136" s="10"/>
      <c r="E136" s="10"/>
      <c r="F136" s="10"/>
      <c r="G136" s="10"/>
      <c r="H136" s="10"/>
      <c r="I136" s="10"/>
    </row>
    <row r="137" spans="1:9" ht="15.75" customHeight="1">
      <c r="A137" s="149" t="s">
        <v>7</v>
      </c>
      <c r="B137" s="149"/>
      <c r="C137" s="149"/>
      <c r="D137" s="149"/>
      <c r="E137" s="149"/>
      <c r="F137" s="149"/>
      <c r="G137" s="149"/>
      <c r="H137" s="149"/>
      <c r="I137" s="149"/>
    </row>
    <row r="138" spans="1:9" ht="15.75" customHeight="1">
      <c r="A138" s="149" t="s">
        <v>8</v>
      </c>
      <c r="B138" s="149"/>
      <c r="C138" s="149"/>
      <c r="D138" s="149"/>
      <c r="E138" s="149"/>
      <c r="F138" s="149"/>
      <c r="G138" s="149"/>
      <c r="H138" s="149"/>
      <c r="I138" s="149"/>
    </row>
    <row r="139" spans="1:9" ht="15.75" customHeight="1">
      <c r="A139" s="142" t="s">
        <v>65</v>
      </c>
      <c r="B139" s="142"/>
      <c r="C139" s="142"/>
      <c r="D139" s="142"/>
      <c r="E139" s="142"/>
      <c r="F139" s="142"/>
      <c r="G139" s="142"/>
      <c r="H139" s="142"/>
      <c r="I139" s="142"/>
    </row>
    <row r="140" spans="1:9" ht="15.75" customHeight="1">
      <c r="A140" s="11"/>
    </row>
    <row r="141" spans="1:9" ht="15.75" customHeight="1">
      <c r="A141" s="136" t="s">
        <v>9</v>
      </c>
      <c r="B141" s="136"/>
      <c r="C141" s="136"/>
      <c r="D141" s="136"/>
      <c r="E141" s="136"/>
      <c r="F141" s="136"/>
      <c r="G141" s="136"/>
      <c r="H141" s="136"/>
      <c r="I141" s="136"/>
    </row>
    <row r="142" spans="1:9" ht="15.75" customHeight="1">
      <c r="A142" s="4"/>
    </row>
    <row r="143" spans="1:9" ht="15.75" customHeight="1">
      <c r="B143" s="55" t="s">
        <v>10</v>
      </c>
      <c r="C143" s="137" t="s">
        <v>95</v>
      </c>
      <c r="D143" s="137"/>
      <c r="E143" s="137"/>
      <c r="F143" s="64"/>
      <c r="I143" s="54"/>
    </row>
    <row r="144" spans="1:9" ht="15.75" customHeight="1">
      <c r="A144" s="52"/>
      <c r="C144" s="138" t="s">
        <v>11</v>
      </c>
      <c r="D144" s="138"/>
      <c r="E144" s="138"/>
      <c r="F144" s="25"/>
      <c r="I144" s="53" t="s">
        <v>12</v>
      </c>
    </row>
    <row r="145" spans="1:9" ht="15.75" customHeight="1">
      <c r="A145" s="26"/>
      <c r="C145" s="12"/>
      <c r="D145" s="12"/>
      <c r="G145" s="12"/>
      <c r="H145" s="12"/>
    </row>
    <row r="146" spans="1:9" ht="15.75" customHeight="1">
      <c r="B146" s="55" t="s">
        <v>13</v>
      </c>
      <c r="C146" s="139"/>
      <c r="D146" s="139"/>
      <c r="E146" s="139"/>
      <c r="F146" s="65"/>
      <c r="I146" s="54"/>
    </row>
    <row r="147" spans="1:9" ht="15.75" customHeight="1">
      <c r="A147" s="52"/>
      <c r="C147" s="140" t="s">
        <v>11</v>
      </c>
      <c r="D147" s="140"/>
      <c r="E147" s="140"/>
      <c r="F147" s="52"/>
      <c r="I147" s="53" t="s">
        <v>12</v>
      </c>
    </row>
    <row r="148" spans="1:9" ht="15.75" customHeight="1">
      <c r="A148" s="4" t="s">
        <v>14</v>
      </c>
    </row>
    <row r="149" spans="1:9" ht="15.75" customHeight="1">
      <c r="A149" s="141" t="s">
        <v>15</v>
      </c>
      <c r="B149" s="141"/>
      <c r="C149" s="141"/>
      <c r="D149" s="141"/>
      <c r="E149" s="141"/>
      <c r="F149" s="141"/>
      <c r="G149" s="141"/>
      <c r="H149" s="141"/>
      <c r="I149" s="141"/>
    </row>
    <row r="150" spans="1:9" ht="45" customHeight="1">
      <c r="A150" s="135" t="s">
        <v>16</v>
      </c>
      <c r="B150" s="135"/>
      <c r="C150" s="135"/>
      <c r="D150" s="135"/>
      <c r="E150" s="135"/>
      <c r="F150" s="135"/>
      <c r="G150" s="135"/>
      <c r="H150" s="135"/>
      <c r="I150" s="135"/>
    </row>
    <row r="151" spans="1:9" ht="30" customHeight="1">
      <c r="A151" s="135" t="s">
        <v>17</v>
      </c>
      <c r="B151" s="135"/>
      <c r="C151" s="135"/>
      <c r="D151" s="135"/>
      <c r="E151" s="135"/>
      <c r="F151" s="135"/>
      <c r="G151" s="135"/>
      <c r="H151" s="135"/>
      <c r="I151" s="135"/>
    </row>
    <row r="152" spans="1:9" ht="30" customHeight="1">
      <c r="A152" s="135" t="s">
        <v>21</v>
      </c>
      <c r="B152" s="135"/>
      <c r="C152" s="135"/>
      <c r="D152" s="135"/>
      <c r="E152" s="135"/>
      <c r="F152" s="135"/>
      <c r="G152" s="135"/>
      <c r="H152" s="135"/>
      <c r="I152" s="135"/>
    </row>
    <row r="153" spans="1:9" ht="15" customHeight="1">
      <c r="A153" s="135" t="s">
        <v>20</v>
      </c>
      <c r="B153" s="135"/>
      <c r="C153" s="135"/>
      <c r="D153" s="135"/>
      <c r="E153" s="135"/>
      <c r="F153" s="135"/>
      <c r="G153" s="135"/>
      <c r="H153" s="135"/>
      <c r="I153" s="135"/>
    </row>
  </sheetData>
  <autoFilter ref="I12:I63"/>
  <mergeCells count="29">
    <mergeCell ref="R68:U68"/>
    <mergeCell ref="A82:I82"/>
    <mergeCell ref="A3:I3"/>
    <mergeCell ref="A4:I4"/>
    <mergeCell ref="A5:I5"/>
    <mergeCell ref="A8:I8"/>
    <mergeCell ref="A10:I10"/>
    <mergeCell ref="A14:I14"/>
    <mergeCell ref="A139:I139"/>
    <mergeCell ref="A15:I15"/>
    <mergeCell ref="A28:I28"/>
    <mergeCell ref="A45:I45"/>
    <mergeCell ref="A56:I56"/>
    <mergeCell ref="A133:I133"/>
    <mergeCell ref="B134:G134"/>
    <mergeCell ref="B135:G135"/>
    <mergeCell ref="A137:I137"/>
    <mergeCell ref="A138:I138"/>
    <mergeCell ref="A86:I86"/>
    <mergeCell ref="A150:I150"/>
    <mergeCell ref="A151:I151"/>
    <mergeCell ref="A152:I152"/>
    <mergeCell ref="A153:I153"/>
    <mergeCell ref="A141:I141"/>
    <mergeCell ref="C143:E143"/>
    <mergeCell ref="C144:E144"/>
    <mergeCell ref="C146:E146"/>
    <mergeCell ref="C147:E147"/>
    <mergeCell ref="A149:I14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9"/>
  <sheetViews>
    <sheetView workbookViewId="0">
      <selection activeCell="B110" sqref="B110:G110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5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91</v>
      </c>
      <c r="I1" s="27"/>
      <c r="J1" s="1"/>
      <c r="K1" s="1"/>
      <c r="L1" s="1"/>
      <c r="M1" s="1"/>
    </row>
    <row r="2" spans="1:13" ht="15.75" customHeight="1">
      <c r="A2" s="29" t="s">
        <v>66</v>
      </c>
      <c r="J2" s="2"/>
      <c r="K2" s="2"/>
      <c r="L2" s="2"/>
      <c r="M2" s="2"/>
    </row>
    <row r="3" spans="1:13" ht="15.75" customHeight="1">
      <c r="A3" s="156" t="s">
        <v>175</v>
      </c>
      <c r="B3" s="156"/>
      <c r="C3" s="156"/>
      <c r="D3" s="156"/>
      <c r="E3" s="156"/>
      <c r="F3" s="156"/>
      <c r="G3" s="156"/>
      <c r="H3" s="156"/>
      <c r="I3" s="156"/>
      <c r="J3" s="3"/>
      <c r="K3" s="3"/>
      <c r="L3" s="3"/>
    </row>
    <row r="4" spans="1:13" ht="31.5" customHeight="1">
      <c r="A4" s="157" t="s">
        <v>142</v>
      </c>
      <c r="B4" s="157"/>
      <c r="C4" s="157"/>
      <c r="D4" s="157"/>
      <c r="E4" s="157"/>
      <c r="F4" s="157"/>
      <c r="G4" s="157"/>
      <c r="H4" s="157"/>
      <c r="I4" s="157"/>
    </row>
    <row r="5" spans="1:13" ht="15.75" customHeight="1">
      <c r="A5" s="156" t="s">
        <v>258</v>
      </c>
      <c r="B5" s="158"/>
      <c r="C5" s="158"/>
      <c r="D5" s="158"/>
      <c r="E5" s="158"/>
      <c r="F5" s="158"/>
      <c r="G5" s="158"/>
      <c r="H5" s="158"/>
      <c r="I5" s="158"/>
      <c r="J5" s="2"/>
      <c r="K5" s="2"/>
      <c r="L5" s="2"/>
      <c r="M5" s="2"/>
    </row>
    <row r="6" spans="1:13" ht="15.75" customHeight="1">
      <c r="A6" s="2"/>
      <c r="B6" s="56"/>
      <c r="C6" s="56"/>
      <c r="D6" s="56"/>
      <c r="E6" s="56"/>
      <c r="F6" s="56"/>
      <c r="G6" s="56"/>
      <c r="H6" s="56"/>
      <c r="I6" s="31">
        <v>43281</v>
      </c>
      <c r="J6" s="2"/>
      <c r="K6" s="2"/>
      <c r="L6" s="2"/>
      <c r="M6" s="2"/>
    </row>
    <row r="7" spans="1:13" ht="15.75" customHeight="1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9" t="s">
        <v>152</v>
      </c>
      <c r="B8" s="159"/>
      <c r="C8" s="159"/>
      <c r="D8" s="159"/>
      <c r="E8" s="159"/>
      <c r="F8" s="159"/>
      <c r="G8" s="159"/>
      <c r="H8" s="159"/>
      <c r="I8" s="15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60" t="s">
        <v>195</v>
      </c>
      <c r="B10" s="160"/>
      <c r="C10" s="160"/>
      <c r="D10" s="160"/>
      <c r="E10" s="160"/>
      <c r="F10" s="160"/>
      <c r="G10" s="160"/>
      <c r="H10" s="160"/>
      <c r="I10" s="16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61" t="s">
        <v>63</v>
      </c>
      <c r="B14" s="161"/>
      <c r="C14" s="161"/>
      <c r="D14" s="161"/>
      <c r="E14" s="161"/>
      <c r="F14" s="161"/>
      <c r="G14" s="161"/>
      <c r="H14" s="161"/>
      <c r="I14" s="161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7" t="s">
        <v>92</v>
      </c>
      <c r="C16" s="68" t="s">
        <v>111</v>
      </c>
      <c r="D16" s="67" t="s">
        <v>112</v>
      </c>
      <c r="E16" s="50">
        <v>127.9</v>
      </c>
      <c r="F16" s="69">
        <f>SUM(E16*156/100)</f>
        <v>199.524</v>
      </c>
      <c r="G16" s="69">
        <v>187.48</v>
      </c>
      <c r="H16" s="70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67" t="s">
        <v>100</v>
      </c>
      <c r="C17" s="68" t="s">
        <v>111</v>
      </c>
      <c r="D17" s="67" t="s">
        <v>166</v>
      </c>
      <c r="E17" s="50">
        <v>511.6</v>
      </c>
      <c r="F17" s="69">
        <f>SUM(E17*104/100)</f>
        <v>532.06399999999996</v>
      </c>
      <c r="G17" s="69">
        <v>185.48</v>
      </c>
      <c r="H17" s="70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67" t="s">
        <v>101</v>
      </c>
      <c r="C18" s="68" t="s">
        <v>111</v>
      </c>
      <c r="D18" s="67" t="s">
        <v>113</v>
      </c>
      <c r="E18" s="50">
        <f>SUM(E16+E17)</f>
        <v>639.5</v>
      </c>
      <c r="F18" s="69">
        <f>SUM(E18*24/100)</f>
        <v>153.47999999999999</v>
      </c>
      <c r="G18" s="69">
        <v>539.30999999999995</v>
      </c>
      <c r="H18" s="70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67" t="s">
        <v>114</v>
      </c>
      <c r="C19" s="68" t="s">
        <v>115</v>
      </c>
      <c r="D19" s="67" t="s">
        <v>116</v>
      </c>
      <c r="E19" s="50">
        <v>38.4</v>
      </c>
      <c r="F19" s="69">
        <f>SUM(E19/10)</f>
        <v>3.84</v>
      </c>
      <c r="G19" s="69">
        <v>181.91</v>
      </c>
      <c r="H19" s="70">
        <f t="shared" si="0"/>
        <v>0.6985344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67" t="s">
        <v>105</v>
      </c>
      <c r="C20" s="68" t="s">
        <v>111</v>
      </c>
      <c r="D20" s="67" t="s">
        <v>30</v>
      </c>
      <c r="E20" s="50">
        <v>58.4</v>
      </c>
      <c r="F20" s="69">
        <f>SUM(E20*12/100)</f>
        <v>7.0079999999999991</v>
      </c>
      <c r="G20" s="69">
        <v>232.92</v>
      </c>
      <c r="H20" s="70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7" t="s">
        <v>106</v>
      </c>
      <c r="C21" s="68" t="s">
        <v>111</v>
      </c>
      <c r="D21" s="67" t="s">
        <v>110</v>
      </c>
      <c r="E21" s="50">
        <v>9.08</v>
      </c>
      <c r="F21" s="69">
        <f>SUM(E21*6/100)</f>
        <v>0.54480000000000006</v>
      </c>
      <c r="G21" s="69">
        <v>231.03</v>
      </c>
      <c r="H21" s="70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67" t="s">
        <v>117</v>
      </c>
      <c r="C22" s="68" t="s">
        <v>56</v>
      </c>
      <c r="D22" s="67" t="s">
        <v>116</v>
      </c>
      <c r="E22" s="50">
        <v>714</v>
      </c>
      <c r="F22" s="69">
        <f>SUM(E22/100)</f>
        <v>7.14</v>
      </c>
      <c r="G22" s="69">
        <v>287.83999999999997</v>
      </c>
      <c r="H22" s="70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67" t="s">
        <v>118</v>
      </c>
      <c r="C23" s="68" t="s">
        <v>56</v>
      </c>
      <c r="D23" s="67" t="s">
        <v>116</v>
      </c>
      <c r="E23" s="63">
        <v>96.6</v>
      </c>
      <c r="F23" s="69">
        <f>SUM(E23/100)</f>
        <v>0.96599999999999997</v>
      </c>
      <c r="G23" s="69">
        <v>47.34</v>
      </c>
      <c r="H23" s="70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67" t="s">
        <v>108</v>
      </c>
      <c r="C24" s="68" t="s">
        <v>56</v>
      </c>
      <c r="D24" s="67" t="s">
        <v>116</v>
      </c>
      <c r="E24" s="19">
        <v>40</v>
      </c>
      <c r="F24" s="71">
        <v>4.8</v>
      </c>
      <c r="G24" s="69">
        <v>416.62</v>
      </c>
      <c r="H24" s="70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67" t="s">
        <v>109</v>
      </c>
      <c r="C25" s="68" t="s">
        <v>56</v>
      </c>
      <c r="D25" s="67" t="s">
        <v>116</v>
      </c>
      <c r="E25" s="50">
        <v>17</v>
      </c>
      <c r="F25" s="69">
        <f>SUM(E25/100)</f>
        <v>0.17</v>
      </c>
      <c r="G25" s="69">
        <v>556.74</v>
      </c>
      <c r="H25" s="70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customHeight="1">
      <c r="A26" s="30">
        <v>5</v>
      </c>
      <c r="B26" s="67" t="s">
        <v>68</v>
      </c>
      <c r="C26" s="68" t="s">
        <v>34</v>
      </c>
      <c r="D26" s="67"/>
      <c r="E26" s="50">
        <v>0.1</v>
      </c>
      <c r="F26" s="69">
        <f>SUM(E26*365)</f>
        <v>36.5</v>
      </c>
      <c r="G26" s="69">
        <v>157.18</v>
      </c>
      <c r="H26" s="70">
        <f>SUM(F26*G26/1000)</f>
        <v>5.737070000000001</v>
      </c>
      <c r="I26" s="13">
        <f>F26/12*G26</f>
        <v>478.08916666666664</v>
      </c>
      <c r="J26" s="24"/>
    </row>
    <row r="27" spans="1:13" ht="15.75" customHeight="1">
      <c r="A27" s="30">
        <v>6</v>
      </c>
      <c r="B27" s="75" t="s">
        <v>23</v>
      </c>
      <c r="C27" s="68" t="s">
        <v>24</v>
      </c>
      <c r="D27" s="75"/>
      <c r="E27" s="50">
        <v>4591.2</v>
      </c>
      <c r="F27" s="69">
        <f>SUM(E27*12)</f>
        <v>55094.399999999994</v>
      </c>
      <c r="G27" s="69">
        <v>5.85</v>
      </c>
      <c r="H27" s="70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43" t="s">
        <v>90</v>
      </c>
      <c r="B28" s="143"/>
      <c r="C28" s="143"/>
      <c r="D28" s="143"/>
      <c r="E28" s="143"/>
      <c r="F28" s="143"/>
      <c r="G28" s="143"/>
      <c r="H28" s="143"/>
      <c r="I28" s="143"/>
      <c r="J28" s="23"/>
      <c r="K28" s="8"/>
      <c r="L28" s="8"/>
      <c r="M28" s="8"/>
    </row>
    <row r="29" spans="1:13" ht="15.75" customHeight="1">
      <c r="A29" s="30"/>
      <c r="B29" s="89" t="s">
        <v>28</v>
      </c>
      <c r="C29" s="68"/>
      <c r="D29" s="67"/>
      <c r="E29" s="50"/>
      <c r="F29" s="69"/>
      <c r="G29" s="69"/>
      <c r="H29" s="70"/>
      <c r="I29" s="13"/>
      <c r="J29" s="23"/>
      <c r="K29" s="8"/>
      <c r="L29" s="8"/>
      <c r="M29" s="8"/>
    </row>
    <row r="30" spans="1:13" ht="15.75" customHeight="1">
      <c r="A30" s="30">
        <v>7</v>
      </c>
      <c r="B30" s="67" t="s">
        <v>119</v>
      </c>
      <c r="C30" s="68" t="s">
        <v>120</v>
      </c>
      <c r="D30" s="67" t="s">
        <v>121</v>
      </c>
      <c r="E30" s="69">
        <v>844.95</v>
      </c>
      <c r="F30" s="69">
        <f>SUM(E30*52/1000)</f>
        <v>43.937400000000004</v>
      </c>
      <c r="G30" s="69">
        <v>166.65</v>
      </c>
      <c r="H30" s="70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customHeight="1">
      <c r="A31" s="30">
        <v>8</v>
      </c>
      <c r="B31" s="67" t="s">
        <v>167</v>
      </c>
      <c r="C31" s="68" t="s">
        <v>120</v>
      </c>
      <c r="D31" s="67" t="s">
        <v>122</v>
      </c>
      <c r="E31" s="69">
        <v>260.13</v>
      </c>
      <c r="F31" s="69">
        <f>SUM(E31*78/1000)</f>
        <v>20.290140000000001</v>
      </c>
      <c r="G31" s="69">
        <v>276.48</v>
      </c>
      <c r="H31" s="70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67" t="s">
        <v>27</v>
      </c>
      <c r="C32" s="68" t="s">
        <v>120</v>
      </c>
      <c r="D32" s="67" t="s">
        <v>57</v>
      </c>
      <c r="E32" s="69">
        <v>844.95</v>
      </c>
      <c r="F32" s="69">
        <f>SUM(E32/1000)</f>
        <v>0.84495000000000009</v>
      </c>
      <c r="G32" s="69">
        <v>3228.73</v>
      </c>
      <c r="H32" s="70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customHeight="1">
      <c r="A33" s="30">
        <v>9</v>
      </c>
      <c r="B33" s="67" t="s">
        <v>154</v>
      </c>
      <c r="C33" s="68" t="s">
        <v>42</v>
      </c>
      <c r="D33" s="67" t="s">
        <v>67</v>
      </c>
      <c r="E33" s="69">
        <v>8</v>
      </c>
      <c r="F33" s="69">
        <v>12.4</v>
      </c>
      <c r="G33" s="69">
        <v>1391.86</v>
      </c>
      <c r="H33" s="70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customHeight="1">
      <c r="A34" s="30">
        <v>10</v>
      </c>
      <c r="B34" s="67" t="s">
        <v>123</v>
      </c>
      <c r="C34" s="68" t="s">
        <v>31</v>
      </c>
      <c r="D34" s="67" t="s">
        <v>67</v>
      </c>
      <c r="E34" s="74">
        <v>0.33333333333333331</v>
      </c>
      <c r="F34" s="69">
        <f>155/3</f>
        <v>51.666666666666664</v>
      </c>
      <c r="G34" s="69">
        <v>60.6</v>
      </c>
      <c r="H34" s="70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67" t="s">
        <v>69</v>
      </c>
      <c r="C35" s="68" t="s">
        <v>34</v>
      </c>
      <c r="D35" s="67" t="s">
        <v>71</v>
      </c>
      <c r="E35" s="50"/>
      <c r="F35" s="69">
        <v>3</v>
      </c>
      <c r="G35" s="69">
        <v>204.32</v>
      </c>
      <c r="H35" s="70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67" t="s">
        <v>70</v>
      </c>
      <c r="C36" s="68" t="s">
        <v>33</v>
      </c>
      <c r="D36" s="67" t="s">
        <v>71</v>
      </c>
      <c r="E36" s="50"/>
      <c r="F36" s="69">
        <v>2</v>
      </c>
      <c r="G36" s="69">
        <v>1214.73</v>
      </c>
      <c r="H36" s="70">
        <f t="shared" si="1"/>
        <v>2.4294600000000002</v>
      </c>
      <c r="I36" s="13">
        <v>0</v>
      </c>
      <c r="J36" s="24"/>
    </row>
    <row r="37" spans="1:14" ht="15.75" hidden="1" customHeight="1">
      <c r="A37" s="30"/>
      <c r="B37" s="89" t="s">
        <v>5</v>
      </c>
      <c r="C37" s="68"/>
      <c r="D37" s="67"/>
      <c r="E37" s="50"/>
      <c r="F37" s="69"/>
      <c r="G37" s="69"/>
      <c r="H37" s="70" t="s">
        <v>139</v>
      </c>
      <c r="I37" s="13"/>
      <c r="J37" s="24"/>
    </row>
    <row r="38" spans="1:14" ht="15.75" hidden="1" customHeight="1">
      <c r="A38" s="30">
        <v>8</v>
      </c>
      <c r="B38" s="67" t="s">
        <v>26</v>
      </c>
      <c r="C38" s="68" t="s">
        <v>33</v>
      </c>
      <c r="D38" s="67"/>
      <c r="E38" s="50"/>
      <c r="F38" s="69">
        <v>10</v>
      </c>
      <c r="G38" s="69">
        <v>1632.6</v>
      </c>
      <c r="H38" s="70">
        <f t="shared" ref="H38:H44" si="3">SUM(F38*G38/1000)</f>
        <v>16.326000000000001</v>
      </c>
      <c r="I38" s="13">
        <f>F38/6*G38</f>
        <v>2721</v>
      </c>
      <c r="J38" s="24"/>
    </row>
    <row r="39" spans="1:14" ht="15.75" hidden="1" customHeight="1">
      <c r="A39" s="30">
        <v>9</v>
      </c>
      <c r="B39" s="67" t="s">
        <v>155</v>
      </c>
      <c r="C39" s="68" t="s">
        <v>29</v>
      </c>
      <c r="D39" s="67" t="s">
        <v>124</v>
      </c>
      <c r="E39" s="69">
        <v>254.8</v>
      </c>
      <c r="F39" s="69">
        <f>SUM(E39*30/1000)</f>
        <v>7.6440000000000001</v>
      </c>
      <c r="G39" s="69">
        <v>2247.8000000000002</v>
      </c>
      <c r="H39" s="70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67" t="s">
        <v>102</v>
      </c>
      <c r="C40" s="68" t="s">
        <v>125</v>
      </c>
      <c r="D40" s="67" t="s">
        <v>71</v>
      </c>
      <c r="E40" s="50"/>
      <c r="F40" s="69">
        <v>40</v>
      </c>
      <c r="G40" s="69">
        <v>213.2</v>
      </c>
      <c r="H40" s="70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hidden="1" customHeight="1">
      <c r="A41" s="30">
        <v>10</v>
      </c>
      <c r="B41" s="67" t="s">
        <v>72</v>
      </c>
      <c r="C41" s="68" t="s">
        <v>29</v>
      </c>
      <c r="D41" s="67" t="s">
        <v>126</v>
      </c>
      <c r="E41" s="69">
        <v>260.13</v>
      </c>
      <c r="F41" s="69">
        <f>SUM(E41*155/1000)</f>
        <v>40.320149999999998</v>
      </c>
      <c r="G41" s="69">
        <v>374.95</v>
      </c>
      <c r="H41" s="70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hidden="1" customHeight="1">
      <c r="A42" s="30">
        <v>11</v>
      </c>
      <c r="B42" s="67" t="s">
        <v>88</v>
      </c>
      <c r="C42" s="68" t="s">
        <v>120</v>
      </c>
      <c r="D42" s="67" t="s">
        <v>127</v>
      </c>
      <c r="E42" s="69">
        <v>132.72999999999999</v>
      </c>
      <c r="F42" s="69">
        <f>SUM(E42*35/1000)</f>
        <v>4.6455499999999992</v>
      </c>
      <c r="G42" s="69">
        <v>6203.7</v>
      </c>
      <c r="H42" s="70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hidden="1" customHeight="1">
      <c r="A43" s="30">
        <v>12</v>
      </c>
      <c r="B43" s="67" t="s">
        <v>128</v>
      </c>
      <c r="C43" s="68" t="s">
        <v>120</v>
      </c>
      <c r="D43" s="67" t="s">
        <v>73</v>
      </c>
      <c r="E43" s="69">
        <v>254.8</v>
      </c>
      <c r="F43" s="69">
        <f>SUM(E43*45/1000)</f>
        <v>11.465999999999999</v>
      </c>
      <c r="G43" s="69">
        <v>458.28</v>
      </c>
      <c r="H43" s="70">
        <f t="shared" si="3"/>
        <v>5.2546384799999997</v>
      </c>
      <c r="I43" s="13">
        <f>F43/6*G43</f>
        <v>875.77307999999982</v>
      </c>
      <c r="J43" s="24"/>
      <c r="L43" s="20"/>
      <c r="M43" s="21"/>
      <c r="N43" s="22"/>
    </row>
    <row r="44" spans="1:14" ht="15.75" hidden="1" customHeight="1">
      <c r="A44" s="30">
        <v>13</v>
      </c>
      <c r="B44" s="67" t="s">
        <v>74</v>
      </c>
      <c r="C44" s="68" t="s">
        <v>34</v>
      </c>
      <c r="D44" s="67"/>
      <c r="E44" s="50"/>
      <c r="F44" s="69">
        <v>0.9</v>
      </c>
      <c r="G44" s="69">
        <v>853.06</v>
      </c>
      <c r="H44" s="70">
        <f t="shared" si="3"/>
        <v>0.76775400000000005</v>
      </c>
      <c r="I44" s="13">
        <f>F44/6*G44</f>
        <v>127.95899999999999</v>
      </c>
      <c r="J44" s="24"/>
      <c r="L44" s="20"/>
      <c r="M44" s="21"/>
      <c r="N44" s="22"/>
    </row>
    <row r="45" spans="1:14" ht="15.75" customHeight="1">
      <c r="A45" s="144" t="s">
        <v>149</v>
      </c>
      <c r="B45" s="145"/>
      <c r="C45" s="145"/>
      <c r="D45" s="145"/>
      <c r="E45" s="145"/>
      <c r="F45" s="145"/>
      <c r="G45" s="145"/>
      <c r="H45" s="145"/>
      <c r="I45" s="146"/>
      <c r="J45" s="24"/>
      <c r="L45" s="20"/>
      <c r="M45" s="21"/>
      <c r="N45" s="22"/>
    </row>
    <row r="46" spans="1:14" ht="15.75" hidden="1" customHeight="1">
      <c r="A46" s="30"/>
      <c r="B46" s="67" t="s">
        <v>143</v>
      </c>
      <c r="C46" s="68" t="s">
        <v>120</v>
      </c>
      <c r="D46" s="67" t="s">
        <v>44</v>
      </c>
      <c r="E46" s="50">
        <v>1795.9</v>
      </c>
      <c r="F46" s="69">
        <f>SUM(E46*2/1000)</f>
        <v>3.5918000000000001</v>
      </c>
      <c r="G46" s="13">
        <v>865.61</v>
      </c>
      <c r="H46" s="70">
        <f t="shared" ref="H46:H55" si="4">SUM(F46*G46/1000)</f>
        <v>3.1090979980000002</v>
      </c>
      <c r="I46" s="13">
        <v>0</v>
      </c>
      <c r="J46" s="24"/>
      <c r="L46" s="20"/>
      <c r="M46" s="21"/>
      <c r="N46" s="22"/>
    </row>
    <row r="47" spans="1:14" ht="15.75" hidden="1" customHeight="1">
      <c r="A47" s="30"/>
      <c r="B47" s="67" t="s">
        <v>37</v>
      </c>
      <c r="C47" s="68" t="s">
        <v>120</v>
      </c>
      <c r="D47" s="67" t="s">
        <v>44</v>
      </c>
      <c r="E47" s="50">
        <v>104</v>
      </c>
      <c r="F47" s="69">
        <f>SUM(E47*2/1000)</f>
        <v>0.20799999999999999</v>
      </c>
      <c r="G47" s="13">
        <v>619.46</v>
      </c>
      <c r="H47" s="70">
        <f t="shared" si="4"/>
        <v>0.12884767999999999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30"/>
      <c r="B48" s="67" t="s">
        <v>38</v>
      </c>
      <c r="C48" s="68" t="s">
        <v>120</v>
      </c>
      <c r="D48" s="67" t="s">
        <v>44</v>
      </c>
      <c r="E48" s="50">
        <v>1996.87</v>
      </c>
      <c r="F48" s="69">
        <f>SUM(E48*2/1000)</f>
        <v>3.9937399999999998</v>
      </c>
      <c r="G48" s="13">
        <v>619.46</v>
      </c>
      <c r="H48" s="70">
        <f t="shared" si="4"/>
        <v>2.4739621804</v>
      </c>
      <c r="I48" s="13">
        <v>0</v>
      </c>
      <c r="J48" s="24"/>
      <c r="L48" s="20"/>
      <c r="M48" s="21"/>
      <c r="N48" s="22"/>
    </row>
    <row r="49" spans="1:22" ht="15.75" hidden="1" customHeight="1">
      <c r="A49" s="30"/>
      <c r="B49" s="67" t="s">
        <v>39</v>
      </c>
      <c r="C49" s="68" t="s">
        <v>120</v>
      </c>
      <c r="D49" s="67" t="s">
        <v>44</v>
      </c>
      <c r="E49" s="50">
        <v>2630.35</v>
      </c>
      <c r="F49" s="69">
        <f>SUM(E49*2/1000)</f>
        <v>5.2606999999999999</v>
      </c>
      <c r="G49" s="13">
        <v>648.64</v>
      </c>
      <c r="H49" s="70">
        <f t="shared" si="4"/>
        <v>3.4123004479999999</v>
      </c>
      <c r="I49" s="13">
        <v>0</v>
      </c>
      <c r="J49" s="24"/>
      <c r="L49" s="20"/>
      <c r="M49" s="21"/>
      <c r="N49" s="22"/>
    </row>
    <row r="50" spans="1:22" ht="15.75" hidden="1" customHeight="1">
      <c r="A50" s="30"/>
      <c r="B50" s="67" t="s">
        <v>35</v>
      </c>
      <c r="C50" s="68" t="s">
        <v>36</v>
      </c>
      <c r="D50" s="67" t="s">
        <v>44</v>
      </c>
      <c r="E50" s="50">
        <v>131.47</v>
      </c>
      <c r="F50" s="69">
        <f>SUM(E50*2/100)</f>
        <v>2.6294</v>
      </c>
      <c r="G50" s="13">
        <v>77.84</v>
      </c>
      <c r="H50" s="70">
        <f t="shared" si="4"/>
        <v>0.20467249599999998</v>
      </c>
      <c r="I50" s="13">
        <v>0</v>
      </c>
      <c r="J50" s="24"/>
      <c r="L50" s="20"/>
      <c r="M50" s="21"/>
      <c r="N50" s="22"/>
    </row>
    <row r="51" spans="1:22" ht="15.75" hidden="1" customHeight="1">
      <c r="A51" s="30">
        <v>14</v>
      </c>
      <c r="B51" s="67" t="s">
        <v>60</v>
      </c>
      <c r="C51" s="68" t="s">
        <v>120</v>
      </c>
      <c r="D51" s="67" t="s">
        <v>168</v>
      </c>
      <c r="E51" s="50">
        <v>2872.4</v>
      </c>
      <c r="F51" s="69">
        <f>SUM(E51*5/1000)</f>
        <v>14.362</v>
      </c>
      <c r="G51" s="13">
        <v>1297.28</v>
      </c>
      <c r="H51" s="70">
        <f t="shared" si="4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22" ht="31.5" hidden="1" customHeight="1">
      <c r="A52" s="30"/>
      <c r="B52" s="67" t="s">
        <v>129</v>
      </c>
      <c r="C52" s="68" t="s">
        <v>120</v>
      </c>
      <c r="D52" s="67" t="s">
        <v>44</v>
      </c>
      <c r="E52" s="50">
        <v>2872.4</v>
      </c>
      <c r="F52" s="69">
        <f>SUM(E52*2/1000)</f>
        <v>5.7448000000000006</v>
      </c>
      <c r="G52" s="13">
        <v>1297.28</v>
      </c>
      <c r="H52" s="70">
        <f t="shared" si="4"/>
        <v>7.4526141440000009</v>
      </c>
      <c r="I52" s="13">
        <v>0</v>
      </c>
      <c r="J52" s="24"/>
      <c r="L52" s="20"/>
      <c r="M52" s="21"/>
      <c r="N52" s="22"/>
    </row>
    <row r="53" spans="1:22" ht="31.5" hidden="1" customHeight="1">
      <c r="A53" s="30"/>
      <c r="B53" s="67" t="s">
        <v>130</v>
      </c>
      <c r="C53" s="68" t="s">
        <v>40</v>
      </c>
      <c r="D53" s="67" t="s">
        <v>44</v>
      </c>
      <c r="E53" s="50">
        <v>40</v>
      </c>
      <c r="F53" s="69">
        <f>SUM(E53*2/100)</f>
        <v>0.8</v>
      </c>
      <c r="G53" s="13">
        <v>2918.89</v>
      </c>
      <c r="H53" s="70">
        <f t="shared" si="4"/>
        <v>2.3351120000000001</v>
      </c>
      <c r="I53" s="13">
        <v>0</v>
      </c>
      <c r="J53" s="24"/>
      <c r="L53" s="20"/>
      <c r="M53" s="21"/>
      <c r="N53" s="22"/>
    </row>
    <row r="54" spans="1:22" ht="15.75" hidden="1" customHeight="1">
      <c r="A54" s="30"/>
      <c r="B54" s="67" t="s">
        <v>41</v>
      </c>
      <c r="C54" s="68" t="s">
        <v>42</v>
      </c>
      <c r="D54" s="67" t="s">
        <v>44</v>
      </c>
      <c r="E54" s="50">
        <v>1</v>
      </c>
      <c r="F54" s="69">
        <v>0.02</v>
      </c>
      <c r="G54" s="13">
        <v>6042.12</v>
      </c>
      <c r="H54" s="70">
        <f t="shared" si="4"/>
        <v>0.1208424</v>
      </c>
      <c r="I54" s="13">
        <v>0</v>
      </c>
      <c r="J54" s="24"/>
      <c r="L54" s="20"/>
      <c r="M54" s="21"/>
      <c r="N54" s="22"/>
    </row>
    <row r="55" spans="1:22" ht="15.75" customHeight="1">
      <c r="A55" s="30">
        <v>11</v>
      </c>
      <c r="B55" s="67" t="s">
        <v>43</v>
      </c>
      <c r="C55" s="68" t="s">
        <v>31</v>
      </c>
      <c r="D55" s="67" t="s">
        <v>75</v>
      </c>
      <c r="E55" s="50">
        <v>160</v>
      </c>
      <c r="F55" s="69">
        <f>SUM(E55)*3</f>
        <v>480</v>
      </c>
      <c r="G55" s="13">
        <v>70.209999999999994</v>
      </c>
      <c r="H55" s="70">
        <f t="shared" si="4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22" ht="15.75" customHeight="1">
      <c r="A56" s="144" t="s">
        <v>150</v>
      </c>
      <c r="B56" s="145"/>
      <c r="C56" s="145"/>
      <c r="D56" s="145"/>
      <c r="E56" s="145"/>
      <c r="F56" s="145"/>
      <c r="G56" s="145"/>
      <c r="H56" s="145"/>
      <c r="I56" s="146"/>
      <c r="J56" s="24"/>
      <c r="L56" s="20"/>
      <c r="M56" s="21"/>
      <c r="N56" s="22"/>
    </row>
    <row r="57" spans="1:22" ht="15.75" hidden="1" customHeight="1">
      <c r="A57" s="30"/>
      <c r="B57" s="89" t="s">
        <v>45</v>
      </c>
      <c r="C57" s="68"/>
      <c r="D57" s="67"/>
      <c r="E57" s="50"/>
      <c r="F57" s="69"/>
      <c r="G57" s="69"/>
      <c r="H57" s="70"/>
      <c r="I57" s="13"/>
      <c r="J57" s="24"/>
      <c r="L57" s="20"/>
      <c r="M57" s="21"/>
      <c r="N57" s="22"/>
    </row>
    <row r="58" spans="1:22" ht="31.5" hidden="1" customHeight="1">
      <c r="A58" s="30">
        <v>16</v>
      </c>
      <c r="B58" s="67" t="s">
        <v>132</v>
      </c>
      <c r="C58" s="68" t="s">
        <v>111</v>
      </c>
      <c r="D58" s="67" t="s">
        <v>76</v>
      </c>
      <c r="E58" s="50">
        <v>239.59</v>
      </c>
      <c r="F58" s="69">
        <f>E58*6/100</f>
        <v>14.375399999999999</v>
      </c>
      <c r="G58" s="76">
        <v>1654.04</v>
      </c>
      <c r="H58" s="70">
        <f>F58*G58/1000</f>
        <v>23.777486615999997</v>
      </c>
      <c r="I58" s="13">
        <f>F58/6*G58</f>
        <v>3962.9144359999996</v>
      </c>
      <c r="J58" s="24"/>
      <c r="L58" s="20"/>
      <c r="M58" s="21"/>
      <c r="N58" s="22"/>
    </row>
    <row r="59" spans="1:22" ht="15.75" customHeight="1">
      <c r="A59" s="30"/>
      <c r="B59" s="90" t="s">
        <v>46</v>
      </c>
      <c r="C59" s="77"/>
      <c r="D59" s="78"/>
      <c r="E59" s="79"/>
      <c r="F59" s="81"/>
      <c r="G59" s="13"/>
      <c r="H59" s="83"/>
      <c r="I59" s="13"/>
      <c r="J59" s="24"/>
      <c r="L59" s="20"/>
      <c r="M59" s="21"/>
      <c r="N59" s="22"/>
    </row>
    <row r="60" spans="1:22" ht="15.75" hidden="1" customHeight="1">
      <c r="A60" s="30"/>
      <c r="B60" s="78" t="s">
        <v>47</v>
      </c>
      <c r="C60" s="77" t="s">
        <v>56</v>
      </c>
      <c r="D60" s="78" t="s">
        <v>57</v>
      </c>
      <c r="E60" s="79">
        <v>2686</v>
      </c>
      <c r="F60" s="81">
        <f>E60/100</f>
        <v>26.86</v>
      </c>
      <c r="G60" s="13">
        <v>848.37</v>
      </c>
      <c r="H60" s="83">
        <f>G60*F60/1000</f>
        <v>22.787218199999998</v>
      </c>
      <c r="I60" s="13">
        <v>0</v>
      </c>
      <c r="J60" s="24"/>
      <c r="L60" s="20"/>
    </row>
    <row r="61" spans="1:22" ht="15.75" customHeight="1">
      <c r="A61" s="30">
        <v>12</v>
      </c>
      <c r="B61" s="78" t="s">
        <v>103</v>
      </c>
      <c r="C61" s="77" t="s">
        <v>25</v>
      </c>
      <c r="D61" s="78" t="s">
        <v>30</v>
      </c>
      <c r="E61" s="79">
        <v>343</v>
      </c>
      <c r="F61" s="81">
        <v>4116</v>
      </c>
      <c r="G61" s="13">
        <v>1.2</v>
      </c>
      <c r="H61" s="83">
        <f>F61*G61</f>
        <v>4939.2</v>
      </c>
      <c r="I61" s="13">
        <f>F61/12*G61</f>
        <v>411.59999999999997</v>
      </c>
    </row>
    <row r="62" spans="1:22" ht="15.75" hidden="1" customHeight="1">
      <c r="A62" s="30"/>
      <c r="B62" s="90" t="s">
        <v>144</v>
      </c>
      <c r="C62" s="77"/>
      <c r="D62" s="78"/>
      <c r="E62" s="79"/>
      <c r="F62" s="81"/>
      <c r="G62" s="13"/>
      <c r="H62" s="83"/>
      <c r="I62" s="13"/>
    </row>
    <row r="63" spans="1:22" ht="15.75" hidden="1" customHeight="1">
      <c r="A63" s="30"/>
      <c r="B63" s="78" t="s">
        <v>145</v>
      </c>
      <c r="C63" s="77" t="s">
        <v>31</v>
      </c>
      <c r="D63" s="78" t="s">
        <v>71</v>
      </c>
      <c r="E63" s="79">
        <v>3</v>
      </c>
      <c r="F63" s="80">
        <v>3</v>
      </c>
      <c r="G63" s="82">
        <v>254.16</v>
      </c>
      <c r="H63" s="81">
        <v>0.76200000000000001</v>
      </c>
      <c r="I63" s="13">
        <v>0</v>
      </c>
    </row>
    <row r="64" spans="1:22" ht="15.75" hidden="1" customHeight="1">
      <c r="A64" s="30"/>
      <c r="B64" s="90" t="s">
        <v>48</v>
      </c>
      <c r="C64" s="77"/>
      <c r="D64" s="78"/>
      <c r="E64" s="79"/>
      <c r="F64" s="80"/>
      <c r="G64" s="80"/>
      <c r="H64" s="81" t="s">
        <v>139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0">
        <v>13</v>
      </c>
      <c r="B65" s="14" t="s">
        <v>49</v>
      </c>
      <c r="C65" s="16" t="s">
        <v>131</v>
      </c>
      <c r="D65" s="78" t="s">
        <v>71</v>
      </c>
      <c r="E65" s="19">
        <v>15</v>
      </c>
      <c r="F65" s="69">
        <v>15</v>
      </c>
      <c r="G65" s="13">
        <v>237.74</v>
      </c>
      <c r="H65" s="84">
        <f t="shared" ref="H65:H78" si="5">SUM(F65*G65/1000)</f>
        <v>3.5661000000000005</v>
      </c>
      <c r="I65" s="13">
        <f>G65</f>
        <v>237.74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14" t="s">
        <v>50</v>
      </c>
      <c r="C66" s="16" t="s">
        <v>131</v>
      </c>
      <c r="D66" s="78" t="s">
        <v>71</v>
      </c>
      <c r="E66" s="19">
        <v>5</v>
      </c>
      <c r="F66" s="69">
        <v>5</v>
      </c>
      <c r="G66" s="13">
        <v>81.510000000000005</v>
      </c>
      <c r="H66" s="84">
        <f t="shared" si="5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14" t="s">
        <v>51</v>
      </c>
      <c r="C67" s="16" t="s">
        <v>133</v>
      </c>
      <c r="D67" s="14" t="s">
        <v>57</v>
      </c>
      <c r="E67" s="50">
        <v>24123</v>
      </c>
      <c r="F67" s="13">
        <f>SUM(E67/100)</f>
        <v>241.23</v>
      </c>
      <c r="G67" s="13">
        <v>226.79</v>
      </c>
      <c r="H67" s="84">
        <f t="shared" si="5"/>
        <v>54.708551699999994</v>
      </c>
      <c r="I67" s="13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140"/>
      <c r="S67" s="140"/>
      <c r="T67" s="140"/>
      <c r="U67" s="140"/>
    </row>
    <row r="68" spans="1:21" ht="15.75" hidden="1" customHeight="1">
      <c r="A68" s="30"/>
      <c r="B68" s="14" t="s">
        <v>52</v>
      </c>
      <c r="C68" s="16" t="s">
        <v>134</v>
      </c>
      <c r="D68" s="14"/>
      <c r="E68" s="50">
        <v>24123</v>
      </c>
      <c r="F68" s="13">
        <f>SUM(E68/1000)</f>
        <v>24.123000000000001</v>
      </c>
      <c r="G68" s="13">
        <v>176.61</v>
      </c>
      <c r="H68" s="84">
        <f t="shared" si="5"/>
        <v>4.2603630300000006</v>
      </c>
      <c r="I68" s="13">
        <f t="shared" ref="I68:I72" si="6">F68*G68</f>
        <v>4260.3630300000004</v>
      </c>
    </row>
    <row r="69" spans="1:21" ht="15.75" hidden="1" customHeight="1">
      <c r="A69" s="30"/>
      <c r="B69" s="14" t="s">
        <v>53</v>
      </c>
      <c r="C69" s="16" t="s">
        <v>81</v>
      </c>
      <c r="D69" s="14" t="s">
        <v>57</v>
      </c>
      <c r="E69" s="50">
        <v>2730</v>
      </c>
      <c r="F69" s="13">
        <f>SUM(E69/100)</f>
        <v>27.3</v>
      </c>
      <c r="G69" s="13">
        <v>2217.7800000000002</v>
      </c>
      <c r="H69" s="84">
        <f t="shared" si="5"/>
        <v>60.545394000000009</v>
      </c>
      <c r="I69" s="13">
        <f t="shared" si="6"/>
        <v>60545.394000000008</v>
      </c>
    </row>
    <row r="70" spans="1:21" ht="15.75" hidden="1" customHeight="1">
      <c r="A70" s="30"/>
      <c r="B70" s="85" t="s">
        <v>135</v>
      </c>
      <c r="C70" s="16" t="s">
        <v>34</v>
      </c>
      <c r="D70" s="14"/>
      <c r="E70" s="50">
        <v>23</v>
      </c>
      <c r="F70" s="13">
        <f>SUM(E70)</f>
        <v>23</v>
      </c>
      <c r="G70" s="13">
        <v>42.67</v>
      </c>
      <c r="H70" s="84">
        <f t="shared" si="5"/>
        <v>0.98141000000000012</v>
      </c>
      <c r="I70" s="13">
        <f t="shared" si="6"/>
        <v>981.41000000000008</v>
      </c>
    </row>
    <row r="71" spans="1:21" ht="15.75" hidden="1" customHeight="1">
      <c r="A71" s="30"/>
      <c r="B71" s="85" t="s">
        <v>136</v>
      </c>
      <c r="C71" s="16" t="s">
        <v>34</v>
      </c>
      <c r="D71" s="14"/>
      <c r="E71" s="50">
        <v>23</v>
      </c>
      <c r="F71" s="13">
        <f>SUM(E71)</f>
        <v>23</v>
      </c>
      <c r="G71" s="13">
        <v>39.81</v>
      </c>
      <c r="H71" s="84">
        <f t="shared" si="5"/>
        <v>0.91563000000000005</v>
      </c>
      <c r="I71" s="13">
        <f t="shared" si="6"/>
        <v>915.63000000000011</v>
      </c>
    </row>
    <row r="72" spans="1:21" ht="15.75" hidden="1" customHeight="1">
      <c r="A72" s="30"/>
      <c r="B72" s="14" t="s">
        <v>61</v>
      </c>
      <c r="C72" s="16" t="s">
        <v>62</v>
      </c>
      <c r="D72" s="14" t="s">
        <v>57</v>
      </c>
      <c r="E72" s="19">
        <v>10</v>
      </c>
      <c r="F72" s="69">
        <f>SUM(E72)</f>
        <v>10</v>
      </c>
      <c r="G72" s="13">
        <v>53.32</v>
      </c>
      <c r="H72" s="84">
        <f t="shared" si="5"/>
        <v>0.53320000000000001</v>
      </c>
      <c r="I72" s="13">
        <f t="shared" si="6"/>
        <v>533.20000000000005</v>
      </c>
    </row>
    <row r="73" spans="1:21" ht="15.75" hidden="1" customHeight="1">
      <c r="A73" s="30"/>
      <c r="B73" s="57" t="s">
        <v>77</v>
      </c>
      <c r="C73" s="16"/>
      <c r="D73" s="14"/>
      <c r="E73" s="19"/>
      <c r="F73" s="13"/>
      <c r="G73" s="13"/>
      <c r="H73" s="84" t="s">
        <v>139</v>
      </c>
      <c r="I73" s="13"/>
    </row>
    <row r="74" spans="1:21" ht="15.75" hidden="1" customHeight="1">
      <c r="A74" s="30">
        <v>12</v>
      </c>
      <c r="B74" s="14" t="s">
        <v>78</v>
      </c>
      <c r="C74" s="16" t="s">
        <v>32</v>
      </c>
      <c r="D74" s="14"/>
      <c r="E74" s="19">
        <v>2</v>
      </c>
      <c r="F74" s="61">
        <v>0.2</v>
      </c>
      <c r="G74" s="13">
        <v>536.23</v>
      </c>
      <c r="H74" s="84">
        <v>0.251</v>
      </c>
      <c r="I74" s="13">
        <f>G74*2.9</f>
        <v>1555.067</v>
      </c>
    </row>
    <row r="75" spans="1:21" ht="15.75" hidden="1" customHeight="1">
      <c r="A75" s="30"/>
      <c r="B75" s="14" t="s">
        <v>94</v>
      </c>
      <c r="C75" s="16" t="s">
        <v>31</v>
      </c>
      <c r="D75" s="14"/>
      <c r="E75" s="19">
        <v>1</v>
      </c>
      <c r="F75" s="69">
        <f>SUM(E75)</f>
        <v>1</v>
      </c>
      <c r="G75" s="13">
        <v>383.25</v>
      </c>
      <c r="H75" s="84">
        <f t="shared" si="5"/>
        <v>0.38324999999999998</v>
      </c>
      <c r="I75" s="13">
        <v>0</v>
      </c>
    </row>
    <row r="76" spans="1:21" ht="15.75" hidden="1" customHeight="1">
      <c r="A76" s="30"/>
      <c r="B76" s="14" t="s">
        <v>79</v>
      </c>
      <c r="C76" s="16" t="s">
        <v>31</v>
      </c>
      <c r="D76" s="14"/>
      <c r="E76" s="19">
        <v>2</v>
      </c>
      <c r="F76" s="13">
        <v>2</v>
      </c>
      <c r="G76" s="13">
        <v>911.85</v>
      </c>
      <c r="H76" s="84">
        <f>F76*G76/1000</f>
        <v>1.8237000000000001</v>
      </c>
      <c r="I76" s="13">
        <v>0</v>
      </c>
    </row>
    <row r="77" spans="1:21" ht="15.75" hidden="1" customHeight="1">
      <c r="A77" s="30"/>
      <c r="B77" s="86" t="s">
        <v>80</v>
      </c>
      <c r="C77" s="16"/>
      <c r="D77" s="14"/>
      <c r="E77" s="19"/>
      <c r="F77" s="13"/>
      <c r="G77" s="13" t="s">
        <v>139</v>
      </c>
      <c r="H77" s="84" t="s">
        <v>139</v>
      </c>
      <c r="I77" s="13"/>
    </row>
    <row r="78" spans="1:21" ht="15.75" hidden="1" customHeight="1">
      <c r="A78" s="30"/>
      <c r="B78" s="45" t="s">
        <v>140</v>
      </c>
      <c r="C78" s="16" t="s">
        <v>81</v>
      </c>
      <c r="D78" s="14"/>
      <c r="E78" s="19"/>
      <c r="F78" s="13">
        <v>1.35</v>
      </c>
      <c r="G78" s="13">
        <v>2949.85</v>
      </c>
      <c r="H78" s="84">
        <f t="shared" si="5"/>
        <v>3.9822975</v>
      </c>
      <c r="I78" s="13">
        <v>0</v>
      </c>
    </row>
    <row r="79" spans="1:21" ht="15.75" hidden="1" customHeight="1">
      <c r="A79" s="30"/>
      <c r="B79" s="72" t="s">
        <v>137</v>
      </c>
      <c r="C79" s="86"/>
      <c r="D79" s="32"/>
      <c r="E79" s="33"/>
      <c r="F79" s="73"/>
      <c r="G79" s="73"/>
      <c r="H79" s="87">
        <f>SUM(H58:H78)</f>
        <v>5118.885151045999</v>
      </c>
      <c r="I79" s="73"/>
    </row>
    <row r="80" spans="1:21" ht="15.75" hidden="1" customHeight="1">
      <c r="A80" s="30">
        <v>14</v>
      </c>
      <c r="B80" s="67" t="s">
        <v>138</v>
      </c>
      <c r="C80" s="16"/>
      <c r="D80" s="14"/>
      <c r="E80" s="62"/>
      <c r="F80" s="13">
        <v>1</v>
      </c>
      <c r="G80" s="13">
        <v>21010.2</v>
      </c>
      <c r="H80" s="84">
        <f>G80*F80/1000</f>
        <v>21.010200000000001</v>
      </c>
      <c r="I80" s="13">
        <v>7520.24</v>
      </c>
    </row>
    <row r="81" spans="1:9" ht="15.75" customHeight="1">
      <c r="A81" s="153" t="s">
        <v>151</v>
      </c>
      <c r="B81" s="154"/>
      <c r="C81" s="154"/>
      <c r="D81" s="154"/>
      <c r="E81" s="154"/>
      <c r="F81" s="154"/>
      <c r="G81" s="154"/>
      <c r="H81" s="154"/>
      <c r="I81" s="155"/>
    </row>
    <row r="82" spans="1:9" ht="15.75" customHeight="1">
      <c r="A82" s="30">
        <v>13</v>
      </c>
      <c r="B82" s="67" t="s">
        <v>141</v>
      </c>
      <c r="C82" s="16" t="s">
        <v>58</v>
      </c>
      <c r="D82" s="88" t="s">
        <v>59</v>
      </c>
      <c r="E82" s="13">
        <v>4591.2</v>
      </c>
      <c r="F82" s="13">
        <f>SUM(E82*12)</f>
        <v>55094.399999999994</v>
      </c>
      <c r="G82" s="13">
        <v>2.54</v>
      </c>
      <c r="H82" s="84">
        <f>SUM(F82*G82/1000)</f>
        <v>139.93977599999999</v>
      </c>
      <c r="I82" s="13">
        <f>F82/12*G82</f>
        <v>11661.647999999999</v>
      </c>
    </row>
    <row r="83" spans="1:9" ht="31.5" customHeight="1">
      <c r="A83" s="30">
        <v>14</v>
      </c>
      <c r="B83" s="14" t="s">
        <v>82</v>
      </c>
      <c r="C83" s="16"/>
      <c r="D83" s="88" t="s">
        <v>59</v>
      </c>
      <c r="E83" s="50">
        <f>E82</f>
        <v>4591.2</v>
      </c>
      <c r="F83" s="13">
        <f>E83*12</f>
        <v>55094.399999999994</v>
      </c>
      <c r="G83" s="13">
        <v>2.0499999999999998</v>
      </c>
      <c r="H83" s="84">
        <f>F83*G83/1000</f>
        <v>112.94351999999998</v>
      </c>
      <c r="I83" s="13">
        <f>F83/12*G83</f>
        <v>9411.9599999999991</v>
      </c>
    </row>
    <row r="84" spans="1:9" ht="15.75" customHeight="1">
      <c r="A84" s="46"/>
      <c r="B84" s="37" t="s">
        <v>85</v>
      </c>
      <c r="C84" s="38"/>
      <c r="D84" s="15"/>
      <c r="E84" s="15"/>
      <c r="F84" s="15"/>
      <c r="G84" s="19"/>
      <c r="H84" s="19"/>
      <c r="I84" s="33">
        <f>I83+I82+I61+I55+I34+I33+I31+I30+I27+I26+I20+I18+I17+I16</f>
        <v>83984.058136199994</v>
      </c>
    </row>
    <row r="85" spans="1:9" ht="15.75" customHeight="1">
      <c r="A85" s="150" t="s">
        <v>64</v>
      </c>
      <c r="B85" s="151"/>
      <c r="C85" s="151"/>
      <c r="D85" s="151"/>
      <c r="E85" s="151"/>
      <c r="F85" s="151"/>
      <c r="G85" s="151"/>
      <c r="H85" s="151"/>
      <c r="I85" s="152"/>
    </row>
    <row r="86" spans="1:9" ht="15.75" customHeight="1">
      <c r="A86" s="30">
        <v>15</v>
      </c>
      <c r="B86" s="98" t="s">
        <v>216</v>
      </c>
      <c r="C86" s="99" t="s">
        <v>99</v>
      </c>
      <c r="D86" s="45"/>
      <c r="E86" s="35"/>
      <c r="F86" s="35">
        <f>124/3</f>
        <v>41.333333333333336</v>
      </c>
      <c r="G86" s="35">
        <v>613.44000000000005</v>
      </c>
      <c r="H86" s="100">
        <f t="shared" ref="H86:H101" si="7">G86*F86/1000</f>
        <v>25.355520000000006</v>
      </c>
      <c r="I86" s="13">
        <f>G86*1</f>
        <v>613.44000000000005</v>
      </c>
    </row>
    <row r="87" spans="1:9" ht="19.5" customHeight="1">
      <c r="A87" s="30">
        <v>16</v>
      </c>
      <c r="B87" s="98" t="s">
        <v>217</v>
      </c>
      <c r="C87" s="99" t="s">
        <v>131</v>
      </c>
      <c r="D87" s="45"/>
      <c r="E87" s="13"/>
      <c r="F87" s="13">
        <v>0.06</v>
      </c>
      <c r="G87" s="35">
        <v>89.92</v>
      </c>
      <c r="H87" s="84">
        <f t="shared" si="7"/>
        <v>5.3952000000000002E-3</v>
      </c>
      <c r="I87" s="13">
        <f>G87*2</f>
        <v>179.84</v>
      </c>
    </row>
    <row r="88" spans="1:9" ht="15.75" customHeight="1">
      <c r="A88" s="30">
        <v>17</v>
      </c>
      <c r="B88" s="98" t="s">
        <v>218</v>
      </c>
      <c r="C88" s="99" t="s">
        <v>131</v>
      </c>
      <c r="D88" s="45"/>
      <c r="E88" s="35"/>
      <c r="F88" s="35">
        <v>2</v>
      </c>
      <c r="G88" s="35">
        <v>95.25</v>
      </c>
      <c r="H88" s="100">
        <f t="shared" si="7"/>
        <v>0.1905</v>
      </c>
      <c r="I88" s="13">
        <f>G88*2</f>
        <v>190.5</v>
      </c>
    </row>
    <row r="89" spans="1:9" ht="18" customHeight="1">
      <c r="A89" s="30">
        <v>18</v>
      </c>
      <c r="B89" s="98" t="s">
        <v>197</v>
      </c>
      <c r="C89" s="99" t="s">
        <v>89</v>
      </c>
      <c r="D89" s="45"/>
      <c r="E89" s="13"/>
      <c r="F89" s="13">
        <f>4/10</f>
        <v>0.4</v>
      </c>
      <c r="G89" s="35">
        <v>203.68</v>
      </c>
      <c r="H89" s="84">
        <f t="shared" si="7"/>
        <v>8.1472000000000003E-2</v>
      </c>
      <c r="I89" s="13">
        <f>G89*1</f>
        <v>203.68</v>
      </c>
    </row>
    <row r="90" spans="1:9" ht="15.75" customHeight="1">
      <c r="A90" s="30">
        <v>19</v>
      </c>
      <c r="B90" s="98" t="s">
        <v>87</v>
      </c>
      <c r="C90" s="99" t="s">
        <v>131</v>
      </c>
      <c r="D90" s="45"/>
      <c r="E90" s="13"/>
      <c r="F90" s="13"/>
      <c r="G90" s="35">
        <v>197.48</v>
      </c>
      <c r="H90" s="84"/>
      <c r="I90" s="13">
        <f>G90*1</f>
        <v>197.48</v>
      </c>
    </row>
    <row r="91" spans="1:9" ht="18.75" customHeight="1">
      <c r="A91" s="30">
        <v>20</v>
      </c>
      <c r="B91" s="132" t="s">
        <v>259</v>
      </c>
      <c r="C91" s="99" t="s">
        <v>131</v>
      </c>
      <c r="D91" s="45"/>
      <c r="E91" s="13"/>
      <c r="F91" s="13"/>
      <c r="G91" s="35">
        <v>197.26</v>
      </c>
      <c r="H91" s="84"/>
      <c r="I91" s="13">
        <f>G91*1</f>
        <v>197.26</v>
      </c>
    </row>
    <row r="92" spans="1:9" ht="30" customHeight="1">
      <c r="A92" s="30">
        <v>21</v>
      </c>
      <c r="B92" s="49" t="s">
        <v>182</v>
      </c>
      <c r="C92" s="51" t="s">
        <v>86</v>
      </c>
      <c r="D92" s="45"/>
      <c r="E92" s="13"/>
      <c r="F92" s="13"/>
      <c r="G92" s="35">
        <v>1187</v>
      </c>
      <c r="H92" s="84"/>
      <c r="I92" s="13">
        <f>G92*2</f>
        <v>2374</v>
      </c>
    </row>
    <row r="93" spans="1:9" ht="18.75" customHeight="1">
      <c r="A93" s="30">
        <v>22</v>
      </c>
      <c r="B93" s="49" t="s">
        <v>228</v>
      </c>
      <c r="C93" s="51" t="s">
        <v>131</v>
      </c>
      <c r="D93" s="45"/>
      <c r="E93" s="13"/>
      <c r="F93" s="13"/>
      <c r="G93" s="35">
        <v>5.42</v>
      </c>
      <c r="H93" s="84"/>
      <c r="I93" s="13">
        <f>G93*4</f>
        <v>21.68</v>
      </c>
    </row>
    <row r="94" spans="1:9" ht="18.75" customHeight="1">
      <c r="A94" s="30">
        <v>23</v>
      </c>
      <c r="B94" s="49" t="s">
        <v>229</v>
      </c>
      <c r="C94" s="51" t="s">
        <v>131</v>
      </c>
      <c r="D94" s="45"/>
      <c r="E94" s="13"/>
      <c r="F94" s="13"/>
      <c r="G94" s="35">
        <v>4.46</v>
      </c>
      <c r="H94" s="84"/>
      <c r="I94" s="13">
        <f>G94*3</f>
        <v>13.379999999999999</v>
      </c>
    </row>
    <row r="95" spans="1:9" ht="18.75" customHeight="1">
      <c r="A95" s="30">
        <v>24</v>
      </c>
      <c r="B95" s="104" t="s">
        <v>260</v>
      </c>
      <c r="C95" s="38" t="s">
        <v>115</v>
      </c>
      <c r="D95" s="45"/>
      <c r="E95" s="13"/>
      <c r="F95" s="13"/>
      <c r="G95" s="35">
        <v>3413.41</v>
      </c>
      <c r="H95" s="84"/>
      <c r="I95" s="13">
        <f>G95*0.07</f>
        <v>238.93870000000001</v>
      </c>
    </row>
    <row r="96" spans="1:9" ht="18.75" customHeight="1">
      <c r="A96" s="30">
        <v>25</v>
      </c>
      <c r="B96" s="98" t="s">
        <v>261</v>
      </c>
      <c r="C96" s="99" t="s">
        <v>99</v>
      </c>
      <c r="D96" s="45"/>
      <c r="E96" s="13"/>
      <c r="F96" s="13"/>
      <c r="G96" s="35">
        <v>546.01</v>
      </c>
      <c r="H96" s="84"/>
      <c r="I96" s="13">
        <f>G96*1</f>
        <v>546.01</v>
      </c>
    </row>
    <row r="97" spans="1:9" ht="18.75" customHeight="1">
      <c r="A97" s="30">
        <v>26</v>
      </c>
      <c r="B97" s="98" t="s">
        <v>262</v>
      </c>
      <c r="C97" s="99" t="s">
        <v>58</v>
      </c>
      <c r="D97" s="45"/>
      <c r="E97" s="13"/>
      <c r="F97" s="13"/>
      <c r="G97" s="35">
        <v>470.85</v>
      </c>
      <c r="H97" s="84"/>
      <c r="I97" s="13">
        <f>G97*1.35</f>
        <v>635.64750000000004</v>
      </c>
    </row>
    <row r="98" spans="1:9" ht="18.75" customHeight="1">
      <c r="A98" s="30">
        <v>27</v>
      </c>
      <c r="B98" s="132" t="s">
        <v>263</v>
      </c>
      <c r="C98" s="99" t="s">
        <v>58</v>
      </c>
      <c r="D98" s="45"/>
      <c r="E98" s="13"/>
      <c r="F98" s="13"/>
      <c r="G98" s="35">
        <v>26.98</v>
      </c>
      <c r="H98" s="84"/>
      <c r="I98" s="13">
        <f>G98*1</f>
        <v>26.98</v>
      </c>
    </row>
    <row r="99" spans="1:9" ht="18.75" customHeight="1">
      <c r="A99" s="30">
        <v>28</v>
      </c>
      <c r="B99" s="132" t="s">
        <v>248</v>
      </c>
      <c r="C99" s="102" t="s">
        <v>249</v>
      </c>
      <c r="D99" s="45"/>
      <c r="E99" s="13"/>
      <c r="F99" s="13"/>
      <c r="G99" s="35">
        <v>13785.45</v>
      </c>
      <c r="H99" s="84"/>
      <c r="I99" s="13">
        <f>G99*0.4</f>
        <v>5514.18</v>
      </c>
    </row>
    <row r="100" spans="1:9" ht="18.75" customHeight="1">
      <c r="A100" s="30">
        <v>29</v>
      </c>
      <c r="B100" s="132" t="s">
        <v>250</v>
      </c>
      <c r="C100" s="102" t="s">
        <v>131</v>
      </c>
      <c r="D100" s="45"/>
      <c r="E100" s="13"/>
      <c r="F100" s="13"/>
      <c r="G100" s="35">
        <v>185</v>
      </c>
      <c r="H100" s="84"/>
      <c r="I100" s="13">
        <f>G100*8</f>
        <v>1480</v>
      </c>
    </row>
    <row r="101" spans="1:9" ht="15.75" customHeight="1">
      <c r="A101" s="30">
        <v>30</v>
      </c>
      <c r="B101" s="132" t="s">
        <v>264</v>
      </c>
      <c r="C101" s="102" t="s">
        <v>131</v>
      </c>
      <c r="D101" s="45"/>
      <c r="E101" s="13"/>
      <c r="F101" s="13">
        <v>1</v>
      </c>
      <c r="G101" s="35">
        <v>165</v>
      </c>
      <c r="H101" s="84">
        <f t="shared" si="7"/>
        <v>0.16500000000000001</v>
      </c>
      <c r="I101" s="13">
        <f>G101*8</f>
        <v>1320</v>
      </c>
    </row>
    <row r="102" spans="1:9" ht="15.75" customHeight="1">
      <c r="A102" s="30">
        <v>31</v>
      </c>
      <c r="B102" s="49" t="s">
        <v>206</v>
      </c>
      <c r="C102" s="51" t="s">
        <v>207</v>
      </c>
      <c r="D102" s="45"/>
      <c r="E102" s="13"/>
      <c r="F102" s="13"/>
      <c r="G102" s="35">
        <v>134.12</v>
      </c>
      <c r="H102" s="84"/>
      <c r="I102" s="13">
        <f>G102*5</f>
        <v>670.6</v>
      </c>
    </row>
    <row r="103" spans="1:9" ht="15.75" customHeight="1">
      <c r="A103" s="30">
        <v>32</v>
      </c>
      <c r="B103" s="98" t="s">
        <v>265</v>
      </c>
      <c r="C103" s="99" t="s">
        <v>29</v>
      </c>
      <c r="D103" s="45"/>
      <c r="E103" s="13"/>
      <c r="F103" s="13"/>
      <c r="G103" s="35">
        <v>1104.48</v>
      </c>
      <c r="H103" s="84"/>
      <c r="I103" s="13">
        <f>G103*0.0577</f>
        <v>63.728496</v>
      </c>
    </row>
    <row r="104" spans="1:9" ht="30.75" customHeight="1">
      <c r="A104" s="30">
        <v>33</v>
      </c>
      <c r="B104" s="127" t="s">
        <v>231</v>
      </c>
      <c r="C104" s="128" t="s">
        <v>40</v>
      </c>
      <c r="D104" s="45"/>
      <c r="E104" s="13"/>
      <c r="F104" s="13"/>
      <c r="G104" s="133">
        <v>3724.37</v>
      </c>
      <c r="H104" s="84"/>
      <c r="I104" s="13">
        <f>G104*0.01</f>
        <v>37.243699999999997</v>
      </c>
    </row>
    <row r="105" spans="1:9" ht="15.75" customHeight="1">
      <c r="A105" s="30">
        <v>34</v>
      </c>
      <c r="B105" s="127" t="s">
        <v>158</v>
      </c>
      <c r="C105" s="128" t="s">
        <v>42</v>
      </c>
      <c r="D105" s="45"/>
      <c r="E105" s="13"/>
      <c r="F105" s="13"/>
      <c r="G105" s="35">
        <v>7709.44</v>
      </c>
      <c r="H105" s="84"/>
      <c r="I105" s="13">
        <f>G105*0.01</f>
        <v>77.094399999999993</v>
      </c>
    </row>
    <row r="106" spans="1:9" ht="15.75" customHeight="1">
      <c r="A106" s="30"/>
      <c r="B106" s="43" t="s">
        <v>54</v>
      </c>
      <c r="C106" s="39"/>
      <c r="D106" s="47"/>
      <c r="E106" s="39">
        <v>1</v>
      </c>
      <c r="F106" s="39"/>
      <c r="G106" s="39"/>
      <c r="H106" s="39"/>
      <c r="I106" s="33">
        <f>SUM(I86:I105)</f>
        <v>14601.682796000001</v>
      </c>
    </row>
    <row r="107" spans="1:9" ht="15.75" customHeight="1">
      <c r="A107" s="30"/>
      <c r="B107" s="45" t="s">
        <v>83</v>
      </c>
      <c r="C107" s="15"/>
      <c r="D107" s="15"/>
      <c r="E107" s="40"/>
      <c r="F107" s="40"/>
      <c r="G107" s="41"/>
      <c r="H107" s="41"/>
      <c r="I107" s="18">
        <v>0</v>
      </c>
    </row>
    <row r="108" spans="1:9" ht="15.75" customHeight="1">
      <c r="A108" s="48"/>
      <c r="B108" s="44" t="s">
        <v>180</v>
      </c>
      <c r="C108" s="34"/>
      <c r="D108" s="34"/>
      <c r="E108" s="34"/>
      <c r="F108" s="34"/>
      <c r="G108" s="34"/>
      <c r="H108" s="34"/>
      <c r="I108" s="42">
        <f>I84+I106</f>
        <v>98585.740932199988</v>
      </c>
    </row>
    <row r="109" spans="1:9" ht="15.75" customHeight="1">
      <c r="A109" s="147" t="s">
        <v>266</v>
      </c>
      <c r="B109" s="147"/>
      <c r="C109" s="147"/>
      <c r="D109" s="147"/>
      <c r="E109" s="147"/>
      <c r="F109" s="147"/>
      <c r="G109" s="147"/>
      <c r="H109" s="147"/>
      <c r="I109" s="147"/>
    </row>
    <row r="110" spans="1:9" ht="15.75" customHeight="1">
      <c r="A110" s="58"/>
      <c r="B110" s="148" t="s">
        <v>267</v>
      </c>
      <c r="C110" s="148"/>
      <c r="D110" s="148"/>
      <c r="E110" s="148"/>
      <c r="F110" s="148"/>
      <c r="G110" s="148"/>
      <c r="H110" s="66"/>
      <c r="I110" s="3"/>
    </row>
    <row r="111" spans="1:9" ht="15.75" customHeight="1">
      <c r="A111" s="52"/>
      <c r="B111" s="138" t="s">
        <v>6</v>
      </c>
      <c r="C111" s="138"/>
      <c r="D111" s="138"/>
      <c r="E111" s="138"/>
      <c r="F111" s="138"/>
      <c r="G111" s="138"/>
      <c r="H111" s="25"/>
      <c r="I111" s="5"/>
    </row>
    <row r="112" spans="1:9" ht="15.75" customHeight="1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ht="15.75" customHeight="1">
      <c r="A113" s="149" t="s">
        <v>7</v>
      </c>
      <c r="B113" s="149"/>
      <c r="C113" s="149"/>
      <c r="D113" s="149"/>
      <c r="E113" s="149"/>
      <c r="F113" s="149"/>
      <c r="G113" s="149"/>
      <c r="H113" s="149"/>
      <c r="I113" s="149"/>
    </row>
    <row r="114" spans="1:9" ht="15.75" customHeight="1">
      <c r="A114" s="149" t="s">
        <v>8</v>
      </c>
      <c r="B114" s="149"/>
      <c r="C114" s="149"/>
      <c r="D114" s="149"/>
      <c r="E114" s="149"/>
      <c r="F114" s="149"/>
      <c r="G114" s="149"/>
      <c r="H114" s="149"/>
      <c r="I114" s="149"/>
    </row>
    <row r="115" spans="1:9" ht="15.75" customHeight="1">
      <c r="A115" s="142" t="s">
        <v>65</v>
      </c>
      <c r="B115" s="142"/>
      <c r="C115" s="142"/>
      <c r="D115" s="142"/>
      <c r="E115" s="142"/>
      <c r="F115" s="142"/>
      <c r="G115" s="142"/>
      <c r="H115" s="142"/>
      <c r="I115" s="142"/>
    </row>
    <row r="116" spans="1:9" ht="15.75" customHeight="1">
      <c r="A116" s="11"/>
    </row>
    <row r="117" spans="1:9" ht="15.75" customHeight="1">
      <c r="A117" s="136" t="s">
        <v>9</v>
      </c>
      <c r="B117" s="136"/>
      <c r="C117" s="136"/>
      <c r="D117" s="136"/>
      <c r="E117" s="136"/>
      <c r="F117" s="136"/>
      <c r="G117" s="136"/>
      <c r="H117" s="136"/>
      <c r="I117" s="136"/>
    </row>
    <row r="118" spans="1:9" ht="15.75" customHeight="1">
      <c r="A118" s="4"/>
    </row>
    <row r="119" spans="1:9" ht="15.75" customHeight="1">
      <c r="B119" s="55" t="s">
        <v>10</v>
      </c>
      <c r="C119" s="137" t="s">
        <v>95</v>
      </c>
      <c r="D119" s="137"/>
      <c r="E119" s="137"/>
      <c r="F119" s="64"/>
      <c r="I119" s="54"/>
    </row>
    <row r="120" spans="1:9" ht="15.75" customHeight="1">
      <c r="A120" s="52"/>
      <c r="C120" s="138" t="s">
        <v>11</v>
      </c>
      <c r="D120" s="138"/>
      <c r="E120" s="138"/>
      <c r="F120" s="25"/>
      <c r="I120" s="53" t="s">
        <v>12</v>
      </c>
    </row>
    <row r="121" spans="1:9" ht="15.75" customHeight="1">
      <c r="A121" s="26"/>
      <c r="C121" s="12"/>
      <c r="D121" s="12"/>
      <c r="G121" s="12"/>
      <c r="H121" s="12"/>
    </row>
    <row r="122" spans="1:9" ht="15.75" customHeight="1">
      <c r="B122" s="55" t="s">
        <v>13</v>
      </c>
      <c r="C122" s="139"/>
      <c r="D122" s="139"/>
      <c r="E122" s="139"/>
      <c r="F122" s="65"/>
      <c r="I122" s="54"/>
    </row>
    <row r="123" spans="1:9" ht="15.75" customHeight="1">
      <c r="A123" s="52"/>
      <c r="C123" s="140" t="s">
        <v>11</v>
      </c>
      <c r="D123" s="140"/>
      <c r="E123" s="140"/>
      <c r="F123" s="52"/>
      <c r="I123" s="53" t="s">
        <v>12</v>
      </c>
    </row>
    <row r="124" spans="1:9" ht="15.75" customHeight="1">
      <c r="A124" s="4" t="s">
        <v>14</v>
      </c>
    </row>
    <row r="125" spans="1:9" ht="15.75" customHeight="1">
      <c r="A125" s="141" t="s">
        <v>15</v>
      </c>
      <c r="B125" s="141"/>
      <c r="C125" s="141"/>
      <c r="D125" s="141"/>
      <c r="E125" s="141"/>
      <c r="F125" s="141"/>
      <c r="G125" s="141"/>
      <c r="H125" s="141"/>
      <c r="I125" s="141"/>
    </row>
    <row r="126" spans="1:9" ht="45" customHeight="1">
      <c r="A126" s="135" t="s">
        <v>16</v>
      </c>
      <c r="B126" s="135"/>
      <c r="C126" s="135"/>
      <c r="D126" s="135"/>
      <c r="E126" s="135"/>
      <c r="F126" s="135"/>
      <c r="G126" s="135"/>
      <c r="H126" s="135"/>
      <c r="I126" s="135"/>
    </row>
    <row r="127" spans="1:9" ht="30" customHeight="1">
      <c r="A127" s="135" t="s">
        <v>17</v>
      </c>
      <c r="B127" s="135"/>
      <c r="C127" s="135"/>
      <c r="D127" s="135"/>
      <c r="E127" s="135"/>
      <c r="F127" s="135"/>
      <c r="G127" s="135"/>
      <c r="H127" s="135"/>
      <c r="I127" s="135"/>
    </row>
    <row r="128" spans="1:9" ht="30" customHeight="1">
      <c r="A128" s="135" t="s">
        <v>21</v>
      </c>
      <c r="B128" s="135"/>
      <c r="C128" s="135"/>
      <c r="D128" s="135"/>
      <c r="E128" s="135"/>
      <c r="F128" s="135"/>
      <c r="G128" s="135"/>
      <c r="H128" s="135"/>
      <c r="I128" s="135"/>
    </row>
    <row r="129" spans="1:9" ht="15" customHeight="1">
      <c r="A129" s="135" t="s">
        <v>20</v>
      </c>
      <c r="B129" s="135"/>
      <c r="C129" s="135"/>
      <c r="D129" s="135"/>
      <c r="E129" s="135"/>
      <c r="F129" s="135"/>
      <c r="G129" s="135"/>
      <c r="H129" s="135"/>
      <c r="I129" s="135"/>
    </row>
  </sheetData>
  <autoFilter ref="I12:I62"/>
  <mergeCells count="29">
    <mergeCell ref="R67:U67"/>
    <mergeCell ref="A81:I81"/>
    <mergeCell ref="A3:I3"/>
    <mergeCell ref="A4:I4"/>
    <mergeCell ref="A5:I5"/>
    <mergeCell ref="A8:I8"/>
    <mergeCell ref="A10:I10"/>
    <mergeCell ref="A14:I14"/>
    <mergeCell ref="A115:I115"/>
    <mergeCell ref="A15:I15"/>
    <mergeCell ref="A28:I28"/>
    <mergeCell ref="A45:I45"/>
    <mergeCell ref="A56:I56"/>
    <mergeCell ref="A109:I109"/>
    <mergeCell ref="B110:G110"/>
    <mergeCell ref="B111:G111"/>
    <mergeCell ref="A113:I113"/>
    <mergeCell ref="A114:I114"/>
    <mergeCell ref="A85:I85"/>
    <mergeCell ref="A126:I126"/>
    <mergeCell ref="A127:I127"/>
    <mergeCell ref="A128:I128"/>
    <mergeCell ref="A129:I129"/>
    <mergeCell ref="A117:I117"/>
    <mergeCell ref="C119:E119"/>
    <mergeCell ref="C120:E120"/>
    <mergeCell ref="C122:E122"/>
    <mergeCell ref="C123:E123"/>
    <mergeCell ref="A125:I12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1"/>
  <sheetViews>
    <sheetView topLeftCell="A33" workbookViewId="0">
      <selection activeCell="B92" sqref="B92:G92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1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270</v>
      </c>
      <c r="I1" s="27"/>
      <c r="J1" s="1"/>
      <c r="K1" s="1"/>
      <c r="L1" s="1"/>
      <c r="M1" s="1"/>
    </row>
    <row r="2" spans="1:13" ht="15.75" customHeight="1">
      <c r="A2" s="29" t="s">
        <v>66</v>
      </c>
      <c r="J2" s="2"/>
      <c r="K2" s="2"/>
      <c r="L2" s="2"/>
      <c r="M2" s="2"/>
    </row>
    <row r="3" spans="1:13" ht="15.75" customHeight="1">
      <c r="A3" s="156" t="s">
        <v>176</v>
      </c>
      <c r="B3" s="156"/>
      <c r="C3" s="156"/>
      <c r="D3" s="156"/>
      <c r="E3" s="156"/>
      <c r="F3" s="156"/>
      <c r="G3" s="156"/>
      <c r="H3" s="156"/>
      <c r="I3" s="156"/>
      <c r="J3" s="3"/>
      <c r="K3" s="3"/>
      <c r="L3" s="3"/>
    </row>
    <row r="4" spans="1:13" ht="31.5" customHeight="1">
      <c r="A4" s="157" t="s">
        <v>142</v>
      </c>
      <c r="B4" s="157"/>
      <c r="C4" s="157"/>
      <c r="D4" s="157"/>
      <c r="E4" s="157"/>
      <c r="F4" s="157"/>
      <c r="G4" s="157"/>
      <c r="H4" s="157"/>
      <c r="I4" s="157"/>
    </row>
    <row r="5" spans="1:13" ht="15.75" customHeight="1">
      <c r="A5" s="156" t="s">
        <v>271</v>
      </c>
      <c r="B5" s="158"/>
      <c r="C5" s="158"/>
      <c r="D5" s="158"/>
      <c r="E5" s="158"/>
      <c r="F5" s="158"/>
      <c r="G5" s="158"/>
      <c r="H5" s="158"/>
      <c r="I5" s="158"/>
      <c r="J5" s="2"/>
      <c r="K5" s="2"/>
      <c r="L5" s="2"/>
      <c r="M5" s="2"/>
    </row>
    <row r="6" spans="1:13" ht="15.75" customHeight="1">
      <c r="A6" s="2"/>
      <c r="B6" s="56"/>
      <c r="C6" s="56"/>
      <c r="D6" s="56"/>
      <c r="E6" s="56"/>
      <c r="F6" s="56"/>
      <c r="G6" s="56"/>
      <c r="H6" s="56"/>
      <c r="I6" s="31">
        <v>43312</v>
      </c>
      <c r="J6" s="2"/>
      <c r="K6" s="2"/>
      <c r="L6" s="2"/>
      <c r="M6" s="2"/>
    </row>
    <row r="7" spans="1:13" ht="15.75" customHeight="1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9" t="s">
        <v>272</v>
      </c>
      <c r="B8" s="159"/>
      <c r="C8" s="159"/>
      <c r="D8" s="159"/>
      <c r="E8" s="159"/>
      <c r="F8" s="159"/>
      <c r="G8" s="159"/>
      <c r="H8" s="159"/>
      <c r="I8" s="15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60" t="s">
        <v>195</v>
      </c>
      <c r="B10" s="160"/>
      <c r="C10" s="160"/>
      <c r="D10" s="160"/>
      <c r="E10" s="160"/>
      <c r="F10" s="160"/>
      <c r="G10" s="160"/>
      <c r="H10" s="160"/>
      <c r="I10" s="16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61" t="s">
        <v>63</v>
      </c>
      <c r="B14" s="161"/>
      <c r="C14" s="161"/>
      <c r="D14" s="161"/>
      <c r="E14" s="161"/>
      <c r="F14" s="161"/>
      <c r="G14" s="161"/>
      <c r="H14" s="161"/>
      <c r="I14" s="161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7" t="s">
        <v>92</v>
      </c>
      <c r="C16" s="68" t="s">
        <v>111</v>
      </c>
      <c r="D16" s="67" t="s">
        <v>112</v>
      </c>
      <c r="E16" s="50">
        <v>127.9</v>
      </c>
      <c r="F16" s="69">
        <f>SUM(E16*156/100)</f>
        <v>199.524</v>
      </c>
      <c r="G16" s="69">
        <v>187.48</v>
      </c>
      <c r="H16" s="70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67" t="s">
        <v>100</v>
      </c>
      <c r="C17" s="68" t="s">
        <v>111</v>
      </c>
      <c r="D17" s="67" t="s">
        <v>166</v>
      </c>
      <c r="E17" s="50">
        <v>511.6</v>
      </c>
      <c r="F17" s="69">
        <f>SUM(E17*104/100)</f>
        <v>532.06399999999996</v>
      </c>
      <c r="G17" s="69">
        <v>185.48</v>
      </c>
      <c r="H17" s="70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67" t="s">
        <v>101</v>
      </c>
      <c r="C18" s="68" t="s">
        <v>111</v>
      </c>
      <c r="D18" s="67" t="s">
        <v>113</v>
      </c>
      <c r="E18" s="50">
        <f>SUM(E16+E17)</f>
        <v>639.5</v>
      </c>
      <c r="F18" s="69">
        <f>SUM(E18*24/100)</f>
        <v>153.47999999999999</v>
      </c>
      <c r="G18" s="69">
        <v>539.30999999999995</v>
      </c>
      <c r="H18" s="70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67" t="s">
        <v>114</v>
      </c>
      <c r="C19" s="68" t="s">
        <v>115</v>
      </c>
      <c r="D19" s="67" t="s">
        <v>116</v>
      </c>
      <c r="E19" s="50">
        <v>38.4</v>
      </c>
      <c r="F19" s="69">
        <f>SUM(E19/10)</f>
        <v>3.84</v>
      </c>
      <c r="G19" s="69">
        <v>181.91</v>
      </c>
      <c r="H19" s="70">
        <f t="shared" si="0"/>
        <v>0.6985344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67" t="s">
        <v>105</v>
      </c>
      <c r="C20" s="68" t="s">
        <v>111</v>
      </c>
      <c r="D20" s="67" t="s">
        <v>30</v>
      </c>
      <c r="E20" s="50">
        <v>58.4</v>
      </c>
      <c r="F20" s="69">
        <f>SUM(E20*12/100)</f>
        <v>7.0079999999999991</v>
      </c>
      <c r="G20" s="69">
        <v>232.92</v>
      </c>
      <c r="H20" s="70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customHeight="1">
      <c r="A21" s="30">
        <v>5</v>
      </c>
      <c r="B21" s="67" t="s">
        <v>106</v>
      </c>
      <c r="C21" s="68" t="s">
        <v>111</v>
      </c>
      <c r="D21" s="67" t="s">
        <v>110</v>
      </c>
      <c r="E21" s="50">
        <v>9.08</v>
      </c>
      <c r="F21" s="69">
        <f>SUM(E21*6/100)</f>
        <v>0.54480000000000006</v>
      </c>
      <c r="G21" s="69">
        <v>231.03</v>
      </c>
      <c r="H21" s="70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67" t="s">
        <v>117</v>
      </c>
      <c r="C22" s="68" t="s">
        <v>56</v>
      </c>
      <c r="D22" s="67" t="s">
        <v>116</v>
      </c>
      <c r="E22" s="50">
        <v>714</v>
      </c>
      <c r="F22" s="69">
        <f>SUM(E22/100)</f>
        <v>7.14</v>
      </c>
      <c r="G22" s="69">
        <v>287.83999999999997</v>
      </c>
      <c r="H22" s="70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67" t="s">
        <v>118</v>
      </c>
      <c r="C23" s="68" t="s">
        <v>56</v>
      </c>
      <c r="D23" s="67" t="s">
        <v>116</v>
      </c>
      <c r="E23" s="63">
        <v>96.6</v>
      </c>
      <c r="F23" s="69">
        <f>SUM(E23/100)</f>
        <v>0.96599999999999997</v>
      </c>
      <c r="G23" s="69">
        <v>47.34</v>
      </c>
      <c r="H23" s="70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67" t="s">
        <v>108</v>
      </c>
      <c r="C24" s="68" t="s">
        <v>56</v>
      </c>
      <c r="D24" s="67" t="s">
        <v>116</v>
      </c>
      <c r="E24" s="19">
        <v>40</v>
      </c>
      <c r="F24" s="71">
        <v>4.8</v>
      </c>
      <c r="G24" s="69">
        <v>416.62</v>
      </c>
      <c r="H24" s="70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67" t="s">
        <v>109</v>
      </c>
      <c r="C25" s="68" t="s">
        <v>56</v>
      </c>
      <c r="D25" s="67" t="s">
        <v>116</v>
      </c>
      <c r="E25" s="50">
        <v>17</v>
      </c>
      <c r="F25" s="69">
        <f>SUM(E25/100)</f>
        <v>0.17</v>
      </c>
      <c r="G25" s="69">
        <v>556.74</v>
      </c>
      <c r="H25" s="70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customHeight="1">
      <c r="A26" s="30">
        <v>6</v>
      </c>
      <c r="B26" s="67" t="s">
        <v>68</v>
      </c>
      <c r="C26" s="68" t="s">
        <v>34</v>
      </c>
      <c r="D26" s="67"/>
      <c r="E26" s="50">
        <v>0.1</v>
      </c>
      <c r="F26" s="69">
        <f>SUM(E26*365)</f>
        <v>36.5</v>
      </c>
      <c r="G26" s="69">
        <v>157.18</v>
      </c>
      <c r="H26" s="70">
        <f>SUM(F26*G26/1000)</f>
        <v>5.737070000000001</v>
      </c>
      <c r="I26" s="13">
        <f>F26/12*G26</f>
        <v>478.08916666666664</v>
      </c>
      <c r="J26" s="24"/>
    </row>
    <row r="27" spans="1:13" ht="15.75" customHeight="1">
      <c r="A27" s="30">
        <v>7</v>
      </c>
      <c r="B27" s="75" t="s">
        <v>23</v>
      </c>
      <c r="C27" s="68" t="s">
        <v>24</v>
      </c>
      <c r="D27" s="75"/>
      <c r="E27" s="50">
        <v>4591.2</v>
      </c>
      <c r="F27" s="69">
        <f>SUM(E27*12)</f>
        <v>55094.399999999994</v>
      </c>
      <c r="G27" s="69">
        <v>5.85</v>
      </c>
      <c r="H27" s="70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43" t="s">
        <v>90</v>
      </c>
      <c r="B28" s="143"/>
      <c r="C28" s="143"/>
      <c r="D28" s="143"/>
      <c r="E28" s="143"/>
      <c r="F28" s="143"/>
      <c r="G28" s="143"/>
      <c r="H28" s="143"/>
      <c r="I28" s="143"/>
      <c r="J28" s="23"/>
      <c r="K28" s="8"/>
      <c r="L28" s="8"/>
      <c r="M28" s="8"/>
    </row>
    <row r="29" spans="1:13" ht="15.75" customHeight="1">
      <c r="A29" s="30"/>
      <c r="B29" s="89" t="s">
        <v>28</v>
      </c>
      <c r="C29" s="68"/>
      <c r="D29" s="67"/>
      <c r="E29" s="50"/>
      <c r="F29" s="69"/>
      <c r="G29" s="69"/>
      <c r="H29" s="70"/>
      <c r="I29" s="13"/>
      <c r="J29" s="23"/>
      <c r="K29" s="8"/>
      <c r="L29" s="8"/>
      <c r="M29" s="8"/>
    </row>
    <row r="30" spans="1:13" ht="15.75" customHeight="1">
      <c r="A30" s="30">
        <v>8</v>
      </c>
      <c r="B30" s="67" t="s">
        <v>119</v>
      </c>
      <c r="C30" s="68" t="s">
        <v>120</v>
      </c>
      <c r="D30" s="67" t="s">
        <v>121</v>
      </c>
      <c r="E30" s="69">
        <v>844.95</v>
      </c>
      <c r="F30" s="69">
        <f>SUM(E30*52/1000)</f>
        <v>43.937400000000004</v>
      </c>
      <c r="G30" s="69">
        <v>166.65</v>
      </c>
      <c r="H30" s="70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customHeight="1">
      <c r="A31" s="30">
        <v>9</v>
      </c>
      <c r="B31" s="67" t="s">
        <v>167</v>
      </c>
      <c r="C31" s="68" t="s">
        <v>120</v>
      </c>
      <c r="D31" s="67" t="s">
        <v>122</v>
      </c>
      <c r="E31" s="69">
        <v>260.13</v>
      </c>
      <c r="F31" s="69">
        <f>SUM(E31*78/1000)</f>
        <v>20.290140000000001</v>
      </c>
      <c r="G31" s="69">
        <v>276.48</v>
      </c>
      <c r="H31" s="70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67" t="s">
        <v>27</v>
      </c>
      <c r="C32" s="68" t="s">
        <v>120</v>
      </c>
      <c r="D32" s="67" t="s">
        <v>57</v>
      </c>
      <c r="E32" s="69">
        <v>844.95</v>
      </c>
      <c r="F32" s="69">
        <f>SUM(E32/1000)</f>
        <v>0.84495000000000009</v>
      </c>
      <c r="G32" s="69">
        <v>3228.73</v>
      </c>
      <c r="H32" s="70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customHeight="1">
      <c r="A33" s="30">
        <v>10</v>
      </c>
      <c r="B33" s="67" t="s">
        <v>154</v>
      </c>
      <c r="C33" s="68" t="s">
        <v>42</v>
      </c>
      <c r="D33" s="67" t="s">
        <v>67</v>
      </c>
      <c r="E33" s="69">
        <v>8</v>
      </c>
      <c r="F33" s="69">
        <v>12.4</v>
      </c>
      <c r="G33" s="69">
        <v>1391.86</v>
      </c>
      <c r="H33" s="70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customHeight="1">
      <c r="A34" s="30">
        <v>11</v>
      </c>
      <c r="B34" s="67" t="s">
        <v>123</v>
      </c>
      <c r="C34" s="68" t="s">
        <v>31</v>
      </c>
      <c r="D34" s="67" t="s">
        <v>67</v>
      </c>
      <c r="E34" s="74">
        <v>0.33333333333333331</v>
      </c>
      <c r="F34" s="69">
        <f>155/3</f>
        <v>51.666666666666664</v>
      </c>
      <c r="G34" s="69">
        <v>60.6</v>
      </c>
      <c r="H34" s="70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67" t="s">
        <v>69</v>
      </c>
      <c r="C35" s="68" t="s">
        <v>34</v>
      </c>
      <c r="D35" s="67" t="s">
        <v>71</v>
      </c>
      <c r="E35" s="50"/>
      <c r="F35" s="69">
        <v>3</v>
      </c>
      <c r="G35" s="69">
        <v>204.32</v>
      </c>
      <c r="H35" s="70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67" t="s">
        <v>70</v>
      </c>
      <c r="C36" s="68" t="s">
        <v>33</v>
      </c>
      <c r="D36" s="67" t="s">
        <v>71</v>
      </c>
      <c r="E36" s="50"/>
      <c r="F36" s="69">
        <v>2</v>
      </c>
      <c r="G36" s="69">
        <v>1214.73</v>
      </c>
      <c r="H36" s="70">
        <f t="shared" si="1"/>
        <v>2.4294600000000002</v>
      </c>
      <c r="I36" s="13">
        <v>0</v>
      </c>
      <c r="J36" s="24"/>
    </row>
    <row r="37" spans="1:14" ht="15.75" hidden="1" customHeight="1">
      <c r="A37" s="30"/>
      <c r="B37" s="89" t="s">
        <v>5</v>
      </c>
      <c r="C37" s="68"/>
      <c r="D37" s="67"/>
      <c r="E37" s="50"/>
      <c r="F37" s="69"/>
      <c r="G37" s="69"/>
      <c r="H37" s="70" t="s">
        <v>139</v>
      </c>
      <c r="I37" s="13"/>
      <c r="J37" s="24"/>
    </row>
    <row r="38" spans="1:14" ht="15.75" hidden="1" customHeight="1">
      <c r="A38" s="30">
        <v>8</v>
      </c>
      <c r="B38" s="67" t="s">
        <v>26</v>
      </c>
      <c r="C38" s="68" t="s">
        <v>33</v>
      </c>
      <c r="D38" s="67"/>
      <c r="E38" s="50"/>
      <c r="F38" s="69">
        <v>10</v>
      </c>
      <c r="G38" s="69">
        <v>1632.6</v>
      </c>
      <c r="H38" s="70">
        <f t="shared" ref="H38:H44" si="3">SUM(F38*G38/1000)</f>
        <v>16.326000000000001</v>
      </c>
      <c r="I38" s="13">
        <f>F38/6*G38</f>
        <v>2721</v>
      </c>
      <c r="J38" s="24"/>
    </row>
    <row r="39" spans="1:14" ht="15.75" hidden="1" customHeight="1">
      <c r="A39" s="30">
        <v>9</v>
      </c>
      <c r="B39" s="67" t="s">
        <v>155</v>
      </c>
      <c r="C39" s="68" t="s">
        <v>29</v>
      </c>
      <c r="D39" s="67" t="s">
        <v>124</v>
      </c>
      <c r="E39" s="69">
        <v>254.8</v>
      </c>
      <c r="F39" s="69">
        <f>SUM(E39*30/1000)</f>
        <v>7.6440000000000001</v>
      </c>
      <c r="G39" s="69">
        <v>2247.8000000000002</v>
      </c>
      <c r="H39" s="70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67" t="s">
        <v>102</v>
      </c>
      <c r="C40" s="68" t="s">
        <v>125</v>
      </c>
      <c r="D40" s="67" t="s">
        <v>71</v>
      </c>
      <c r="E40" s="50"/>
      <c r="F40" s="69">
        <v>40</v>
      </c>
      <c r="G40" s="69">
        <v>213.2</v>
      </c>
      <c r="H40" s="70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hidden="1" customHeight="1">
      <c r="A41" s="30">
        <v>10</v>
      </c>
      <c r="B41" s="67" t="s">
        <v>72</v>
      </c>
      <c r="C41" s="68" t="s">
        <v>29</v>
      </c>
      <c r="D41" s="67" t="s">
        <v>126</v>
      </c>
      <c r="E41" s="69">
        <v>260.13</v>
      </c>
      <c r="F41" s="69">
        <f>SUM(E41*155/1000)</f>
        <v>40.320149999999998</v>
      </c>
      <c r="G41" s="69">
        <v>374.95</v>
      </c>
      <c r="H41" s="70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hidden="1" customHeight="1">
      <c r="A42" s="30">
        <v>11</v>
      </c>
      <c r="B42" s="67" t="s">
        <v>88</v>
      </c>
      <c r="C42" s="68" t="s">
        <v>120</v>
      </c>
      <c r="D42" s="67" t="s">
        <v>127</v>
      </c>
      <c r="E42" s="69">
        <v>132.72999999999999</v>
      </c>
      <c r="F42" s="69">
        <f>SUM(E42*35/1000)</f>
        <v>4.6455499999999992</v>
      </c>
      <c r="G42" s="69">
        <v>6203.7</v>
      </c>
      <c r="H42" s="70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hidden="1" customHeight="1">
      <c r="A43" s="30">
        <v>12</v>
      </c>
      <c r="B43" s="67" t="s">
        <v>128</v>
      </c>
      <c r="C43" s="68" t="s">
        <v>120</v>
      </c>
      <c r="D43" s="67" t="s">
        <v>73</v>
      </c>
      <c r="E43" s="69">
        <v>254.8</v>
      </c>
      <c r="F43" s="69">
        <f>SUM(E43*45/1000)</f>
        <v>11.465999999999999</v>
      </c>
      <c r="G43" s="69">
        <v>458.28</v>
      </c>
      <c r="H43" s="70">
        <f t="shared" si="3"/>
        <v>5.2546384799999997</v>
      </c>
      <c r="I43" s="13">
        <f>F43/6*G43</f>
        <v>875.77307999999982</v>
      </c>
      <c r="J43" s="24"/>
      <c r="L43" s="20"/>
      <c r="M43" s="21"/>
      <c r="N43" s="22"/>
    </row>
    <row r="44" spans="1:14" ht="15.75" hidden="1" customHeight="1">
      <c r="A44" s="30">
        <v>13</v>
      </c>
      <c r="B44" s="67" t="s">
        <v>74</v>
      </c>
      <c r="C44" s="68" t="s">
        <v>34</v>
      </c>
      <c r="D44" s="67"/>
      <c r="E44" s="50"/>
      <c r="F44" s="69">
        <v>0.9</v>
      </c>
      <c r="G44" s="69">
        <v>853.06</v>
      </c>
      <c r="H44" s="70">
        <f t="shared" si="3"/>
        <v>0.76775400000000005</v>
      </c>
      <c r="I44" s="13">
        <f>F44/6*G44</f>
        <v>127.95899999999999</v>
      </c>
      <c r="J44" s="24"/>
      <c r="L44" s="20"/>
      <c r="M44" s="21"/>
      <c r="N44" s="22"/>
    </row>
    <row r="45" spans="1:14" ht="15.75" hidden="1" customHeight="1">
      <c r="A45" s="144" t="s">
        <v>149</v>
      </c>
      <c r="B45" s="145"/>
      <c r="C45" s="145"/>
      <c r="D45" s="145"/>
      <c r="E45" s="145"/>
      <c r="F45" s="145"/>
      <c r="G45" s="145"/>
      <c r="H45" s="145"/>
      <c r="I45" s="146"/>
      <c r="J45" s="24"/>
      <c r="L45" s="20"/>
      <c r="M45" s="21"/>
      <c r="N45" s="22"/>
    </row>
    <row r="46" spans="1:14" ht="15.75" hidden="1" customHeight="1">
      <c r="A46" s="30"/>
      <c r="B46" s="67" t="s">
        <v>143</v>
      </c>
      <c r="C46" s="68" t="s">
        <v>120</v>
      </c>
      <c r="D46" s="67" t="s">
        <v>44</v>
      </c>
      <c r="E46" s="50">
        <v>1795.9</v>
      </c>
      <c r="F46" s="69">
        <f>SUM(E46*2/1000)</f>
        <v>3.5918000000000001</v>
      </c>
      <c r="G46" s="13">
        <v>865.61</v>
      </c>
      <c r="H46" s="70">
        <f t="shared" ref="H46:H55" si="4">SUM(F46*G46/1000)</f>
        <v>3.1090979980000002</v>
      </c>
      <c r="I46" s="13">
        <v>0</v>
      </c>
      <c r="J46" s="24"/>
      <c r="L46" s="20"/>
      <c r="M46" s="21"/>
      <c r="N46" s="22"/>
    </row>
    <row r="47" spans="1:14" ht="15.75" hidden="1" customHeight="1">
      <c r="A47" s="30"/>
      <c r="B47" s="67" t="s">
        <v>37</v>
      </c>
      <c r="C47" s="68" t="s">
        <v>120</v>
      </c>
      <c r="D47" s="67" t="s">
        <v>44</v>
      </c>
      <c r="E47" s="50">
        <v>104</v>
      </c>
      <c r="F47" s="69">
        <f>SUM(E47*2/1000)</f>
        <v>0.20799999999999999</v>
      </c>
      <c r="G47" s="13">
        <v>619.46</v>
      </c>
      <c r="H47" s="70">
        <f t="shared" si="4"/>
        <v>0.12884767999999999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30"/>
      <c r="B48" s="67" t="s">
        <v>38</v>
      </c>
      <c r="C48" s="68" t="s">
        <v>120</v>
      </c>
      <c r="D48" s="67" t="s">
        <v>44</v>
      </c>
      <c r="E48" s="50">
        <v>1996.87</v>
      </c>
      <c r="F48" s="69">
        <f>SUM(E48*2/1000)</f>
        <v>3.9937399999999998</v>
      </c>
      <c r="G48" s="13">
        <v>619.46</v>
      </c>
      <c r="H48" s="70">
        <f t="shared" si="4"/>
        <v>2.4739621804</v>
      </c>
      <c r="I48" s="13">
        <v>0</v>
      </c>
      <c r="J48" s="24"/>
      <c r="L48" s="20"/>
      <c r="M48" s="21"/>
      <c r="N48" s="22"/>
    </row>
    <row r="49" spans="1:22" ht="15.75" hidden="1" customHeight="1">
      <c r="A49" s="30"/>
      <c r="B49" s="67" t="s">
        <v>39</v>
      </c>
      <c r="C49" s="68" t="s">
        <v>120</v>
      </c>
      <c r="D49" s="67" t="s">
        <v>44</v>
      </c>
      <c r="E49" s="50">
        <v>2630.35</v>
      </c>
      <c r="F49" s="69">
        <f>SUM(E49*2/1000)</f>
        <v>5.2606999999999999</v>
      </c>
      <c r="G49" s="13">
        <v>648.64</v>
      </c>
      <c r="H49" s="70">
        <f t="shared" si="4"/>
        <v>3.4123004479999999</v>
      </c>
      <c r="I49" s="13">
        <v>0</v>
      </c>
      <c r="J49" s="24"/>
      <c r="L49" s="20"/>
      <c r="M49" s="21"/>
      <c r="N49" s="22"/>
    </row>
    <row r="50" spans="1:22" ht="15.75" hidden="1" customHeight="1">
      <c r="A50" s="30"/>
      <c r="B50" s="67" t="s">
        <v>35</v>
      </c>
      <c r="C50" s="68" t="s">
        <v>36</v>
      </c>
      <c r="D50" s="67" t="s">
        <v>44</v>
      </c>
      <c r="E50" s="50">
        <v>131.47</v>
      </c>
      <c r="F50" s="69">
        <f>SUM(E50*2/100)</f>
        <v>2.6294</v>
      </c>
      <c r="G50" s="13">
        <v>77.84</v>
      </c>
      <c r="H50" s="70">
        <f t="shared" si="4"/>
        <v>0.20467249599999998</v>
      </c>
      <c r="I50" s="13">
        <v>0</v>
      </c>
      <c r="J50" s="24"/>
      <c r="L50" s="20"/>
      <c r="M50" s="21"/>
      <c r="N50" s="22"/>
    </row>
    <row r="51" spans="1:22" ht="15.75" hidden="1" customHeight="1">
      <c r="A51" s="30">
        <v>14</v>
      </c>
      <c r="B51" s="67" t="s">
        <v>60</v>
      </c>
      <c r="C51" s="68" t="s">
        <v>120</v>
      </c>
      <c r="D51" s="67" t="s">
        <v>168</v>
      </c>
      <c r="E51" s="50">
        <v>2872.4</v>
      </c>
      <c r="F51" s="69">
        <f>SUM(E51*5/1000)</f>
        <v>14.362</v>
      </c>
      <c r="G51" s="13">
        <v>1297.28</v>
      </c>
      <c r="H51" s="70">
        <f t="shared" si="4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22" ht="31.5" hidden="1" customHeight="1">
      <c r="A52" s="30"/>
      <c r="B52" s="67" t="s">
        <v>129</v>
      </c>
      <c r="C52" s="68" t="s">
        <v>120</v>
      </c>
      <c r="D52" s="67" t="s">
        <v>44</v>
      </c>
      <c r="E52" s="50">
        <v>2872.4</v>
      </c>
      <c r="F52" s="69">
        <f>SUM(E52*2/1000)</f>
        <v>5.7448000000000006</v>
      </c>
      <c r="G52" s="13">
        <v>1297.28</v>
      </c>
      <c r="H52" s="70">
        <f t="shared" si="4"/>
        <v>7.4526141440000009</v>
      </c>
      <c r="I52" s="13">
        <v>0</v>
      </c>
      <c r="J52" s="24"/>
      <c r="L52" s="20"/>
      <c r="M52" s="21"/>
      <c r="N52" s="22"/>
    </row>
    <row r="53" spans="1:22" ht="31.5" hidden="1" customHeight="1">
      <c r="A53" s="30"/>
      <c r="B53" s="67" t="s">
        <v>130</v>
      </c>
      <c r="C53" s="68" t="s">
        <v>40</v>
      </c>
      <c r="D53" s="67" t="s">
        <v>44</v>
      </c>
      <c r="E53" s="50">
        <v>40</v>
      </c>
      <c r="F53" s="69">
        <f>SUM(E53*2/100)</f>
        <v>0.8</v>
      </c>
      <c r="G53" s="13">
        <v>2918.89</v>
      </c>
      <c r="H53" s="70">
        <f t="shared" si="4"/>
        <v>2.3351120000000001</v>
      </c>
      <c r="I53" s="13">
        <v>0</v>
      </c>
      <c r="J53" s="24"/>
      <c r="L53" s="20"/>
      <c r="M53" s="21"/>
      <c r="N53" s="22"/>
    </row>
    <row r="54" spans="1:22" ht="15.75" hidden="1" customHeight="1">
      <c r="A54" s="30"/>
      <c r="B54" s="67" t="s">
        <v>41</v>
      </c>
      <c r="C54" s="68" t="s">
        <v>42</v>
      </c>
      <c r="D54" s="67" t="s">
        <v>44</v>
      </c>
      <c r="E54" s="50">
        <v>1</v>
      </c>
      <c r="F54" s="69">
        <v>0.02</v>
      </c>
      <c r="G54" s="13">
        <v>6042.12</v>
      </c>
      <c r="H54" s="70">
        <f t="shared" si="4"/>
        <v>0.1208424</v>
      </c>
      <c r="I54" s="13">
        <v>0</v>
      </c>
      <c r="J54" s="24"/>
      <c r="L54" s="20"/>
      <c r="M54" s="21"/>
      <c r="N54" s="22"/>
    </row>
    <row r="55" spans="1:22" ht="15.75" hidden="1" customHeight="1">
      <c r="A55" s="30">
        <v>15</v>
      </c>
      <c r="B55" s="67" t="s">
        <v>43</v>
      </c>
      <c r="C55" s="68" t="s">
        <v>31</v>
      </c>
      <c r="D55" s="67" t="s">
        <v>75</v>
      </c>
      <c r="E55" s="50">
        <v>160</v>
      </c>
      <c r="F55" s="69">
        <f>SUM(E55)*3</f>
        <v>480</v>
      </c>
      <c r="G55" s="13">
        <v>70.209999999999994</v>
      </c>
      <c r="H55" s="70">
        <f t="shared" si="4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22" ht="15.75" customHeight="1">
      <c r="A56" s="144" t="s">
        <v>171</v>
      </c>
      <c r="B56" s="145"/>
      <c r="C56" s="145"/>
      <c r="D56" s="145"/>
      <c r="E56" s="145"/>
      <c r="F56" s="145"/>
      <c r="G56" s="145"/>
      <c r="H56" s="145"/>
      <c r="I56" s="146"/>
      <c r="J56" s="24"/>
      <c r="L56" s="20"/>
      <c r="M56" s="21"/>
      <c r="N56" s="22"/>
    </row>
    <row r="57" spans="1:22" ht="15.75" hidden="1" customHeight="1">
      <c r="A57" s="30"/>
      <c r="B57" s="89" t="s">
        <v>45</v>
      </c>
      <c r="C57" s="68"/>
      <c r="D57" s="67"/>
      <c r="E57" s="50"/>
      <c r="F57" s="69"/>
      <c r="G57" s="69"/>
      <c r="H57" s="70"/>
      <c r="I57" s="13"/>
      <c r="J57" s="24"/>
      <c r="L57" s="20"/>
      <c r="M57" s="21"/>
      <c r="N57" s="22"/>
    </row>
    <row r="58" spans="1:22" ht="31.5" hidden="1" customHeight="1">
      <c r="A58" s="30">
        <v>16</v>
      </c>
      <c r="B58" s="67" t="s">
        <v>132</v>
      </c>
      <c r="C58" s="68" t="s">
        <v>111</v>
      </c>
      <c r="D58" s="67" t="s">
        <v>76</v>
      </c>
      <c r="E58" s="50">
        <v>239.59</v>
      </c>
      <c r="F58" s="69">
        <f>E58*6/100</f>
        <v>14.375399999999999</v>
      </c>
      <c r="G58" s="76">
        <v>1654.04</v>
      </c>
      <c r="H58" s="70">
        <f>F58*G58/1000</f>
        <v>23.777486615999997</v>
      </c>
      <c r="I58" s="13">
        <f>F58/6*G58</f>
        <v>3962.9144359999996</v>
      </c>
      <c r="J58" s="24"/>
      <c r="L58" s="20"/>
      <c r="M58" s="21"/>
      <c r="N58" s="22"/>
    </row>
    <row r="59" spans="1:22" ht="15.75" customHeight="1">
      <c r="A59" s="30"/>
      <c r="B59" s="90" t="s">
        <v>46</v>
      </c>
      <c r="C59" s="77"/>
      <c r="D59" s="78"/>
      <c r="E59" s="79"/>
      <c r="F59" s="81"/>
      <c r="G59" s="13"/>
      <c r="H59" s="83"/>
      <c r="I59" s="13"/>
      <c r="J59" s="24"/>
      <c r="L59" s="20"/>
      <c r="M59" s="21"/>
      <c r="N59" s="22"/>
    </row>
    <row r="60" spans="1:22" ht="15.75" hidden="1" customHeight="1">
      <c r="A60" s="30"/>
      <c r="B60" s="78" t="s">
        <v>47</v>
      </c>
      <c r="C60" s="77" t="s">
        <v>56</v>
      </c>
      <c r="D60" s="78" t="s">
        <v>57</v>
      </c>
      <c r="E60" s="79">
        <v>2686</v>
      </c>
      <c r="F60" s="81">
        <f>E60/100</f>
        <v>26.86</v>
      </c>
      <c r="G60" s="13">
        <v>848.37</v>
      </c>
      <c r="H60" s="83">
        <f>G60*F60/1000</f>
        <v>22.787218199999998</v>
      </c>
      <c r="I60" s="13">
        <v>0</v>
      </c>
      <c r="J60" s="24"/>
      <c r="L60" s="20"/>
    </row>
    <row r="61" spans="1:22" ht="15.75" customHeight="1">
      <c r="A61" s="30">
        <v>12</v>
      </c>
      <c r="B61" s="78" t="s">
        <v>103</v>
      </c>
      <c r="C61" s="77" t="s">
        <v>25</v>
      </c>
      <c r="D61" s="78" t="s">
        <v>30</v>
      </c>
      <c r="E61" s="79">
        <v>343</v>
      </c>
      <c r="F61" s="81">
        <v>4116</v>
      </c>
      <c r="G61" s="13">
        <v>1.2</v>
      </c>
      <c r="H61" s="83">
        <f>F61*G61</f>
        <v>4939.2</v>
      </c>
      <c r="I61" s="13">
        <f>F61/12*G61</f>
        <v>411.59999999999997</v>
      </c>
    </row>
    <row r="62" spans="1:22" ht="15.75" hidden="1" customHeight="1">
      <c r="A62" s="30"/>
      <c r="B62" s="90" t="s">
        <v>144</v>
      </c>
      <c r="C62" s="77"/>
      <c r="D62" s="78"/>
      <c r="E62" s="79"/>
      <c r="F62" s="81"/>
      <c r="G62" s="13"/>
      <c r="H62" s="83"/>
      <c r="I62" s="13"/>
    </row>
    <row r="63" spans="1:22" ht="15.75" hidden="1" customHeight="1">
      <c r="A63" s="30"/>
      <c r="B63" s="78" t="s">
        <v>145</v>
      </c>
      <c r="C63" s="77" t="s">
        <v>31</v>
      </c>
      <c r="D63" s="78" t="s">
        <v>71</v>
      </c>
      <c r="E63" s="79">
        <v>3</v>
      </c>
      <c r="F63" s="80">
        <v>3</v>
      </c>
      <c r="G63" s="82">
        <v>254.16</v>
      </c>
      <c r="H63" s="81">
        <v>0.76200000000000001</v>
      </c>
      <c r="I63" s="13">
        <v>0</v>
      </c>
    </row>
    <row r="64" spans="1:22" ht="15.75" hidden="1" customHeight="1">
      <c r="A64" s="30"/>
      <c r="B64" s="90" t="s">
        <v>48</v>
      </c>
      <c r="C64" s="77"/>
      <c r="D64" s="78"/>
      <c r="E64" s="79"/>
      <c r="F64" s="80"/>
      <c r="G64" s="80"/>
      <c r="H64" s="81" t="s">
        <v>139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0">
        <v>13</v>
      </c>
      <c r="B65" s="14" t="s">
        <v>49</v>
      </c>
      <c r="C65" s="16" t="s">
        <v>131</v>
      </c>
      <c r="D65" s="78" t="s">
        <v>71</v>
      </c>
      <c r="E65" s="19">
        <v>15</v>
      </c>
      <c r="F65" s="69">
        <v>15</v>
      </c>
      <c r="G65" s="13">
        <v>237.74</v>
      </c>
      <c r="H65" s="84">
        <f t="shared" ref="H65:H78" si="5">SUM(F65*G65/1000)</f>
        <v>3.5661000000000005</v>
      </c>
      <c r="I65" s="13">
        <f>G65*3</f>
        <v>713.22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14" t="s">
        <v>50</v>
      </c>
      <c r="C66" s="16" t="s">
        <v>131</v>
      </c>
      <c r="D66" s="78" t="s">
        <v>71</v>
      </c>
      <c r="E66" s="19">
        <v>5</v>
      </c>
      <c r="F66" s="69">
        <v>5</v>
      </c>
      <c r="G66" s="13">
        <v>81.510000000000005</v>
      </c>
      <c r="H66" s="84">
        <f t="shared" si="5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14" t="s">
        <v>51</v>
      </c>
      <c r="C67" s="16" t="s">
        <v>133</v>
      </c>
      <c r="D67" s="14" t="s">
        <v>57</v>
      </c>
      <c r="E67" s="50">
        <v>24123</v>
      </c>
      <c r="F67" s="13">
        <f>SUM(E67/100)</f>
        <v>241.23</v>
      </c>
      <c r="G67" s="13">
        <v>226.79</v>
      </c>
      <c r="H67" s="84">
        <f t="shared" si="5"/>
        <v>54.708551699999994</v>
      </c>
      <c r="I67" s="13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140"/>
      <c r="S67" s="140"/>
      <c r="T67" s="140"/>
      <c r="U67" s="140"/>
    </row>
    <row r="68" spans="1:21" ht="15.75" hidden="1" customHeight="1">
      <c r="A68" s="30"/>
      <c r="B68" s="14" t="s">
        <v>52</v>
      </c>
      <c r="C68" s="16" t="s">
        <v>134</v>
      </c>
      <c r="D68" s="14"/>
      <c r="E68" s="50">
        <v>24123</v>
      </c>
      <c r="F68" s="13">
        <f>SUM(E68/1000)</f>
        <v>24.123000000000001</v>
      </c>
      <c r="G68" s="13">
        <v>176.61</v>
      </c>
      <c r="H68" s="84">
        <f t="shared" si="5"/>
        <v>4.2603630300000006</v>
      </c>
      <c r="I68" s="13">
        <f t="shared" ref="I68:I72" si="6">F68*G68</f>
        <v>4260.3630300000004</v>
      </c>
    </row>
    <row r="69" spans="1:21" ht="15.75" hidden="1" customHeight="1">
      <c r="A69" s="30"/>
      <c r="B69" s="14" t="s">
        <v>53</v>
      </c>
      <c r="C69" s="16" t="s">
        <v>81</v>
      </c>
      <c r="D69" s="14" t="s">
        <v>57</v>
      </c>
      <c r="E69" s="50">
        <v>2730</v>
      </c>
      <c r="F69" s="13">
        <f>SUM(E69/100)</f>
        <v>27.3</v>
      </c>
      <c r="G69" s="13">
        <v>2217.7800000000002</v>
      </c>
      <c r="H69" s="84">
        <f t="shared" si="5"/>
        <v>60.545394000000009</v>
      </c>
      <c r="I69" s="13">
        <f t="shared" si="6"/>
        <v>60545.394000000008</v>
      </c>
    </row>
    <row r="70" spans="1:21" ht="15.75" hidden="1" customHeight="1">
      <c r="A70" s="30"/>
      <c r="B70" s="85" t="s">
        <v>135</v>
      </c>
      <c r="C70" s="16" t="s">
        <v>34</v>
      </c>
      <c r="D70" s="14"/>
      <c r="E70" s="50">
        <v>23</v>
      </c>
      <c r="F70" s="13">
        <f>SUM(E70)</f>
        <v>23</v>
      </c>
      <c r="G70" s="13">
        <v>42.67</v>
      </c>
      <c r="H70" s="84">
        <f t="shared" si="5"/>
        <v>0.98141000000000012</v>
      </c>
      <c r="I70" s="13">
        <f t="shared" si="6"/>
        <v>981.41000000000008</v>
      </c>
    </row>
    <row r="71" spans="1:21" ht="15.75" hidden="1" customHeight="1">
      <c r="A71" s="30"/>
      <c r="B71" s="85" t="s">
        <v>136</v>
      </c>
      <c r="C71" s="16" t="s">
        <v>34</v>
      </c>
      <c r="D71" s="14"/>
      <c r="E71" s="50">
        <v>23</v>
      </c>
      <c r="F71" s="13">
        <f>SUM(E71)</f>
        <v>23</v>
      </c>
      <c r="G71" s="13">
        <v>39.81</v>
      </c>
      <c r="H71" s="84">
        <f t="shared" si="5"/>
        <v>0.91563000000000005</v>
      </c>
      <c r="I71" s="13">
        <f t="shared" si="6"/>
        <v>915.63000000000011</v>
      </c>
    </row>
    <row r="72" spans="1:21" ht="15.75" hidden="1" customHeight="1">
      <c r="A72" s="30"/>
      <c r="B72" s="14" t="s">
        <v>61</v>
      </c>
      <c r="C72" s="16" t="s">
        <v>62</v>
      </c>
      <c r="D72" s="14" t="s">
        <v>57</v>
      </c>
      <c r="E72" s="19">
        <v>10</v>
      </c>
      <c r="F72" s="69">
        <f>SUM(E72)</f>
        <v>10</v>
      </c>
      <c r="G72" s="13">
        <v>53.32</v>
      </c>
      <c r="H72" s="84">
        <f t="shared" si="5"/>
        <v>0.53320000000000001</v>
      </c>
      <c r="I72" s="13">
        <f t="shared" si="6"/>
        <v>533.20000000000005</v>
      </c>
    </row>
    <row r="73" spans="1:21" ht="15.75" hidden="1" customHeight="1">
      <c r="A73" s="30"/>
      <c r="B73" s="57" t="s">
        <v>77</v>
      </c>
      <c r="C73" s="16"/>
      <c r="D73" s="14"/>
      <c r="E73" s="19"/>
      <c r="F73" s="13"/>
      <c r="G73" s="13"/>
      <c r="H73" s="84" t="s">
        <v>139</v>
      </c>
      <c r="I73" s="13"/>
    </row>
    <row r="74" spans="1:21" ht="15.75" hidden="1" customHeight="1">
      <c r="A74" s="30"/>
      <c r="B74" s="14" t="s">
        <v>78</v>
      </c>
      <c r="C74" s="16" t="s">
        <v>32</v>
      </c>
      <c r="D74" s="14"/>
      <c r="E74" s="19">
        <v>2</v>
      </c>
      <c r="F74" s="61">
        <v>0.2</v>
      </c>
      <c r="G74" s="13">
        <v>536.23</v>
      </c>
      <c r="H74" s="84">
        <v>0.251</v>
      </c>
      <c r="I74" s="13">
        <v>0</v>
      </c>
    </row>
    <row r="75" spans="1:21" ht="15.75" hidden="1" customHeight="1">
      <c r="A75" s="30"/>
      <c r="B75" s="14" t="s">
        <v>94</v>
      </c>
      <c r="C75" s="16" t="s">
        <v>31</v>
      </c>
      <c r="D75" s="14"/>
      <c r="E75" s="19">
        <v>1</v>
      </c>
      <c r="F75" s="69">
        <f>SUM(E75)</f>
        <v>1</v>
      </c>
      <c r="G75" s="13">
        <v>383.25</v>
      </c>
      <c r="H75" s="84">
        <f t="shared" si="5"/>
        <v>0.38324999999999998</v>
      </c>
      <c r="I75" s="13">
        <v>0</v>
      </c>
    </row>
    <row r="76" spans="1:21" ht="15.75" hidden="1" customHeight="1">
      <c r="A76" s="30"/>
      <c r="B76" s="14" t="s">
        <v>79</v>
      </c>
      <c r="C76" s="16" t="s">
        <v>31</v>
      </c>
      <c r="D76" s="14"/>
      <c r="E76" s="19">
        <v>2</v>
      </c>
      <c r="F76" s="13">
        <v>2</v>
      </c>
      <c r="G76" s="13">
        <v>911.85</v>
      </c>
      <c r="H76" s="84">
        <f>F76*G76/1000</f>
        <v>1.8237000000000001</v>
      </c>
      <c r="I76" s="13">
        <v>0</v>
      </c>
    </row>
    <row r="77" spans="1:21" ht="15.75" hidden="1" customHeight="1">
      <c r="A77" s="30"/>
      <c r="B77" s="86" t="s">
        <v>80</v>
      </c>
      <c r="C77" s="16"/>
      <c r="D77" s="14"/>
      <c r="E77" s="19"/>
      <c r="F77" s="13"/>
      <c r="G77" s="13" t="s">
        <v>139</v>
      </c>
      <c r="H77" s="84" t="s">
        <v>139</v>
      </c>
      <c r="I77" s="13"/>
    </row>
    <row r="78" spans="1:21" ht="15.75" hidden="1" customHeight="1">
      <c r="A78" s="30"/>
      <c r="B78" s="45" t="s">
        <v>140</v>
      </c>
      <c r="C78" s="16" t="s">
        <v>81</v>
      </c>
      <c r="D78" s="14"/>
      <c r="E78" s="19"/>
      <c r="F78" s="13">
        <v>1.35</v>
      </c>
      <c r="G78" s="13">
        <v>2949.85</v>
      </c>
      <c r="H78" s="84">
        <f t="shared" si="5"/>
        <v>3.9822975</v>
      </c>
      <c r="I78" s="13">
        <v>0</v>
      </c>
    </row>
    <row r="79" spans="1:21" ht="15.75" hidden="1" customHeight="1">
      <c r="A79" s="30"/>
      <c r="B79" s="72" t="s">
        <v>137</v>
      </c>
      <c r="C79" s="86"/>
      <c r="D79" s="32"/>
      <c r="E79" s="33"/>
      <c r="F79" s="73"/>
      <c r="G79" s="73"/>
      <c r="H79" s="87">
        <f>SUM(H58:H78)</f>
        <v>5118.885151045999</v>
      </c>
      <c r="I79" s="73"/>
    </row>
    <row r="80" spans="1:21" ht="15.75" hidden="1" customHeight="1">
      <c r="A80" s="30">
        <v>13</v>
      </c>
      <c r="B80" s="67" t="s">
        <v>138</v>
      </c>
      <c r="C80" s="16"/>
      <c r="D80" s="14"/>
      <c r="E80" s="62"/>
      <c r="F80" s="13">
        <v>1</v>
      </c>
      <c r="G80" s="36">
        <v>21010.2</v>
      </c>
      <c r="H80" s="84">
        <f>G80*F80/1000</f>
        <v>21.010200000000001</v>
      </c>
      <c r="I80" s="13">
        <f>G80</f>
        <v>21010.2</v>
      </c>
    </row>
    <row r="81" spans="1:9" ht="15.75" customHeight="1">
      <c r="A81" s="153" t="s">
        <v>172</v>
      </c>
      <c r="B81" s="154"/>
      <c r="C81" s="154"/>
      <c r="D81" s="154"/>
      <c r="E81" s="154"/>
      <c r="F81" s="154"/>
      <c r="G81" s="154"/>
      <c r="H81" s="154"/>
      <c r="I81" s="155"/>
    </row>
    <row r="82" spans="1:9" ht="15.75" customHeight="1">
      <c r="A82" s="30">
        <v>13</v>
      </c>
      <c r="B82" s="67" t="s">
        <v>141</v>
      </c>
      <c r="C82" s="16" t="s">
        <v>58</v>
      </c>
      <c r="D82" s="88" t="s">
        <v>59</v>
      </c>
      <c r="E82" s="13">
        <v>4591.2</v>
      </c>
      <c r="F82" s="13">
        <f>SUM(E82*12)</f>
        <v>55094.399999999994</v>
      </c>
      <c r="G82" s="13">
        <v>2.54</v>
      </c>
      <c r="H82" s="84">
        <f>SUM(F82*G82/1000)</f>
        <v>139.93977599999999</v>
      </c>
      <c r="I82" s="13">
        <f>F82/12*G82</f>
        <v>11661.647999999999</v>
      </c>
    </row>
    <row r="83" spans="1:9" ht="31.5" customHeight="1">
      <c r="A83" s="30">
        <v>14</v>
      </c>
      <c r="B83" s="14" t="s">
        <v>82</v>
      </c>
      <c r="C83" s="16"/>
      <c r="D83" s="88" t="s">
        <v>59</v>
      </c>
      <c r="E83" s="50">
        <f>E82</f>
        <v>4591.2</v>
      </c>
      <c r="F83" s="13">
        <f>E83*12</f>
        <v>55094.399999999994</v>
      </c>
      <c r="G83" s="13">
        <v>2.0499999999999998</v>
      </c>
      <c r="H83" s="84">
        <f>F83*G83/1000</f>
        <v>112.94351999999998</v>
      </c>
      <c r="I83" s="13">
        <f>F83/12*G83</f>
        <v>9411.9599999999991</v>
      </c>
    </row>
    <row r="84" spans="1:9" ht="15.75" customHeight="1">
      <c r="A84" s="46"/>
      <c r="B84" s="37" t="s">
        <v>85</v>
      </c>
      <c r="C84" s="38"/>
      <c r="D84" s="15"/>
      <c r="E84" s="15"/>
      <c r="F84" s="15"/>
      <c r="G84" s="19"/>
      <c r="H84" s="19"/>
      <c r="I84" s="33">
        <f>SUM(I16+I17+I18+I20+I21+I26+I27+I30+I31+I33+I34+I61+I82+I83)</f>
        <v>72771.43566019999</v>
      </c>
    </row>
    <row r="85" spans="1:9" ht="15.75" customHeight="1">
      <c r="A85" s="150" t="s">
        <v>64</v>
      </c>
      <c r="B85" s="151"/>
      <c r="C85" s="151"/>
      <c r="D85" s="151"/>
      <c r="E85" s="151"/>
      <c r="F85" s="151"/>
      <c r="G85" s="151"/>
      <c r="H85" s="151"/>
      <c r="I85" s="152"/>
    </row>
    <row r="86" spans="1:9" ht="18" customHeight="1">
      <c r="A86" s="30">
        <v>15</v>
      </c>
      <c r="B86" s="98" t="s">
        <v>197</v>
      </c>
      <c r="C86" s="99" t="s">
        <v>89</v>
      </c>
      <c r="D86" s="45"/>
      <c r="E86" s="13"/>
      <c r="F86" s="13">
        <v>0.06</v>
      </c>
      <c r="G86" s="35">
        <v>203.68</v>
      </c>
      <c r="H86" s="84">
        <f t="shared" ref="H86" si="7">G86*F86/1000</f>
        <v>1.22208E-2</v>
      </c>
      <c r="I86" s="13">
        <f>G86*1</f>
        <v>203.68</v>
      </c>
    </row>
    <row r="87" spans="1:9" ht="17.25" customHeight="1">
      <c r="A87" s="30">
        <v>16</v>
      </c>
      <c r="B87" s="98" t="s">
        <v>273</v>
      </c>
      <c r="C87" s="99" t="s">
        <v>131</v>
      </c>
      <c r="D87" s="45"/>
      <c r="E87" s="13"/>
      <c r="F87" s="13">
        <v>1</v>
      </c>
      <c r="G87" s="35">
        <v>55865</v>
      </c>
      <c r="H87" s="84">
        <f>G87*F87/1000</f>
        <v>55.865000000000002</v>
      </c>
      <c r="I87" s="13">
        <f>G87*1</f>
        <v>55865</v>
      </c>
    </row>
    <row r="88" spans="1:9" ht="15.75" customHeight="1">
      <c r="A88" s="30"/>
      <c r="B88" s="43" t="s">
        <v>54</v>
      </c>
      <c r="C88" s="39"/>
      <c r="D88" s="47"/>
      <c r="E88" s="39">
        <v>1</v>
      </c>
      <c r="F88" s="39"/>
      <c r="G88" s="39"/>
      <c r="H88" s="39"/>
      <c r="I88" s="33">
        <f>SUM(I86:I87)</f>
        <v>56068.68</v>
      </c>
    </row>
    <row r="89" spans="1:9" ht="15.75" customHeight="1">
      <c r="A89" s="30"/>
      <c r="B89" s="45" t="s">
        <v>83</v>
      </c>
      <c r="C89" s="15"/>
      <c r="D89" s="15"/>
      <c r="E89" s="40"/>
      <c r="F89" s="40"/>
      <c r="G89" s="41"/>
      <c r="H89" s="41"/>
      <c r="I89" s="18">
        <v>0</v>
      </c>
    </row>
    <row r="90" spans="1:9" ht="15.75" customHeight="1">
      <c r="A90" s="48"/>
      <c r="B90" s="44" t="s">
        <v>180</v>
      </c>
      <c r="C90" s="34"/>
      <c r="D90" s="34"/>
      <c r="E90" s="34"/>
      <c r="F90" s="34"/>
      <c r="G90" s="34"/>
      <c r="H90" s="34"/>
      <c r="I90" s="42">
        <f>I84+I88</f>
        <v>128840.11566019998</v>
      </c>
    </row>
    <row r="91" spans="1:9" ht="15.75" customHeight="1">
      <c r="A91" s="147" t="s">
        <v>274</v>
      </c>
      <c r="B91" s="147"/>
      <c r="C91" s="147"/>
      <c r="D91" s="147"/>
      <c r="E91" s="147"/>
      <c r="F91" s="147"/>
      <c r="G91" s="147"/>
      <c r="H91" s="147"/>
      <c r="I91" s="147"/>
    </row>
    <row r="92" spans="1:9" ht="15.75" customHeight="1">
      <c r="A92" s="58"/>
      <c r="B92" s="148" t="s">
        <v>275</v>
      </c>
      <c r="C92" s="148"/>
      <c r="D92" s="148"/>
      <c r="E92" s="148"/>
      <c r="F92" s="148"/>
      <c r="G92" s="148"/>
      <c r="H92" s="66"/>
      <c r="I92" s="3"/>
    </row>
    <row r="93" spans="1:9" ht="15.75" customHeight="1">
      <c r="A93" s="52"/>
      <c r="B93" s="138" t="s">
        <v>6</v>
      </c>
      <c r="C93" s="138"/>
      <c r="D93" s="138"/>
      <c r="E93" s="138"/>
      <c r="F93" s="138"/>
      <c r="G93" s="138"/>
      <c r="H93" s="25"/>
      <c r="I93" s="5"/>
    </row>
    <row r="94" spans="1:9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 customHeight="1">
      <c r="A95" s="149" t="s">
        <v>7</v>
      </c>
      <c r="B95" s="149"/>
      <c r="C95" s="149"/>
      <c r="D95" s="149"/>
      <c r="E95" s="149"/>
      <c r="F95" s="149"/>
      <c r="G95" s="149"/>
      <c r="H95" s="149"/>
      <c r="I95" s="149"/>
    </row>
    <row r="96" spans="1:9" ht="15.75" customHeight="1">
      <c r="A96" s="149" t="s">
        <v>8</v>
      </c>
      <c r="B96" s="149"/>
      <c r="C96" s="149"/>
      <c r="D96" s="149"/>
      <c r="E96" s="149"/>
      <c r="F96" s="149"/>
      <c r="G96" s="149"/>
      <c r="H96" s="149"/>
      <c r="I96" s="149"/>
    </row>
    <row r="97" spans="1:9" ht="15.75" customHeight="1">
      <c r="A97" s="142" t="s">
        <v>65</v>
      </c>
      <c r="B97" s="142"/>
      <c r="C97" s="142"/>
      <c r="D97" s="142"/>
      <c r="E97" s="142"/>
      <c r="F97" s="142"/>
      <c r="G97" s="142"/>
      <c r="H97" s="142"/>
      <c r="I97" s="142"/>
    </row>
    <row r="98" spans="1:9" ht="15.75" customHeight="1">
      <c r="A98" s="11"/>
    </row>
    <row r="99" spans="1:9" ht="15.75" customHeight="1">
      <c r="A99" s="136" t="s">
        <v>9</v>
      </c>
      <c r="B99" s="136"/>
      <c r="C99" s="136"/>
      <c r="D99" s="136"/>
      <c r="E99" s="136"/>
      <c r="F99" s="136"/>
      <c r="G99" s="136"/>
      <c r="H99" s="136"/>
      <c r="I99" s="136"/>
    </row>
    <row r="100" spans="1:9" ht="15.75" customHeight="1">
      <c r="A100" s="4"/>
    </row>
    <row r="101" spans="1:9" ht="15.75" customHeight="1">
      <c r="B101" s="55" t="s">
        <v>10</v>
      </c>
      <c r="C101" s="137" t="s">
        <v>95</v>
      </c>
      <c r="D101" s="137"/>
      <c r="E101" s="137"/>
      <c r="F101" s="64"/>
      <c r="I101" s="54"/>
    </row>
    <row r="102" spans="1:9" ht="15.75" customHeight="1">
      <c r="A102" s="52"/>
      <c r="C102" s="138" t="s">
        <v>11</v>
      </c>
      <c r="D102" s="138"/>
      <c r="E102" s="138"/>
      <c r="F102" s="25"/>
      <c r="I102" s="53" t="s">
        <v>12</v>
      </c>
    </row>
    <row r="103" spans="1:9" ht="15.75" customHeight="1">
      <c r="A103" s="26"/>
      <c r="C103" s="12"/>
      <c r="D103" s="12"/>
      <c r="G103" s="12"/>
      <c r="H103" s="12"/>
    </row>
    <row r="104" spans="1:9" ht="15.75" customHeight="1">
      <c r="B104" s="55" t="s">
        <v>13</v>
      </c>
      <c r="C104" s="139"/>
      <c r="D104" s="139"/>
      <c r="E104" s="139"/>
      <c r="F104" s="65"/>
      <c r="I104" s="54"/>
    </row>
    <row r="105" spans="1:9" ht="15.75" customHeight="1">
      <c r="A105" s="52"/>
      <c r="C105" s="140" t="s">
        <v>11</v>
      </c>
      <c r="D105" s="140"/>
      <c r="E105" s="140"/>
      <c r="F105" s="52"/>
      <c r="I105" s="53" t="s">
        <v>12</v>
      </c>
    </row>
    <row r="106" spans="1:9" ht="15.75" customHeight="1">
      <c r="A106" s="4" t="s">
        <v>14</v>
      </c>
    </row>
    <row r="107" spans="1:9" ht="15.75" customHeight="1">
      <c r="A107" s="141" t="s">
        <v>15</v>
      </c>
      <c r="B107" s="141"/>
      <c r="C107" s="141"/>
      <c r="D107" s="141"/>
      <c r="E107" s="141"/>
      <c r="F107" s="141"/>
      <c r="G107" s="141"/>
      <c r="H107" s="141"/>
      <c r="I107" s="141"/>
    </row>
    <row r="108" spans="1:9" ht="45" customHeight="1">
      <c r="A108" s="135" t="s">
        <v>16</v>
      </c>
      <c r="B108" s="135"/>
      <c r="C108" s="135"/>
      <c r="D108" s="135"/>
      <c r="E108" s="135"/>
      <c r="F108" s="135"/>
      <c r="G108" s="135"/>
      <c r="H108" s="135"/>
      <c r="I108" s="135"/>
    </row>
    <row r="109" spans="1:9" ht="30" customHeight="1">
      <c r="A109" s="135" t="s">
        <v>17</v>
      </c>
      <c r="B109" s="135"/>
      <c r="C109" s="135"/>
      <c r="D109" s="135"/>
      <c r="E109" s="135"/>
      <c r="F109" s="135"/>
      <c r="G109" s="135"/>
      <c r="H109" s="135"/>
      <c r="I109" s="135"/>
    </row>
    <row r="110" spans="1:9" ht="30" customHeight="1">
      <c r="A110" s="135" t="s">
        <v>21</v>
      </c>
      <c r="B110" s="135"/>
      <c r="C110" s="135"/>
      <c r="D110" s="135"/>
      <c r="E110" s="135"/>
      <c r="F110" s="135"/>
      <c r="G110" s="135"/>
      <c r="H110" s="135"/>
      <c r="I110" s="135"/>
    </row>
    <row r="111" spans="1:9" ht="15" customHeight="1">
      <c r="A111" s="135" t="s">
        <v>20</v>
      </c>
      <c r="B111" s="135"/>
      <c r="C111" s="135"/>
      <c r="D111" s="135"/>
      <c r="E111" s="135"/>
      <c r="F111" s="135"/>
      <c r="G111" s="135"/>
      <c r="H111" s="135"/>
      <c r="I111" s="135"/>
    </row>
  </sheetData>
  <autoFilter ref="I12:I62"/>
  <mergeCells count="29">
    <mergeCell ref="R67:U67"/>
    <mergeCell ref="A81:I81"/>
    <mergeCell ref="A3:I3"/>
    <mergeCell ref="A4:I4"/>
    <mergeCell ref="A5:I5"/>
    <mergeCell ref="A8:I8"/>
    <mergeCell ref="A10:I10"/>
    <mergeCell ref="A14:I14"/>
    <mergeCell ref="A97:I97"/>
    <mergeCell ref="A15:I15"/>
    <mergeCell ref="A28:I28"/>
    <mergeCell ref="A45:I45"/>
    <mergeCell ref="A56:I56"/>
    <mergeCell ref="A91:I91"/>
    <mergeCell ref="B92:G92"/>
    <mergeCell ref="B93:G93"/>
    <mergeCell ref="A95:I95"/>
    <mergeCell ref="A96:I96"/>
    <mergeCell ref="A85:I85"/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6"/>
  <sheetViews>
    <sheetView topLeftCell="A95" workbookViewId="0">
      <selection activeCell="I109" sqref="I109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6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270</v>
      </c>
      <c r="I1" s="27"/>
      <c r="J1" s="1"/>
      <c r="K1" s="1"/>
      <c r="L1" s="1"/>
      <c r="M1" s="1"/>
    </row>
    <row r="2" spans="1:13" ht="15.75" customHeight="1">
      <c r="A2" s="29" t="s">
        <v>66</v>
      </c>
      <c r="J2" s="2"/>
      <c r="K2" s="2"/>
      <c r="L2" s="2"/>
      <c r="M2" s="2"/>
    </row>
    <row r="3" spans="1:13" ht="15.75" customHeight="1">
      <c r="A3" s="156" t="s">
        <v>177</v>
      </c>
      <c r="B3" s="156"/>
      <c r="C3" s="156"/>
      <c r="D3" s="156"/>
      <c r="E3" s="156"/>
      <c r="F3" s="156"/>
      <c r="G3" s="156"/>
      <c r="H3" s="156"/>
      <c r="I3" s="156"/>
      <c r="J3" s="3"/>
      <c r="K3" s="3"/>
      <c r="L3" s="3"/>
    </row>
    <row r="4" spans="1:13" ht="31.5" customHeight="1">
      <c r="A4" s="157" t="s">
        <v>142</v>
      </c>
      <c r="B4" s="157"/>
      <c r="C4" s="157"/>
      <c r="D4" s="157"/>
      <c r="E4" s="157"/>
      <c r="F4" s="157"/>
      <c r="G4" s="157"/>
      <c r="H4" s="157"/>
      <c r="I4" s="157"/>
    </row>
    <row r="5" spans="1:13" ht="15.75" customHeight="1">
      <c r="A5" s="156" t="s">
        <v>288</v>
      </c>
      <c r="B5" s="158"/>
      <c r="C5" s="158"/>
      <c r="D5" s="158"/>
      <c r="E5" s="158"/>
      <c r="F5" s="158"/>
      <c r="G5" s="158"/>
      <c r="H5" s="158"/>
      <c r="I5" s="158"/>
      <c r="J5" s="2"/>
      <c r="K5" s="2"/>
      <c r="L5" s="2"/>
      <c r="M5" s="2"/>
    </row>
    <row r="6" spans="1:13" ht="15.75" customHeight="1">
      <c r="A6" s="2"/>
      <c r="B6" s="56"/>
      <c r="C6" s="56"/>
      <c r="D6" s="56"/>
      <c r="E6" s="56"/>
      <c r="F6" s="56"/>
      <c r="G6" s="56"/>
      <c r="H6" s="56"/>
      <c r="I6" s="31">
        <v>43343</v>
      </c>
      <c r="J6" s="2"/>
      <c r="K6" s="2"/>
      <c r="L6" s="2"/>
      <c r="M6" s="2"/>
    </row>
    <row r="7" spans="1:13" ht="15.75" customHeight="1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9" t="s">
        <v>272</v>
      </c>
      <c r="B8" s="159"/>
      <c r="C8" s="159"/>
      <c r="D8" s="159"/>
      <c r="E8" s="159"/>
      <c r="F8" s="159"/>
      <c r="G8" s="159"/>
      <c r="H8" s="159"/>
      <c r="I8" s="15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60" t="s">
        <v>195</v>
      </c>
      <c r="B10" s="160"/>
      <c r="C10" s="160"/>
      <c r="D10" s="160"/>
      <c r="E10" s="160"/>
      <c r="F10" s="160"/>
      <c r="G10" s="160"/>
      <c r="H10" s="160"/>
      <c r="I10" s="16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61" t="s">
        <v>63</v>
      </c>
      <c r="B14" s="161"/>
      <c r="C14" s="161"/>
      <c r="D14" s="161"/>
      <c r="E14" s="161"/>
      <c r="F14" s="161"/>
      <c r="G14" s="161"/>
      <c r="H14" s="161"/>
      <c r="I14" s="161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7" t="s">
        <v>92</v>
      </c>
      <c r="C16" s="68" t="s">
        <v>111</v>
      </c>
      <c r="D16" s="67" t="s">
        <v>112</v>
      </c>
      <c r="E16" s="50">
        <v>127.9</v>
      </c>
      <c r="F16" s="69">
        <f>SUM(E16*156/100)</f>
        <v>199.524</v>
      </c>
      <c r="G16" s="69">
        <v>187.48</v>
      </c>
      <c r="H16" s="70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67" t="s">
        <v>100</v>
      </c>
      <c r="C17" s="68" t="s">
        <v>111</v>
      </c>
      <c r="D17" s="67" t="s">
        <v>166</v>
      </c>
      <c r="E17" s="50">
        <v>511.6</v>
      </c>
      <c r="F17" s="69">
        <f>SUM(E17*104/100)</f>
        <v>532.06399999999996</v>
      </c>
      <c r="G17" s="69">
        <v>185.48</v>
      </c>
      <c r="H17" s="70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67" t="s">
        <v>101</v>
      </c>
      <c r="C18" s="68" t="s">
        <v>111</v>
      </c>
      <c r="D18" s="67" t="s">
        <v>113</v>
      </c>
      <c r="E18" s="50">
        <f>SUM(E16+E17)</f>
        <v>639.5</v>
      </c>
      <c r="F18" s="69">
        <f>SUM(E18*24/100)</f>
        <v>153.47999999999999</v>
      </c>
      <c r="G18" s="69">
        <v>539.30999999999995</v>
      </c>
      <c r="H18" s="70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67" t="s">
        <v>114</v>
      </c>
      <c r="C19" s="68" t="s">
        <v>115</v>
      </c>
      <c r="D19" s="67" t="s">
        <v>116</v>
      </c>
      <c r="E19" s="50">
        <v>38.4</v>
      </c>
      <c r="F19" s="69">
        <f>SUM(E19/10)</f>
        <v>3.84</v>
      </c>
      <c r="G19" s="69">
        <v>181.91</v>
      </c>
      <c r="H19" s="70">
        <f t="shared" si="0"/>
        <v>0.6985344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67" t="s">
        <v>105</v>
      </c>
      <c r="C20" s="68" t="s">
        <v>111</v>
      </c>
      <c r="D20" s="67" t="s">
        <v>30</v>
      </c>
      <c r="E20" s="50">
        <v>58.4</v>
      </c>
      <c r="F20" s="69">
        <f>SUM(E20*12/100)</f>
        <v>7.0079999999999991</v>
      </c>
      <c r="G20" s="69">
        <v>232.92</v>
      </c>
      <c r="H20" s="70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7" t="s">
        <v>106</v>
      </c>
      <c r="C21" s="68" t="s">
        <v>111</v>
      </c>
      <c r="D21" s="67" t="s">
        <v>110</v>
      </c>
      <c r="E21" s="50">
        <v>9.08</v>
      </c>
      <c r="F21" s="69">
        <f>SUM(E21*6/100)</f>
        <v>0.54480000000000006</v>
      </c>
      <c r="G21" s="69">
        <v>231.03</v>
      </c>
      <c r="H21" s="70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67" t="s">
        <v>117</v>
      </c>
      <c r="C22" s="68" t="s">
        <v>56</v>
      </c>
      <c r="D22" s="67" t="s">
        <v>116</v>
      </c>
      <c r="E22" s="50">
        <v>714</v>
      </c>
      <c r="F22" s="69">
        <f>SUM(E22/100)</f>
        <v>7.14</v>
      </c>
      <c r="G22" s="69">
        <v>287.83999999999997</v>
      </c>
      <c r="H22" s="70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67" t="s">
        <v>118</v>
      </c>
      <c r="C23" s="68" t="s">
        <v>56</v>
      </c>
      <c r="D23" s="67" t="s">
        <v>116</v>
      </c>
      <c r="E23" s="63">
        <v>96.6</v>
      </c>
      <c r="F23" s="69">
        <f>SUM(E23/100)</f>
        <v>0.96599999999999997</v>
      </c>
      <c r="G23" s="69">
        <v>47.34</v>
      </c>
      <c r="H23" s="70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67" t="s">
        <v>108</v>
      </c>
      <c r="C24" s="68" t="s">
        <v>56</v>
      </c>
      <c r="D24" s="67" t="s">
        <v>116</v>
      </c>
      <c r="E24" s="19">
        <v>40</v>
      </c>
      <c r="F24" s="71">
        <v>4.8</v>
      </c>
      <c r="G24" s="69">
        <v>416.62</v>
      </c>
      <c r="H24" s="70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67" t="s">
        <v>109</v>
      </c>
      <c r="C25" s="68" t="s">
        <v>56</v>
      </c>
      <c r="D25" s="67" t="s">
        <v>116</v>
      </c>
      <c r="E25" s="50">
        <v>17</v>
      </c>
      <c r="F25" s="69">
        <f>SUM(E25/100)</f>
        <v>0.17</v>
      </c>
      <c r="G25" s="69">
        <v>556.74</v>
      </c>
      <c r="H25" s="70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customHeight="1">
      <c r="A26" s="30">
        <v>5</v>
      </c>
      <c r="B26" s="67" t="s">
        <v>68</v>
      </c>
      <c r="C26" s="68" t="s">
        <v>34</v>
      </c>
      <c r="D26" s="67"/>
      <c r="E26" s="50">
        <v>0.1</v>
      </c>
      <c r="F26" s="69">
        <f>SUM(E26*365)</f>
        <v>36.5</v>
      </c>
      <c r="G26" s="69">
        <v>157.18</v>
      </c>
      <c r="H26" s="70">
        <f>SUM(F26*G26/1000)</f>
        <v>5.737070000000001</v>
      </c>
      <c r="I26" s="13">
        <f>F26/12*G26</f>
        <v>478.08916666666664</v>
      </c>
      <c r="J26" s="24"/>
    </row>
    <row r="27" spans="1:13" ht="15.75" customHeight="1">
      <c r="A27" s="30">
        <v>6</v>
      </c>
      <c r="B27" s="75" t="s">
        <v>23</v>
      </c>
      <c r="C27" s="68" t="s">
        <v>24</v>
      </c>
      <c r="D27" s="75"/>
      <c r="E27" s="50">
        <v>4591.2</v>
      </c>
      <c r="F27" s="69">
        <f>SUM(E27*12)</f>
        <v>55094.399999999994</v>
      </c>
      <c r="G27" s="69">
        <v>5.85</v>
      </c>
      <c r="H27" s="70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43" t="s">
        <v>90</v>
      </c>
      <c r="B28" s="143"/>
      <c r="C28" s="143"/>
      <c r="D28" s="143"/>
      <c r="E28" s="143"/>
      <c r="F28" s="143"/>
      <c r="G28" s="143"/>
      <c r="H28" s="143"/>
      <c r="I28" s="143"/>
      <c r="J28" s="23"/>
      <c r="K28" s="8"/>
      <c r="L28" s="8"/>
      <c r="M28" s="8"/>
    </row>
    <row r="29" spans="1:13" ht="15.75" customHeight="1">
      <c r="A29" s="30"/>
      <c r="B29" s="89" t="s">
        <v>28</v>
      </c>
      <c r="C29" s="68"/>
      <c r="D29" s="67"/>
      <c r="E29" s="50"/>
      <c r="F29" s="69"/>
      <c r="G29" s="69"/>
      <c r="H29" s="70"/>
      <c r="I29" s="13"/>
      <c r="J29" s="23"/>
      <c r="K29" s="8"/>
      <c r="L29" s="8"/>
      <c r="M29" s="8"/>
    </row>
    <row r="30" spans="1:13" ht="15.75" customHeight="1">
      <c r="A30" s="30">
        <v>7</v>
      </c>
      <c r="B30" s="67" t="s">
        <v>119</v>
      </c>
      <c r="C30" s="68" t="s">
        <v>120</v>
      </c>
      <c r="D30" s="67" t="s">
        <v>121</v>
      </c>
      <c r="E30" s="69">
        <v>844.95</v>
      </c>
      <c r="F30" s="69">
        <f>SUM(E30*52/1000)</f>
        <v>43.937400000000004</v>
      </c>
      <c r="G30" s="69">
        <v>166.65</v>
      </c>
      <c r="H30" s="70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customHeight="1">
      <c r="A31" s="30">
        <v>8</v>
      </c>
      <c r="B31" s="67" t="s">
        <v>167</v>
      </c>
      <c r="C31" s="68" t="s">
        <v>120</v>
      </c>
      <c r="D31" s="67" t="s">
        <v>122</v>
      </c>
      <c r="E31" s="69">
        <v>260.13</v>
      </c>
      <c r="F31" s="69">
        <f>SUM(E31*78/1000)</f>
        <v>20.290140000000001</v>
      </c>
      <c r="G31" s="69">
        <v>276.48</v>
      </c>
      <c r="H31" s="70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67" t="s">
        <v>27</v>
      </c>
      <c r="C32" s="68" t="s">
        <v>120</v>
      </c>
      <c r="D32" s="67" t="s">
        <v>57</v>
      </c>
      <c r="E32" s="69">
        <v>844.95</v>
      </c>
      <c r="F32" s="69">
        <f>SUM(E32/1000)</f>
        <v>0.84495000000000009</v>
      </c>
      <c r="G32" s="69">
        <v>3228.73</v>
      </c>
      <c r="H32" s="70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customHeight="1">
      <c r="A33" s="30">
        <v>9</v>
      </c>
      <c r="B33" s="67" t="s">
        <v>154</v>
      </c>
      <c r="C33" s="68" t="s">
        <v>42</v>
      </c>
      <c r="D33" s="67" t="s">
        <v>67</v>
      </c>
      <c r="E33" s="69">
        <v>8</v>
      </c>
      <c r="F33" s="69">
        <v>12.4</v>
      </c>
      <c r="G33" s="69">
        <v>1391.86</v>
      </c>
      <c r="H33" s="70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customHeight="1">
      <c r="A34" s="30">
        <v>10</v>
      </c>
      <c r="B34" s="67" t="s">
        <v>123</v>
      </c>
      <c r="C34" s="68" t="s">
        <v>31</v>
      </c>
      <c r="D34" s="67" t="s">
        <v>67</v>
      </c>
      <c r="E34" s="74">
        <v>0.33333333333333331</v>
      </c>
      <c r="F34" s="69">
        <f>155/3</f>
        <v>51.666666666666664</v>
      </c>
      <c r="G34" s="69">
        <v>60.6</v>
      </c>
      <c r="H34" s="70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67" t="s">
        <v>69</v>
      </c>
      <c r="C35" s="68" t="s">
        <v>34</v>
      </c>
      <c r="D35" s="67" t="s">
        <v>71</v>
      </c>
      <c r="E35" s="50"/>
      <c r="F35" s="69">
        <v>3</v>
      </c>
      <c r="G35" s="69">
        <v>204.32</v>
      </c>
      <c r="H35" s="70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67" t="s">
        <v>70</v>
      </c>
      <c r="C36" s="68" t="s">
        <v>33</v>
      </c>
      <c r="D36" s="67" t="s">
        <v>71</v>
      </c>
      <c r="E36" s="50"/>
      <c r="F36" s="69">
        <v>2</v>
      </c>
      <c r="G36" s="69">
        <v>1214.73</v>
      </c>
      <c r="H36" s="70">
        <f t="shared" si="1"/>
        <v>2.4294600000000002</v>
      </c>
      <c r="I36" s="13">
        <v>0</v>
      </c>
      <c r="J36" s="24"/>
    </row>
    <row r="37" spans="1:14" ht="15.75" hidden="1" customHeight="1">
      <c r="A37" s="30"/>
      <c r="B37" s="89" t="s">
        <v>5</v>
      </c>
      <c r="C37" s="68"/>
      <c r="D37" s="67"/>
      <c r="E37" s="50"/>
      <c r="F37" s="69"/>
      <c r="G37" s="69"/>
      <c r="H37" s="70" t="s">
        <v>139</v>
      </c>
      <c r="I37" s="13"/>
      <c r="J37" s="24"/>
    </row>
    <row r="38" spans="1:14" ht="15.75" hidden="1" customHeight="1">
      <c r="A38" s="30">
        <v>8</v>
      </c>
      <c r="B38" s="67" t="s">
        <v>26</v>
      </c>
      <c r="C38" s="68" t="s">
        <v>33</v>
      </c>
      <c r="D38" s="67"/>
      <c r="E38" s="50"/>
      <c r="F38" s="69">
        <v>10</v>
      </c>
      <c r="G38" s="69">
        <v>1632.6</v>
      </c>
      <c r="H38" s="70">
        <f t="shared" ref="H38:H44" si="3">SUM(F38*G38/1000)</f>
        <v>16.326000000000001</v>
      </c>
      <c r="I38" s="13">
        <f>F38/6*G38</f>
        <v>2721</v>
      </c>
      <c r="J38" s="24"/>
    </row>
    <row r="39" spans="1:14" ht="15.75" hidden="1" customHeight="1">
      <c r="A39" s="30">
        <v>9</v>
      </c>
      <c r="B39" s="67" t="s">
        <v>155</v>
      </c>
      <c r="C39" s="68" t="s">
        <v>29</v>
      </c>
      <c r="D39" s="67" t="s">
        <v>124</v>
      </c>
      <c r="E39" s="69">
        <v>254.8</v>
      </c>
      <c r="F39" s="69">
        <f>SUM(E39*30/1000)</f>
        <v>7.6440000000000001</v>
      </c>
      <c r="G39" s="69">
        <v>2247.8000000000002</v>
      </c>
      <c r="H39" s="70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67" t="s">
        <v>102</v>
      </c>
      <c r="C40" s="68" t="s">
        <v>125</v>
      </c>
      <c r="D40" s="67" t="s">
        <v>71</v>
      </c>
      <c r="E40" s="50"/>
      <c r="F40" s="69">
        <v>40</v>
      </c>
      <c r="G40" s="69">
        <v>213.2</v>
      </c>
      <c r="H40" s="70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hidden="1" customHeight="1">
      <c r="A41" s="30">
        <v>10</v>
      </c>
      <c r="B41" s="67" t="s">
        <v>72</v>
      </c>
      <c r="C41" s="68" t="s">
        <v>29</v>
      </c>
      <c r="D41" s="67" t="s">
        <v>126</v>
      </c>
      <c r="E41" s="69">
        <v>260.13</v>
      </c>
      <c r="F41" s="69">
        <f>SUM(E41*155/1000)</f>
        <v>40.320149999999998</v>
      </c>
      <c r="G41" s="69">
        <v>374.95</v>
      </c>
      <c r="H41" s="70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hidden="1" customHeight="1">
      <c r="A42" s="30">
        <v>11</v>
      </c>
      <c r="B42" s="67" t="s">
        <v>88</v>
      </c>
      <c r="C42" s="68" t="s">
        <v>120</v>
      </c>
      <c r="D42" s="67" t="s">
        <v>127</v>
      </c>
      <c r="E42" s="69">
        <v>132.72999999999999</v>
      </c>
      <c r="F42" s="69">
        <f>SUM(E42*35/1000)</f>
        <v>4.6455499999999992</v>
      </c>
      <c r="G42" s="69">
        <v>6203.7</v>
      </c>
      <c r="H42" s="70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hidden="1" customHeight="1">
      <c r="A43" s="30">
        <v>12</v>
      </c>
      <c r="B43" s="67" t="s">
        <v>128</v>
      </c>
      <c r="C43" s="68" t="s">
        <v>120</v>
      </c>
      <c r="D43" s="67" t="s">
        <v>73</v>
      </c>
      <c r="E43" s="69">
        <v>254.8</v>
      </c>
      <c r="F43" s="69">
        <f>SUM(E43*45/1000)</f>
        <v>11.465999999999999</v>
      </c>
      <c r="G43" s="69">
        <v>458.28</v>
      </c>
      <c r="H43" s="70">
        <f t="shared" si="3"/>
        <v>5.2546384799999997</v>
      </c>
      <c r="I43" s="13">
        <f>F43/6*G43</f>
        <v>875.77307999999982</v>
      </c>
      <c r="J43" s="24"/>
      <c r="L43" s="20"/>
      <c r="M43" s="21"/>
      <c r="N43" s="22"/>
    </row>
    <row r="44" spans="1:14" ht="15.75" hidden="1" customHeight="1">
      <c r="A44" s="30">
        <v>13</v>
      </c>
      <c r="B44" s="67" t="s">
        <v>74</v>
      </c>
      <c r="C44" s="68" t="s">
        <v>34</v>
      </c>
      <c r="D44" s="67"/>
      <c r="E44" s="50"/>
      <c r="F44" s="69">
        <v>0.9</v>
      </c>
      <c r="G44" s="69">
        <v>853.06</v>
      </c>
      <c r="H44" s="70">
        <f t="shared" si="3"/>
        <v>0.76775400000000005</v>
      </c>
      <c r="I44" s="13">
        <f>F44/6*G44</f>
        <v>127.95899999999999</v>
      </c>
      <c r="J44" s="24"/>
      <c r="L44" s="20"/>
      <c r="M44" s="21"/>
      <c r="N44" s="22"/>
    </row>
    <row r="45" spans="1:14" ht="15.75" hidden="1" customHeight="1">
      <c r="A45" s="144" t="s">
        <v>149</v>
      </c>
      <c r="B45" s="145"/>
      <c r="C45" s="145"/>
      <c r="D45" s="145"/>
      <c r="E45" s="145"/>
      <c r="F45" s="145"/>
      <c r="G45" s="145"/>
      <c r="H45" s="145"/>
      <c r="I45" s="146"/>
      <c r="J45" s="24"/>
      <c r="L45" s="20"/>
      <c r="M45" s="21"/>
      <c r="N45" s="22"/>
    </row>
    <row r="46" spans="1:14" ht="15.75" hidden="1" customHeight="1">
      <c r="A46" s="30"/>
      <c r="B46" s="67" t="s">
        <v>143</v>
      </c>
      <c r="C46" s="68" t="s">
        <v>120</v>
      </c>
      <c r="D46" s="67" t="s">
        <v>44</v>
      </c>
      <c r="E46" s="50">
        <v>1795.9</v>
      </c>
      <c r="F46" s="69">
        <f>SUM(E46*2/1000)</f>
        <v>3.5918000000000001</v>
      </c>
      <c r="G46" s="13">
        <v>865.61</v>
      </c>
      <c r="H46" s="70">
        <f t="shared" ref="H46:H55" si="4">SUM(F46*G46/1000)</f>
        <v>3.1090979980000002</v>
      </c>
      <c r="I46" s="13">
        <v>0</v>
      </c>
      <c r="J46" s="24"/>
      <c r="L46" s="20"/>
      <c r="M46" s="21"/>
      <c r="N46" s="22"/>
    </row>
    <row r="47" spans="1:14" ht="15.75" hidden="1" customHeight="1">
      <c r="A47" s="30"/>
      <c r="B47" s="67" t="s">
        <v>37</v>
      </c>
      <c r="C47" s="68" t="s">
        <v>120</v>
      </c>
      <c r="D47" s="67" t="s">
        <v>44</v>
      </c>
      <c r="E47" s="50">
        <v>104</v>
      </c>
      <c r="F47" s="69">
        <f>SUM(E47*2/1000)</f>
        <v>0.20799999999999999</v>
      </c>
      <c r="G47" s="13">
        <v>619.46</v>
      </c>
      <c r="H47" s="70">
        <f t="shared" si="4"/>
        <v>0.12884767999999999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30"/>
      <c r="B48" s="67" t="s">
        <v>38</v>
      </c>
      <c r="C48" s="68" t="s">
        <v>120</v>
      </c>
      <c r="D48" s="67" t="s">
        <v>44</v>
      </c>
      <c r="E48" s="50">
        <v>1996.87</v>
      </c>
      <c r="F48" s="69">
        <f>SUM(E48*2/1000)</f>
        <v>3.9937399999999998</v>
      </c>
      <c r="G48" s="13">
        <v>619.46</v>
      </c>
      <c r="H48" s="70">
        <f t="shared" si="4"/>
        <v>2.4739621804</v>
      </c>
      <c r="I48" s="13">
        <v>0</v>
      </c>
      <c r="J48" s="24"/>
      <c r="L48" s="20"/>
      <c r="M48" s="21"/>
      <c r="N48" s="22"/>
    </row>
    <row r="49" spans="1:22" ht="15.75" hidden="1" customHeight="1">
      <c r="A49" s="30"/>
      <c r="B49" s="67" t="s">
        <v>39</v>
      </c>
      <c r="C49" s="68" t="s">
        <v>120</v>
      </c>
      <c r="D49" s="67" t="s">
        <v>44</v>
      </c>
      <c r="E49" s="50">
        <v>2630.35</v>
      </c>
      <c r="F49" s="69">
        <f>SUM(E49*2/1000)</f>
        <v>5.2606999999999999</v>
      </c>
      <c r="G49" s="13">
        <v>648.64</v>
      </c>
      <c r="H49" s="70">
        <f t="shared" si="4"/>
        <v>3.4123004479999999</v>
      </c>
      <c r="I49" s="13">
        <v>0</v>
      </c>
      <c r="J49" s="24"/>
      <c r="L49" s="20"/>
      <c r="M49" s="21"/>
      <c r="N49" s="22"/>
    </row>
    <row r="50" spans="1:22" ht="15.75" hidden="1" customHeight="1">
      <c r="A50" s="30"/>
      <c r="B50" s="67" t="s">
        <v>35</v>
      </c>
      <c r="C50" s="68" t="s">
        <v>36</v>
      </c>
      <c r="D50" s="67" t="s">
        <v>44</v>
      </c>
      <c r="E50" s="50">
        <v>131.47</v>
      </c>
      <c r="F50" s="69">
        <f>SUM(E50*2/100)</f>
        <v>2.6294</v>
      </c>
      <c r="G50" s="13">
        <v>77.84</v>
      </c>
      <c r="H50" s="70">
        <f t="shared" si="4"/>
        <v>0.20467249599999998</v>
      </c>
      <c r="I50" s="13">
        <v>0</v>
      </c>
      <c r="J50" s="24"/>
      <c r="L50" s="20"/>
      <c r="M50" s="21"/>
      <c r="N50" s="22"/>
    </row>
    <row r="51" spans="1:22" ht="15.75" hidden="1" customHeight="1">
      <c r="A51" s="30">
        <v>14</v>
      </c>
      <c r="B51" s="67" t="s">
        <v>60</v>
      </c>
      <c r="C51" s="68" t="s">
        <v>120</v>
      </c>
      <c r="D51" s="67" t="s">
        <v>168</v>
      </c>
      <c r="E51" s="50">
        <v>2872.4</v>
      </c>
      <c r="F51" s="69">
        <f>SUM(E51*5/1000)</f>
        <v>14.362</v>
      </c>
      <c r="G51" s="13">
        <v>1297.28</v>
      </c>
      <c r="H51" s="70">
        <f t="shared" si="4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22" ht="31.5" hidden="1" customHeight="1">
      <c r="A52" s="30"/>
      <c r="B52" s="67" t="s">
        <v>129</v>
      </c>
      <c r="C52" s="68" t="s">
        <v>120</v>
      </c>
      <c r="D52" s="67" t="s">
        <v>44</v>
      </c>
      <c r="E52" s="50">
        <v>2872.4</v>
      </c>
      <c r="F52" s="69">
        <f>SUM(E52*2/1000)</f>
        <v>5.7448000000000006</v>
      </c>
      <c r="G52" s="13">
        <v>1297.28</v>
      </c>
      <c r="H52" s="70">
        <f t="shared" si="4"/>
        <v>7.4526141440000009</v>
      </c>
      <c r="I52" s="13">
        <v>0</v>
      </c>
      <c r="J52" s="24"/>
      <c r="L52" s="20"/>
      <c r="M52" s="21"/>
      <c r="N52" s="22"/>
    </row>
    <row r="53" spans="1:22" ht="31.5" hidden="1" customHeight="1">
      <c r="A53" s="30"/>
      <c r="B53" s="67" t="s">
        <v>130</v>
      </c>
      <c r="C53" s="68" t="s">
        <v>40</v>
      </c>
      <c r="D53" s="67" t="s">
        <v>44</v>
      </c>
      <c r="E53" s="50">
        <v>40</v>
      </c>
      <c r="F53" s="69">
        <f>SUM(E53*2/100)</f>
        <v>0.8</v>
      </c>
      <c r="G53" s="13">
        <v>2918.89</v>
      </c>
      <c r="H53" s="70">
        <f t="shared" si="4"/>
        <v>2.3351120000000001</v>
      </c>
      <c r="I53" s="13">
        <v>0</v>
      </c>
      <c r="J53" s="24"/>
      <c r="L53" s="20"/>
      <c r="M53" s="21"/>
      <c r="N53" s="22"/>
    </row>
    <row r="54" spans="1:22" ht="15.75" hidden="1" customHeight="1">
      <c r="A54" s="30"/>
      <c r="B54" s="67" t="s">
        <v>41</v>
      </c>
      <c r="C54" s="68" t="s">
        <v>42</v>
      </c>
      <c r="D54" s="67" t="s">
        <v>44</v>
      </c>
      <c r="E54" s="50">
        <v>1</v>
      </c>
      <c r="F54" s="69">
        <v>0.02</v>
      </c>
      <c r="G54" s="13">
        <v>6042.12</v>
      </c>
      <c r="H54" s="70">
        <f t="shared" si="4"/>
        <v>0.1208424</v>
      </c>
      <c r="I54" s="13">
        <v>0</v>
      </c>
      <c r="J54" s="24"/>
      <c r="L54" s="20"/>
      <c r="M54" s="21"/>
      <c r="N54" s="22"/>
    </row>
    <row r="55" spans="1:22" ht="15.75" hidden="1" customHeight="1">
      <c r="A55" s="30">
        <v>11</v>
      </c>
      <c r="B55" s="67" t="s">
        <v>43</v>
      </c>
      <c r="C55" s="68" t="s">
        <v>31</v>
      </c>
      <c r="D55" s="67" t="s">
        <v>75</v>
      </c>
      <c r="E55" s="50">
        <v>160</v>
      </c>
      <c r="F55" s="69">
        <f>SUM(E55)*3</f>
        <v>480</v>
      </c>
      <c r="G55" s="13">
        <v>70.209999999999994</v>
      </c>
      <c r="H55" s="70">
        <f t="shared" si="4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22" ht="15.75" customHeight="1">
      <c r="A56" s="144" t="s">
        <v>171</v>
      </c>
      <c r="B56" s="145"/>
      <c r="C56" s="145"/>
      <c r="D56" s="145"/>
      <c r="E56" s="145"/>
      <c r="F56" s="145"/>
      <c r="G56" s="145"/>
      <c r="H56" s="145"/>
      <c r="I56" s="146"/>
      <c r="J56" s="24"/>
      <c r="L56" s="20"/>
      <c r="M56" s="21"/>
      <c r="N56" s="22"/>
    </row>
    <row r="57" spans="1:22" ht="15.75" hidden="1" customHeight="1">
      <c r="A57" s="30"/>
      <c r="B57" s="89" t="s">
        <v>45</v>
      </c>
      <c r="C57" s="68"/>
      <c r="D57" s="67"/>
      <c r="E57" s="50"/>
      <c r="F57" s="69"/>
      <c r="G57" s="69"/>
      <c r="H57" s="70"/>
      <c r="I57" s="13"/>
      <c r="J57" s="24"/>
      <c r="L57" s="20"/>
      <c r="M57" s="21"/>
      <c r="N57" s="22"/>
    </row>
    <row r="58" spans="1:22" ht="31.5" hidden="1" customHeight="1">
      <c r="A58" s="30">
        <v>16</v>
      </c>
      <c r="B58" s="67" t="s">
        <v>132</v>
      </c>
      <c r="C58" s="68" t="s">
        <v>111</v>
      </c>
      <c r="D58" s="67" t="s">
        <v>76</v>
      </c>
      <c r="E58" s="50">
        <v>239.59</v>
      </c>
      <c r="F58" s="69">
        <f>E58*6/100</f>
        <v>14.375399999999999</v>
      </c>
      <c r="G58" s="76">
        <v>1654.04</v>
      </c>
      <c r="H58" s="70">
        <f>F58*G58/1000</f>
        <v>23.777486615999997</v>
      </c>
      <c r="I58" s="13">
        <f>F58/6*G58</f>
        <v>3962.9144359999996</v>
      </c>
      <c r="J58" s="24"/>
      <c r="L58" s="20"/>
      <c r="M58" s="21"/>
      <c r="N58" s="22"/>
    </row>
    <row r="59" spans="1:22" ht="15.75" customHeight="1">
      <c r="A59" s="30"/>
      <c r="B59" s="90" t="s">
        <v>46</v>
      </c>
      <c r="C59" s="77"/>
      <c r="D59" s="78"/>
      <c r="E59" s="79"/>
      <c r="F59" s="81"/>
      <c r="G59" s="13"/>
      <c r="H59" s="83"/>
      <c r="I59" s="13"/>
      <c r="J59" s="24"/>
      <c r="L59" s="20"/>
      <c r="M59" s="21"/>
      <c r="N59" s="22"/>
    </row>
    <row r="60" spans="1:22" ht="15.75" hidden="1" customHeight="1">
      <c r="A60" s="30"/>
      <c r="B60" s="78" t="s">
        <v>47</v>
      </c>
      <c r="C60" s="77" t="s">
        <v>56</v>
      </c>
      <c r="D60" s="78" t="s">
        <v>57</v>
      </c>
      <c r="E60" s="79">
        <v>2686</v>
      </c>
      <c r="F60" s="81">
        <f>E60/100</f>
        <v>26.86</v>
      </c>
      <c r="G60" s="13">
        <v>848.37</v>
      </c>
      <c r="H60" s="83">
        <f>G60*F60/1000</f>
        <v>22.787218199999998</v>
      </c>
      <c r="I60" s="13">
        <v>0</v>
      </c>
      <c r="J60" s="24"/>
      <c r="L60" s="20"/>
    </row>
    <row r="61" spans="1:22" ht="15.75" customHeight="1">
      <c r="A61" s="30">
        <v>11</v>
      </c>
      <c r="B61" s="78" t="s">
        <v>103</v>
      </c>
      <c r="C61" s="77" t="s">
        <v>25</v>
      </c>
      <c r="D61" s="78" t="s">
        <v>30</v>
      </c>
      <c r="E61" s="79">
        <v>343</v>
      </c>
      <c r="F61" s="81">
        <v>4116</v>
      </c>
      <c r="G61" s="13">
        <v>1.2</v>
      </c>
      <c r="H61" s="83">
        <f>F61*G61</f>
        <v>4939.2</v>
      </c>
      <c r="I61" s="13">
        <f>F61/12*G61</f>
        <v>411.59999999999997</v>
      </c>
    </row>
    <row r="62" spans="1:22" ht="15.75" hidden="1" customHeight="1">
      <c r="A62" s="30"/>
      <c r="B62" s="90" t="s">
        <v>144</v>
      </c>
      <c r="C62" s="77"/>
      <c r="D62" s="78"/>
      <c r="E62" s="79"/>
      <c r="F62" s="81"/>
      <c r="G62" s="13"/>
      <c r="H62" s="83"/>
      <c r="I62" s="13"/>
    </row>
    <row r="63" spans="1:22" ht="15.75" hidden="1" customHeight="1">
      <c r="A63" s="30"/>
      <c r="B63" s="78" t="s">
        <v>145</v>
      </c>
      <c r="C63" s="77" t="s">
        <v>31</v>
      </c>
      <c r="D63" s="78" t="s">
        <v>71</v>
      </c>
      <c r="E63" s="79">
        <v>3</v>
      </c>
      <c r="F63" s="80">
        <v>3</v>
      </c>
      <c r="G63" s="82">
        <v>254.16</v>
      </c>
      <c r="H63" s="81">
        <v>0.76200000000000001</v>
      </c>
      <c r="I63" s="13">
        <v>0</v>
      </c>
    </row>
    <row r="64" spans="1:22" ht="13.5" customHeight="1">
      <c r="A64" s="30"/>
      <c r="B64" s="90" t="s">
        <v>48</v>
      </c>
      <c r="C64" s="77"/>
      <c r="D64" s="78"/>
      <c r="E64" s="79"/>
      <c r="F64" s="80"/>
      <c r="G64" s="80"/>
      <c r="H64" s="81" t="s">
        <v>139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9.5" customHeight="1">
      <c r="A65" s="30">
        <v>12</v>
      </c>
      <c r="B65" s="14" t="s">
        <v>49</v>
      </c>
      <c r="C65" s="16" t="s">
        <v>131</v>
      </c>
      <c r="D65" s="78" t="s">
        <v>71</v>
      </c>
      <c r="E65" s="19">
        <v>15</v>
      </c>
      <c r="F65" s="69">
        <v>15</v>
      </c>
      <c r="G65" s="13">
        <v>237.74</v>
      </c>
      <c r="H65" s="84">
        <f t="shared" ref="H65:H78" si="5">SUM(F65*G65/1000)</f>
        <v>3.5661000000000005</v>
      </c>
      <c r="I65" s="13">
        <f>G65*1</f>
        <v>237.74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23.25" hidden="1" customHeight="1">
      <c r="A66" s="30"/>
      <c r="B66" s="14" t="s">
        <v>50</v>
      </c>
      <c r="C66" s="16" t="s">
        <v>131</v>
      </c>
      <c r="D66" s="78" t="s">
        <v>71</v>
      </c>
      <c r="E66" s="19">
        <v>5</v>
      </c>
      <c r="F66" s="69">
        <v>5</v>
      </c>
      <c r="G66" s="13">
        <v>81.510000000000005</v>
      </c>
      <c r="H66" s="84">
        <f t="shared" si="5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24" hidden="1" customHeight="1">
      <c r="A67" s="30"/>
      <c r="B67" s="14" t="s">
        <v>51</v>
      </c>
      <c r="C67" s="16" t="s">
        <v>133</v>
      </c>
      <c r="D67" s="14" t="s">
        <v>57</v>
      </c>
      <c r="E67" s="50">
        <v>24123</v>
      </c>
      <c r="F67" s="13">
        <f>SUM(E67/100)</f>
        <v>241.23</v>
      </c>
      <c r="G67" s="13">
        <v>226.79</v>
      </c>
      <c r="H67" s="84">
        <f t="shared" si="5"/>
        <v>54.708551699999994</v>
      </c>
      <c r="I67" s="13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140"/>
      <c r="S67" s="140"/>
      <c r="T67" s="140"/>
      <c r="U67" s="140"/>
    </row>
    <row r="68" spans="1:21" ht="24" hidden="1" customHeight="1">
      <c r="A68" s="30"/>
      <c r="B68" s="14" t="s">
        <v>52</v>
      </c>
      <c r="C68" s="16" t="s">
        <v>134</v>
      </c>
      <c r="D68" s="14"/>
      <c r="E68" s="50">
        <v>24123</v>
      </c>
      <c r="F68" s="13">
        <f>SUM(E68/1000)</f>
        <v>24.123000000000001</v>
      </c>
      <c r="G68" s="13">
        <v>176.61</v>
      </c>
      <c r="H68" s="84">
        <f t="shared" si="5"/>
        <v>4.2603630300000006</v>
      </c>
      <c r="I68" s="13">
        <f t="shared" ref="I68:I72" si="6">F68*G68</f>
        <v>4260.3630300000004</v>
      </c>
    </row>
    <row r="69" spans="1:21" ht="18" hidden="1" customHeight="1">
      <c r="A69" s="30"/>
      <c r="B69" s="14" t="s">
        <v>53</v>
      </c>
      <c r="C69" s="16" t="s">
        <v>81</v>
      </c>
      <c r="D69" s="14" t="s">
        <v>57</v>
      </c>
      <c r="E69" s="50">
        <v>2730</v>
      </c>
      <c r="F69" s="13">
        <f>SUM(E69/100)</f>
        <v>27.3</v>
      </c>
      <c r="G69" s="13">
        <v>2217.7800000000002</v>
      </c>
      <c r="H69" s="84">
        <f t="shared" si="5"/>
        <v>60.545394000000009</v>
      </c>
      <c r="I69" s="13">
        <f t="shared" si="6"/>
        <v>60545.394000000008</v>
      </c>
    </row>
    <row r="70" spans="1:21" ht="19.5" hidden="1" customHeight="1">
      <c r="A70" s="30"/>
      <c r="B70" s="85" t="s">
        <v>135</v>
      </c>
      <c r="C70" s="16" t="s">
        <v>34</v>
      </c>
      <c r="D70" s="14"/>
      <c r="E70" s="50">
        <v>23</v>
      </c>
      <c r="F70" s="13">
        <f>SUM(E70)</f>
        <v>23</v>
      </c>
      <c r="G70" s="13">
        <v>42.67</v>
      </c>
      <c r="H70" s="84">
        <f t="shared" si="5"/>
        <v>0.98141000000000012</v>
      </c>
      <c r="I70" s="13">
        <f t="shared" si="6"/>
        <v>981.41000000000008</v>
      </c>
    </row>
    <row r="71" spans="1:21" ht="18" hidden="1" customHeight="1">
      <c r="A71" s="30"/>
      <c r="B71" s="85" t="s">
        <v>136</v>
      </c>
      <c r="C71" s="16" t="s">
        <v>34</v>
      </c>
      <c r="D71" s="14"/>
      <c r="E71" s="50">
        <v>23</v>
      </c>
      <c r="F71" s="13">
        <f>SUM(E71)</f>
        <v>23</v>
      </c>
      <c r="G71" s="13">
        <v>39.81</v>
      </c>
      <c r="H71" s="84">
        <f t="shared" si="5"/>
        <v>0.91563000000000005</v>
      </c>
      <c r="I71" s="13">
        <f t="shared" si="6"/>
        <v>915.63000000000011</v>
      </c>
    </row>
    <row r="72" spans="1:21" ht="14.25" hidden="1" customHeight="1">
      <c r="A72" s="30"/>
      <c r="B72" s="14" t="s">
        <v>61</v>
      </c>
      <c r="C72" s="16" t="s">
        <v>62</v>
      </c>
      <c r="D72" s="14" t="s">
        <v>57</v>
      </c>
      <c r="E72" s="19">
        <v>10</v>
      </c>
      <c r="F72" s="69">
        <f>SUM(E72)</f>
        <v>10</v>
      </c>
      <c r="G72" s="13">
        <v>53.32</v>
      </c>
      <c r="H72" s="84">
        <f t="shared" si="5"/>
        <v>0.53320000000000001</v>
      </c>
      <c r="I72" s="13">
        <f t="shared" si="6"/>
        <v>533.20000000000005</v>
      </c>
    </row>
    <row r="73" spans="1:21" ht="17.25" customHeight="1">
      <c r="A73" s="30"/>
      <c r="B73" s="57" t="s">
        <v>77</v>
      </c>
      <c r="C73" s="16"/>
      <c r="D73" s="14"/>
      <c r="E73" s="19"/>
      <c r="F73" s="13"/>
      <c r="G73" s="13"/>
      <c r="H73" s="84" t="s">
        <v>139</v>
      </c>
      <c r="I73" s="13"/>
    </row>
    <row r="74" spans="1:21" ht="20.25" customHeight="1">
      <c r="A74" s="30">
        <v>13</v>
      </c>
      <c r="B74" s="14" t="s">
        <v>78</v>
      </c>
      <c r="C74" s="16" t="s">
        <v>32</v>
      </c>
      <c r="D74" s="14"/>
      <c r="E74" s="19">
        <v>2</v>
      </c>
      <c r="F74" s="61">
        <v>0.2</v>
      </c>
      <c r="G74" s="13">
        <v>536.23</v>
      </c>
      <c r="H74" s="84">
        <v>0.251</v>
      </c>
      <c r="I74" s="13">
        <f>G74*0.4</f>
        <v>214.49200000000002</v>
      </c>
    </row>
    <row r="75" spans="1:21" ht="21" hidden="1" customHeight="1">
      <c r="A75" s="30"/>
      <c r="B75" s="14" t="s">
        <v>94</v>
      </c>
      <c r="C75" s="16" t="s">
        <v>31</v>
      </c>
      <c r="D75" s="14"/>
      <c r="E75" s="19">
        <v>1</v>
      </c>
      <c r="F75" s="69">
        <f>SUM(E75)</f>
        <v>1</v>
      </c>
      <c r="G75" s="13">
        <v>383.25</v>
      </c>
      <c r="H75" s="84">
        <f t="shared" si="5"/>
        <v>0.38324999999999998</v>
      </c>
      <c r="I75" s="13">
        <v>0</v>
      </c>
    </row>
    <row r="76" spans="1:21" ht="24" hidden="1" customHeight="1">
      <c r="A76" s="30"/>
      <c r="B76" s="14" t="s">
        <v>79</v>
      </c>
      <c r="C76" s="16" t="s">
        <v>31</v>
      </c>
      <c r="D76" s="14"/>
      <c r="E76" s="19">
        <v>2</v>
      </c>
      <c r="F76" s="13">
        <v>2</v>
      </c>
      <c r="G76" s="13">
        <v>911.85</v>
      </c>
      <c r="H76" s="84">
        <f>F76*G76/1000</f>
        <v>1.8237000000000001</v>
      </c>
      <c r="I76" s="13">
        <v>0</v>
      </c>
    </row>
    <row r="77" spans="1:21" ht="23.25" hidden="1" customHeight="1">
      <c r="A77" s="30"/>
      <c r="B77" s="86" t="s">
        <v>80</v>
      </c>
      <c r="C77" s="16"/>
      <c r="D77" s="14"/>
      <c r="E77" s="19"/>
      <c r="F77" s="13"/>
      <c r="G77" s="13" t="s">
        <v>139</v>
      </c>
      <c r="H77" s="84" t="s">
        <v>139</v>
      </c>
      <c r="I77" s="13"/>
    </row>
    <row r="78" spans="1:21" ht="23.25" hidden="1" customHeight="1">
      <c r="A78" s="30"/>
      <c r="B78" s="45" t="s">
        <v>140</v>
      </c>
      <c r="C78" s="16" t="s">
        <v>81</v>
      </c>
      <c r="D78" s="14"/>
      <c r="E78" s="19"/>
      <c r="F78" s="13">
        <v>1.35</v>
      </c>
      <c r="G78" s="13">
        <v>2949.85</v>
      </c>
      <c r="H78" s="84">
        <f t="shared" si="5"/>
        <v>3.9822975</v>
      </c>
      <c r="I78" s="13">
        <v>0</v>
      </c>
    </row>
    <row r="79" spans="1:21" ht="21.75" hidden="1" customHeight="1">
      <c r="A79" s="30"/>
      <c r="B79" s="72" t="s">
        <v>137</v>
      </c>
      <c r="C79" s="86"/>
      <c r="D79" s="32"/>
      <c r="E79" s="33"/>
      <c r="F79" s="73"/>
      <c r="G79" s="73"/>
      <c r="H79" s="87">
        <f>SUM(H58:H78)</f>
        <v>5118.885151045999</v>
      </c>
      <c r="I79" s="73"/>
    </row>
    <row r="80" spans="1:21" ht="20.25" hidden="1" customHeight="1">
      <c r="A80" s="30"/>
      <c r="B80" s="67" t="s">
        <v>138</v>
      </c>
      <c r="C80" s="16"/>
      <c r="D80" s="14"/>
      <c r="E80" s="62"/>
      <c r="F80" s="13">
        <v>1</v>
      </c>
      <c r="G80" s="13">
        <v>19342.2</v>
      </c>
      <c r="H80" s="84">
        <f>G80*F80/1000</f>
        <v>19.342200000000002</v>
      </c>
      <c r="I80" s="13">
        <v>0</v>
      </c>
    </row>
    <row r="81" spans="1:9" ht="15.75" customHeight="1">
      <c r="A81" s="153" t="s">
        <v>172</v>
      </c>
      <c r="B81" s="154"/>
      <c r="C81" s="154"/>
      <c r="D81" s="154"/>
      <c r="E81" s="154"/>
      <c r="F81" s="154"/>
      <c r="G81" s="154"/>
      <c r="H81" s="154"/>
      <c r="I81" s="155"/>
    </row>
    <row r="82" spans="1:9" ht="15.75" customHeight="1">
      <c r="A82" s="30">
        <v>14</v>
      </c>
      <c r="B82" s="67" t="s">
        <v>141</v>
      </c>
      <c r="C82" s="16" t="s">
        <v>58</v>
      </c>
      <c r="D82" s="88" t="s">
        <v>59</v>
      </c>
      <c r="E82" s="13">
        <v>4591.2</v>
      </c>
      <c r="F82" s="13">
        <f>SUM(E82*12)</f>
        <v>55094.399999999994</v>
      </c>
      <c r="G82" s="13">
        <v>2.54</v>
      </c>
      <c r="H82" s="84">
        <f>SUM(F82*G82/1000)</f>
        <v>139.93977599999999</v>
      </c>
      <c r="I82" s="13">
        <f>F82/12*G82</f>
        <v>11661.647999999999</v>
      </c>
    </row>
    <row r="83" spans="1:9" ht="31.5" customHeight="1">
      <c r="A83" s="30">
        <v>15</v>
      </c>
      <c r="B83" s="14" t="s">
        <v>82</v>
      </c>
      <c r="C83" s="16"/>
      <c r="D83" s="88" t="s">
        <v>59</v>
      </c>
      <c r="E83" s="50">
        <f>E82</f>
        <v>4591.2</v>
      </c>
      <c r="F83" s="13">
        <f>E83*12</f>
        <v>55094.399999999994</v>
      </c>
      <c r="G83" s="13">
        <v>2.0499999999999998</v>
      </c>
      <c r="H83" s="84">
        <f>F83*G83/1000</f>
        <v>112.94351999999998</v>
      </c>
      <c r="I83" s="13">
        <f>F83/12*G83</f>
        <v>9411.9599999999991</v>
      </c>
    </row>
    <row r="84" spans="1:9" ht="15.75" customHeight="1">
      <c r="A84" s="46"/>
      <c r="B84" s="37" t="s">
        <v>85</v>
      </c>
      <c r="C84" s="38"/>
      <c r="D84" s="15"/>
      <c r="E84" s="15"/>
      <c r="F84" s="15"/>
      <c r="G84" s="19"/>
      <c r="H84" s="19"/>
      <c r="I84" s="33">
        <f>I83+I82+I74+I65+I61+I34+I33+I31+I30+I27+I26+I20+I18+I17+I16</f>
        <v>73202.690136199977</v>
      </c>
    </row>
    <row r="85" spans="1:9" ht="15.75" customHeight="1">
      <c r="A85" s="150" t="s">
        <v>64</v>
      </c>
      <c r="B85" s="151"/>
      <c r="C85" s="151"/>
      <c r="D85" s="151"/>
      <c r="E85" s="151"/>
      <c r="F85" s="151"/>
      <c r="G85" s="151"/>
      <c r="H85" s="151"/>
      <c r="I85" s="152"/>
    </row>
    <row r="86" spans="1:9" ht="15.75" customHeight="1">
      <c r="A86" s="30">
        <v>16</v>
      </c>
      <c r="B86" s="98" t="s">
        <v>284</v>
      </c>
      <c r="C86" s="99" t="s">
        <v>131</v>
      </c>
      <c r="D86" s="45"/>
      <c r="E86" s="35"/>
      <c r="F86" s="35">
        <f>124/3</f>
        <v>41.333333333333336</v>
      </c>
      <c r="G86" s="35">
        <v>72.94</v>
      </c>
      <c r="H86" s="100">
        <f t="shared" ref="H86:H88" si="7">G86*F86/1000</f>
        <v>3.0148533333333334</v>
      </c>
      <c r="I86" s="13">
        <f>G86*1</f>
        <v>72.94</v>
      </c>
    </row>
    <row r="87" spans="1:9" ht="33.75" customHeight="1">
      <c r="A87" s="30">
        <v>17</v>
      </c>
      <c r="B87" s="98" t="s">
        <v>224</v>
      </c>
      <c r="C87" s="99" t="s">
        <v>86</v>
      </c>
      <c r="D87" s="45"/>
      <c r="E87" s="35"/>
      <c r="F87" s="35">
        <v>11</v>
      </c>
      <c r="G87" s="35">
        <v>1365</v>
      </c>
      <c r="H87" s="100">
        <f t="shared" si="7"/>
        <v>15.015000000000001</v>
      </c>
      <c r="I87" s="13">
        <f>G87*2</f>
        <v>2730</v>
      </c>
    </row>
    <row r="88" spans="1:9" ht="15.75" customHeight="1">
      <c r="A88" s="30">
        <v>18</v>
      </c>
      <c r="B88" s="98" t="s">
        <v>285</v>
      </c>
      <c r="C88" s="99" t="s">
        <v>131</v>
      </c>
      <c r="D88" s="101"/>
      <c r="E88" s="35"/>
      <c r="F88" s="35">
        <v>3</v>
      </c>
      <c r="G88" s="35">
        <v>225.51</v>
      </c>
      <c r="H88" s="100">
        <f t="shared" si="7"/>
        <v>0.67652999999999996</v>
      </c>
      <c r="I88" s="13">
        <f>G88*2</f>
        <v>451.02</v>
      </c>
    </row>
    <row r="89" spans="1:9" ht="16.5" customHeight="1">
      <c r="A89" s="30">
        <v>19</v>
      </c>
      <c r="B89" s="98" t="s">
        <v>87</v>
      </c>
      <c r="C89" s="99" t="s">
        <v>131</v>
      </c>
      <c r="D89" s="45"/>
      <c r="E89" s="35"/>
      <c r="F89" s="35">
        <v>3</v>
      </c>
      <c r="G89" s="35">
        <v>197.48</v>
      </c>
      <c r="H89" s="100">
        <f>G89*F89/1000</f>
        <v>0.59243999999999997</v>
      </c>
      <c r="I89" s="13">
        <f>G89*1</f>
        <v>197.48</v>
      </c>
    </row>
    <row r="90" spans="1:9" ht="14.25" customHeight="1">
      <c r="A90" s="30">
        <v>20</v>
      </c>
      <c r="B90" s="98" t="s">
        <v>286</v>
      </c>
      <c r="C90" s="99" t="s">
        <v>131</v>
      </c>
      <c r="D90" s="45"/>
      <c r="E90" s="35"/>
      <c r="F90" s="35"/>
      <c r="G90" s="133">
        <v>4879</v>
      </c>
      <c r="H90" s="100"/>
      <c r="I90" s="13">
        <f>G90*2</f>
        <v>9758</v>
      </c>
    </row>
    <row r="91" spans="1:9" ht="13.5" customHeight="1">
      <c r="A91" s="30">
        <v>21</v>
      </c>
      <c r="B91" s="98" t="s">
        <v>287</v>
      </c>
      <c r="C91" s="102" t="s">
        <v>86</v>
      </c>
      <c r="D91" s="45"/>
      <c r="E91" s="35"/>
      <c r="F91" s="35"/>
      <c r="G91" s="133">
        <v>19.73</v>
      </c>
      <c r="H91" s="100"/>
      <c r="I91" s="13">
        <f>G91*1</f>
        <v>19.73</v>
      </c>
    </row>
    <row r="92" spans="1:9" ht="30" customHeight="1">
      <c r="A92" s="30">
        <v>22</v>
      </c>
      <c r="B92" s="127" t="s">
        <v>231</v>
      </c>
      <c r="C92" s="128" t="s">
        <v>40</v>
      </c>
      <c r="D92" s="45"/>
      <c r="E92" s="35"/>
      <c r="F92" s="35">
        <v>1</v>
      </c>
      <c r="G92" s="133">
        <v>3724.37</v>
      </c>
      <c r="H92" s="100">
        <f>G92*F92/1000</f>
        <v>3.72437</v>
      </c>
      <c r="I92" s="13">
        <f>G92*0.01</f>
        <v>37.243699999999997</v>
      </c>
    </row>
    <row r="93" spans="1:9" ht="31.5" hidden="1" customHeight="1">
      <c r="A93" s="30">
        <v>20</v>
      </c>
      <c r="B93" s="49"/>
      <c r="C93" s="51"/>
      <c r="D93" s="45"/>
      <c r="E93" s="35"/>
      <c r="F93" s="35">
        <v>1.5</v>
      </c>
      <c r="G93" s="35"/>
      <c r="H93" s="100">
        <f t="shared" ref="H93:H94" si="8">G93*F93/1000</f>
        <v>0</v>
      </c>
      <c r="I93" s="13"/>
    </row>
    <row r="94" spans="1:9" ht="31.5" hidden="1" customHeight="1">
      <c r="A94" s="30">
        <v>21</v>
      </c>
      <c r="B94" s="98"/>
      <c r="C94" s="99"/>
      <c r="D94" s="45"/>
      <c r="E94" s="35"/>
      <c r="F94" s="35">
        <v>1</v>
      </c>
      <c r="G94" s="35"/>
      <c r="H94" s="100">
        <f t="shared" si="8"/>
        <v>0</v>
      </c>
      <c r="I94" s="13"/>
    </row>
    <row r="95" spans="1:9" ht="18.75" customHeight="1">
      <c r="A95" s="30">
        <v>23</v>
      </c>
      <c r="B95" s="132" t="s">
        <v>289</v>
      </c>
      <c r="C95" s="134" t="s">
        <v>104</v>
      </c>
      <c r="D95" s="16" t="s">
        <v>290</v>
      </c>
      <c r="E95" s="35"/>
      <c r="F95" s="35"/>
      <c r="G95" s="35">
        <v>396.32</v>
      </c>
      <c r="H95" s="100"/>
      <c r="I95" s="13">
        <f>G95*0.175</f>
        <v>69.355999999999995</v>
      </c>
    </row>
    <row r="96" spans="1:9" ht="15.75" customHeight="1">
      <c r="A96" s="30">
        <v>24</v>
      </c>
      <c r="B96" s="49" t="s">
        <v>206</v>
      </c>
      <c r="C96" s="51" t="s">
        <v>207</v>
      </c>
      <c r="D96" s="16"/>
      <c r="E96" s="35"/>
      <c r="F96" s="35"/>
      <c r="G96" s="123">
        <v>134.12</v>
      </c>
      <c r="H96" s="100"/>
      <c r="I96" s="13">
        <f>G96*14</f>
        <v>1877.68</v>
      </c>
    </row>
    <row r="97" spans="1:9" ht="15.75" customHeight="1">
      <c r="A97" s="30">
        <v>25</v>
      </c>
      <c r="B97" s="98" t="s">
        <v>221</v>
      </c>
      <c r="C97" s="99" t="s">
        <v>131</v>
      </c>
      <c r="D97" s="16"/>
      <c r="E97" s="35"/>
      <c r="F97" s="35"/>
      <c r="G97" s="35">
        <v>169.24</v>
      </c>
      <c r="H97" s="100"/>
      <c r="I97" s="13">
        <f>G97*4</f>
        <v>676.96</v>
      </c>
    </row>
    <row r="98" spans="1:9" ht="15.75" customHeight="1">
      <c r="A98" s="30">
        <v>26</v>
      </c>
      <c r="B98" s="98" t="s">
        <v>291</v>
      </c>
      <c r="C98" s="99" t="s">
        <v>99</v>
      </c>
      <c r="D98" s="16"/>
      <c r="E98" s="35"/>
      <c r="F98" s="35"/>
      <c r="G98" s="35">
        <v>5668.72</v>
      </c>
      <c r="H98" s="100"/>
      <c r="I98" s="13">
        <f>G98*1</f>
        <v>5668.72</v>
      </c>
    </row>
    <row r="99" spans="1:9" ht="15.75" customHeight="1">
      <c r="A99" s="30">
        <v>27</v>
      </c>
      <c r="B99" s="98" t="s">
        <v>292</v>
      </c>
      <c r="C99" s="99" t="s">
        <v>89</v>
      </c>
      <c r="D99" s="16"/>
      <c r="E99" s="35"/>
      <c r="F99" s="35"/>
      <c r="G99" s="35">
        <v>246.93</v>
      </c>
      <c r="H99" s="100"/>
      <c r="I99" s="13">
        <f>G99*1</f>
        <v>246.93</v>
      </c>
    </row>
    <row r="100" spans="1:9" ht="15.75" customHeight="1">
      <c r="A100" s="30">
        <v>28</v>
      </c>
      <c r="B100" s="49" t="s">
        <v>183</v>
      </c>
      <c r="C100" s="51" t="s">
        <v>86</v>
      </c>
      <c r="D100" s="16"/>
      <c r="E100" s="35"/>
      <c r="F100" s="35"/>
      <c r="G100" s="35">
        <v>1272</v>
      </c>
      <c r="H100" s="100"/>
      <c r="I100" s="13">
        <f>G100*1.5</f>
        <v>1908</v>
      </c>
    </row>
    <row r="101" spans="1:9" ht="15.75" customHeight="1">
      <c r="A101" s="30">
        <v>29</v>
      </c>
      <c r="B101" s="49" t="s">
        <v>240</v>
      </c>
      <c r="C101" s="51" t="s">
        <v>131</v>
      </c>
      <c r="D101" s="16"/>
      <c r="E101" s="35"/>
      <c r="F101" s="35"/>
      <c r="G101" s="35">
        <v>8.36</v>
      </c>
      <c r="H101" s="100"/>
      <c r="I101" s="13">
        <f>G101*2</f>
        <v>16.72</v>
      </c>
    </row>
    <row r="102" spans="1:9" ht="15.75" customHeight="1">
      <c r="A102" s="30">
        <v>30</v>
      </c>
      <c r="B102" s="49" t="s">
        <v>230</v>
      </c>
      <c r="C102" s="51" t="s">
        <v>131</v>
      </c>
      <c r="D102" s="16"/>
      <c r="E102" s="35"/>
      <c r="F102" s="35"/>
      <c r="G102" s="35">
        <v>5.25</v>
      </c>
      <c r="H102" s="100"/>
      <c r="I102" s="13">
        <f>G102*2</f>
        <v>10.5</v>
      </c>
    </row>
    <row r="103" spans="1:9" ht="15.75" customHeight="1">
      <c r="A103" s="30"/>
      <c r="B103" s="43" t="s">
        <v>54</v>
      </c>
      <c r="C103" s="39"/>
      <c r="D103" s="47"/>
      <c r="E103" s="39">
        <v>1</v>
      </c>
      <c r="F103" s="39"/>
      <c r="G103" s="39"/>
      <c r="H103" s="39"/>
      <c r="I103" s="33">
        <f>SUM(I86:I102)</f>
        <v>23741.279700000003</v>
      </c>
    </row>
    <row r="104" spans="1:9" ht="15.75" customHeight="1">
      <c r="A104" s="30"/>
      <c r="B104" s="45" t="s">
        <v>83</v>
      </c>
      <c r="C104" s="15"/>
      <c r="D104" s="15"/>
      <c r="E104" s="40"/>
      <c r="F104" s="40"/>
      <c r="G104" s="41"/>
      <c r="H104" s="41"/>
      <c r="I104" s="18">
        <v>0</v>
      </c>
    </row>
    <row r="105" spans="1:9" ht="15.75" customHeight="1">
      <c r="A105" s="48"/>
      <c r="B105" s="44" t="s">
        <v>180</v>
      </c>
      <c r="C105" s="34"/>
      <c r="D105" s="34"/>
      <c r="E105" s="34"/>
      <c r="F105" s="34"/>
      <c r="G105" s="34"/>
      <c r="H105" s="34"/>
      <c r="I105" s="42">
        <f>I84+I103</f>
        <v>96943.969836199976</v>
      </c>
    </row>
    <row r="106" spans="1:9" ht="15.75" customHeight="1">
      <c r="A106" s="147" t="s">
        <v>294</v>
      </c>
      <c r="B106" s="147"/>
      <c r="C106" s="147"/>
      <c r="D106" s="147"/>
      <c r="E106" s="147"/>
      <c r="F106" s="147"/>
      <c r="G106" s="147"/>
      <c r="H106" s="147"/>
      <c r="I106" s="147"/>
    </row>
    <row r="107" spans="1:9" ht="15.75" customHeight="1">
      <c r="A107" s="58"/>
      <c r="B107" s="148" t="s">
        <v>295</v>
      </c>
      <c r="C107" s="148"/>
      <c r="D107" s="148"/>
      <c r="E107" s="148"/>
      <c r="F107" s="148"/>
      <c r="G107" s="148"/>
      <c r="H107" s="66"/>
      <c r="I107" s="3"/>
    </row>
    <row r="108" spans="1:9" ht="15.75" customHeight="1">
      <c r="A108" s="52"/>
      <c r="B108" s="138" t="s">
        <v>6</v>
      </c>
      <c r="C108" s="138"/>
      <c r="D108" s="138"/>
      <c r="E108" s="138"/>
      <c r="F108" s="138"/>
      <c r="G108" s="138"/>
      <c r="H108" s="25"/>
      <c r="I108" s="5"/>
    </row>
    <row r="109" spans="1:9" ht="15.75" customHeight="1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5.75" customHeight="1">
      <c r="A110" s="149" t="s">
        <v>7</v>
      </c>
      <c r="B110" s="149"/>
      <c r="C110" s="149"/>
      <c r="D110" s="149"/>
      <c r="E110" s="149"/>
      <c r="F110" s="149"/>
      <c r="G110" s="149"/>
      <c r="H110" s="149"/>
      <c r="I110" s="149"/>
    </row>
    <row r="111" spans="1:9" ht="15.75" customHeight="1">
      <c r="A111" s="149" t="s">
        <v>8</v>
      </c>
      <c r="B111" s="149"/>
      <c r="C111" s="149"/>
      <c r="D111" s="149"/>
      <c r="E111" s="149"/>
      <c r="F111" s="149"/>
      <c r="G111" s="149"/>
      <c r="H111" s="149"/>
      <c r="I111" s="149"/>
    </row>
    <row r="112" spans="1:9" ht="15.75" customHeight="1">
      <c r="A112" s="142" t="s">
        <v>65</v>
      </c>
      <c r="B112" s="142"/>
      <c r="C112" s="142"/>
      <c r="D112" s="142"/>
      <c r="E112" s="142"/>
      <c r="F112" s="142"/>
      <c r="G112" s="142"/>
      <c r="H112" s="142"/>
      <c r="I112" s="142"/>
    </row>
    <row r="113" spans="1:9" ht="15.75" customHeight="1">
      <c r="A113" s="11"/>
    </row>
    <row r="114" spans="1:9" ht="15.75" customHeight="1">
      <c r="A114" s="136" t="s">
        <v>9</v>
      </c>
      <c r="B114" s="136"/>
      <c r="C114" s="136"/>
      <c r="D114" s="136"/>
      <c r="E114" s="136"/>
      <c r="F114" s="136"/>
      <c r="G114" s="136"/>
      <c r="H114" s="136"/>
      <c r="I114" s="136"/>
    </row>
    <row r="115" spans="1:9" ht="15.75" customHeight="1">
      <c r="A115" s="4"/>
    </row>
    <row r="116" spans="1:9" ht="15.75" customHeight="1">
      <c r="B116" s="55" t="s">
        <v>10</v>
      </c>
      <c r="C116" s="137" t="s">
        <v>95</v>
      </c>
      <c r="D116" s="137"/>
      <c r="E116" s="137"/>
      <c r="F116" s="64"/>
      <c r="I116" s="54"/>
    </row>
    <row r="117" spans="1:9" ht="15.75" customHeight="1">
      <c r="A117" s="52"/>
      <c r="C117" s="138" t="s">
        <v>11</v>
      </c>
      <c r="D117" s="138"/>
      <c r="E117" s="138"/>
      <c r="F117" s="25"/>
      <c r="I117" s="53" t="s">
        <v>12</v>
      </c>
    </row>
    <row r="118" spans="1:9" ht="15.75" customHeight="1">
      <c r="A118" s="26"/>
      <c r="C118" s="12"/>
      <c r="D118" s="12"/>
      <c r="G118" s="12"/>
      <c r="H118" s="12"/>
    </row>
    <row r="119" spans="1:9" ht="15.75" customHeight="1">
      <c r="B119" s="55" t="s">
        <v>13</v>
      </c>
      <c r="C119" s="139"/>
      <c r="D119" s="139"/>
      <c r="E119" s="139"/>
      <c r="F119" s="65"/>
      <c r="I119" s="54"/>
    </row>
    <row r="120" spans="1:9" ht="15.75" customHeight="1">
      <c r="A120" s="52"/>
      <c r="C120" s="140" t="s">
        <v>11</v>
      </c>
      <c r="D120" s="140"/>
      <c r="E120" s="140"/>
      <c r="F120" s="52"/>
      <c r="I120" s="53" t="s">
        <v>12</v>
      </c>
    </row>
    <row r="121" spans="1:9" ht="15.75" customHeight="1">
      <c r="A121" s="4" t="s">
        <v>14</v>
      </c>
    </row>
    <row r="122" spans="1:9" ht="15.75" customHeight="1">
      <c r="A122" s="141" t="s">
        <v>15</v>
      </c>
      <c r="B122" s="141"/>
      <c r="C122" s="141"/>
      <c r="D122" s="141"/>
      <c r="E122" s="141"/>
      <c r="F122" s="141"/>
      <c r="G122" s="141"/>
      <c r="H122" s="141"/>
      <c r="I122" s="141"/>
    </row>
    <row r="123" spans="1:9" ht="45" customHeight="1">
      <c r="A123" s="135" t="s">
        <v>16</v>
      </c>
      <c r="B123" s="135"/>
      <c r="C123" s="135"/>
      <c r="D123" s="135"/>
      <c r="E123" s="135"/>
      <c r="F123" s="135"/>
      <c r="G123" s="135"/>
      <c r="H123" s="135"/>
      <c r="I123" s="135"/>
    </row>
    <row r="124" spans="1:9" ht="30" customHeight="1">
      <c r="A124" s="135" t="s">
        <v>17</v>
      </c>
      <c r="B124" s="135"/>
      <c r="C124" s="135"/>
      <c r="D124" s="135"/>
      <c r="E124" s="135"/>
      <c r="F124" s="135"/>
      <c r="G124" s="135"/>
      <c r="H124" s="135"/>
      <c r="I124" s="135"/>
    </row>
    <row r="125" spans="1:9" ht="30" customHeight="1">
      <c r="A125" s="135" t="s">
        <v>21</v>
      </c>
      <c r="B125" s="135"/>
      <c r="C125" s="135"/>
      <c r="D125" s="135"/>
      <c r="E125" s="135"/>
      <c r="F125" s="135"/>
      <c r="G125" s="135"/>
      <c r="H125" s="135"/>
      <c r="I125" s="135"/>
    </row>
    <row r="126" spans="1:9" ht="15" customHeight="1">
      <c r="A126" s="135" t="s">
        <v>20</v>
      </c>
      <c r="B126" s="135"/>
      <c r="C126" s="135"/>
      <c r="D126" s="135"/>
      <c r="E126" s="135"/>
      <c r="F126" s="135"/>
      <c r="G126" s="135"/>
      <c r="H126" s="135"/>
      <c r="I126" s="135"/>
    </row>
  </sheetData>
  <autoFilter ref="I12:I62"/>
  <mergeCells count="29">
    <mergeCell ref="R67:U67"/>
    <mergeCell ref="A81:I81"/>
    <mergeCell ref="A3:I3"/>
    <mergeCell ref="A4:I4"/>
    <mergeCell ref="A5:I5"/>
    <mergeCell ref="A8:I8"/>
    <mergeCell ref="A10:I10"/>
    <mergeCell ref="A14:I14"/>
    <mergeCell ref="A112:I112"/>
    <mergeCell ref="A15:I15"/>
    <mergeCell ref="A28:I28"/>
    <mergeCell ref="A45:I45"/>
    <mergeCell ref="A56:I56"/>
    <mergeCell ref="A106:I106"/>
    <mergeCell ref="B107:G107"/>
    <mergeCell ref="B108:G108"/>
    <mergeCell ref="A110:I110"/>
    <mergeCell ref="A111:I111"/>
    <mergeCell ref="A85:I85"/>
    <mergeCell ref="A123:I123"/>
    <mergeCell ref="A124:I124"/>
    <mergeCell ref="A125:I125"/>
    <mergeCell ref="A126:I126"/>
    <mergeCell ref="A114:I114"/>
    <mergeCell ref="C116:E116"/>
    <mergeCell ref="C117:E117"/>
    <mergeCell ref="C119:E119"/>
    <mergeCell ref="C120:E120"/>
    <mergeCell ref="A122:I12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5"/>
  <sheetViews>
    <sheetView tabSelected="1" view="pageBreakPreview" topLeftCell="A59" zoomScale="60" workbookViewId="0">
      <selection activeCell="J10" sqref="J10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2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270</v>
      </c>
      <c r="I1" s="27"/>
      <c r="J1" s="1"/>
      <c r="K1" s="1"/>
      <c r="L1" s="1"/>
      <c r="M1" s="1"/>
    </row>
    <row r="2" spans="1:13" ht="15.75" customHeight="1">
      <c r="A2" s="29" t="s">
        <v>66</v>
      </c>
      <c r="J2" s="2"/>
      <c r="K2" s="2"/>
      <c r="L2" s="2"/>
      <c r="M2" s="2"/>
    </row>
    <row r="3" spans="1:13" ht="15.75" customHeight="1">
      <c r="A3" s="156" t="s">
        <v>178</v>
      </c>
      <c r="B3" s="156"/>
      <c r="C3" s="156"/>
      <c r="D3" s="156"/>
      <c r="E3" s="156"/>
      <c r="F3" s="156"/>
      <c r="G3" s="156"/>
      <c r="H3" s="156"/>
      <c r="I3" s="156"/>
      <c r="J3" s="3"/>
      <c r="K3" s="3"/>
      <c r="L3" s="3"/>
    </row>
    <row r="4" spans="1:13" ht="31.5" customHeight="1">
      <c r="A4" s="157" t="s">
        <v>142</v>
      </c>
      <c r="B4" s="157"/>
      <c r="C4" s="157"/>
      <c r="D4" s="157"/>
      <c r="E4" s="157"/>
      <c r="F4" s="157"/>
      <c r="G4" s="157"/>
      <c r="H4" s="157"/>
      <c r="I4" s="157"/>
    </row>
    <row r="5" spans="1:13" ht="15.75" customHeight="1">
      <c r="A5" s="156" t="s">
        <v>296</v>
      </c>
      <c r="B5" s="158"/>
      <c r="C5" s="158"/>
      <c r="D5" s="158"/>
      <c r="E5" s="158"/>
      <c r="F5" s="158"/>
      <c r="G5" s="158"/>
      <c r="H5" s="158"/>
      <c r="I5" s="158"/>
      <c r="J5" s="2"/>
      <c r="K5" s="2"/>
      <c r="L5" s="2"/>
      <c r="M5" s="2"/>
    </row>
    <row r="6" spans="1:13" ht="15.75" customHeight="1">
      <c r="A6" s="2"/>
      <c r="B6" s="56"/>
      <c r="C6" s="56"/>
      <c r="D6" s="56"/>
      <c r="E6" s="56"/>
      <c r="F6" s="56"/>
      <c r="G6" s="56"/>
      <c r="H6" s="56"/>
      <c r="I6" s="31">
        <v>43373</v>
      </c>
      <c r="J6" s="2"/>
      <c r="K6" s="2"/>
      <c r="L6" s="2"/>
      <c r="M6" s="2"/>
    </row>
    <row r="7" spans="1:13" ht="15.75" customHeight="1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9" t="s">
        <v>346</v>
      </c>
      <c r="B8" s="159"/>
      <c r="C8" s="159"/>
      <c r="D8" s="159"/>
      <c r="E8" s="159"/>
      <c r="F8" s="159"/>
      <c r="G8" s="159"/>
      <c r="H8" s="159"/>
      <c r="I8" s="15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60" t="s">
        <v>195</v>
      </c>
      <c r="B10" s="160"/>
      <c r="C10" s="160"/>
      <c r="D10" s="160"/>
      <c r="E10" s="160"/>
      <c r="F10" s="160"/>
      <c r="G10" s="160"/>
      <c r="H10" s="160"/>
      <c r="I10" s="16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61" t="s">
        <v>63</v>
      </c>
      <c r="B14" s="161"/>
      <c r="C14" s="161"/>
      <c r="D14" s="161"/>
      <c r="E14" s="161"/>
      <c r="F14" s="161"/>
      <c r="G14" s="161"/>
      <c r="H14" s="161"/>
      <c r="I14" s="161"/>
      <c r="J14" s="8"/>
      <c r="K14" s="8"/>
      <c r="L14" s="8"/>
      <c r="M14" s="8"/>
    </row>
    <row r="15" spans="1:13" ht="15.7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7" t="s">
        <v>92</v>
      </c>
      <c r="C16" s="68" t="s">
        <v>111</v>
      </c>
      <c r="D16" s="67" t="s">
        <v>112</v>
      </c>
      <c r="E16" s="50">
        <v>127.9</v>
      </c>
      <c r="F16" s="69">
        <f>SUM(E16*156/100)</f>
        <v>199.524</v>
      </c>
      <c r="G16" s="69">
        <v>187.48</v>
      </c>
      <c r="H16" s="70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67" t="s">
        <v>100</v>
      </c>
      <c r="C17" s="68" t="s">
        <v>111</v>
      </c>
      <c r="D17" s="67" t="s">
        <v>166</v>
      </c>
      <c r="E17" s="50">
        <v>511.6</v>
      </c>
      <c r="F17" s="69">
        <f>SUM(E17*104/100)</f>
        <v>532.06399999999996</v>
      </c>
      <c r="G17" s="69">
        <v>185.48</v>
      </c>
      <c r="H17" s="70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67" t="s">
        <v>101</v>
      </c>
      <c r="C18" s="68" t="s">
        <v>111</v>
      </c>
      <c r="D18" s="67" t="s">
        <v>113</v>
      </c>
      <c r="E18" s="50">
        <f>SUM(E16+E17)</f>
        <v>639.5</v>
      </c>
      <c r="F18" s="69">
        <f>SUM(E18*24/100)</f>
        <v>153.47999999999999</v>
      </c>
      <c r="G18" s="69">
        <v>539.30999999999995</v>
      </c>
      <c r="H18" s="70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67" t="s">
        <v>114</v>
      </c>
      <c r="C19" s="68" t="s">
        <v>115</v>
      </c>
      <c r="D19" s="67" t="s">
        <v>116</v>
      </c>
      <c r="E19" s="50">
        <v>38.4</v>
      </c>
      <c r="F19" s="69">
        <f>SUM(E19/10)</f>
        <v>3.84</v>
      </c>
      <c r="G19" s="69">
        <v>181.91</v>
      </c>
      <c r="H19" s="70">
        <f t="shared" si="0"/>
        <v>0.6985344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67" t="s">
        <v>105</v>
      </c>
      <c r="C20" s="68" t="s">
        <v>111</v>
      </c>
      <c r="D20" s="67" t="s">
        <v>30</v>
      </c>
      <c r="E20" s="50">
        <v>58.4</v>
      </c>
      <c r="F20" s="69">
        <f>SUM(E20*12/100)</f>
        <v>7.0079999999999991</v>
      </c>
      <c r="G20" s="69">
        <v>232.92</v>
      </c>
      <c r="H20" s="70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customHeight="1">
      <c r="A21" s="30">
        <v>5</v>
      </c>
      <c r="B21" s="67" t="s">
        <v>106</v>
      </c>
      <c r="C21" s="68" t="s">
        <v>111</v>
      </c>
      <c r="D21" s="67" t="s">
        <v>110</v>
      </c>
      <c r="E21" s="50">
        <v>9.08</v>
      </c>
      <c r="F21" s="69">
        <f>SUM(E21*6/100)</f>
        <v>0.54480000000000006</v>
      </c>
      <c r="G21" s="69">
        <v>231.03</v>
      </c>
      <c r="H21" s="70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67" t="s">
        <v>117</v>
      </c>
      <c r="C22" s="68" t="s">
        <v>56</v>
      </c>
      <c r="D22" s="67" t="s">
        <v>116</v>
      </c>
      <c r="E22" s="50">
        <v>714</v>
      </c>
      <c r="F22" s="69">
        <f>SUM(E22/100)</f>
        <v>7.14</v>
      </c>
      <c r="G22" s="69">
        <v>287.83999999999997</v>
      </c>
      <c r="H22" s="70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67" t="s">
        <v>118</v>
      </c>
      <c r="C23" s="68" t="s">
        <v>56</v>
      </c>
      <c r="D23" s="67" t="s">
        <v>116</v>
      </c>
      <c r="E23" s="63">
        <v>96.6</v>
      </c>
      <c r="F23" s="69">
        <f>SUM(E23/100)</f>
        <v>0.96599999999999997</v>
      </c>
      <c r="G23" s="69">
        <v>47.34</v>
      </c>
      <c r="H23" s="70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67" t="s">
        <v>108</v>
      </c>
      <c r="C24" s="68" t="s">
        <v>56</v>
      </c>
      <c r="D24" s="67" t="s">
        <v>116</v>
      </c>
      <c r="E24" s="19">
        <v>40</v>
      </c>
      <c r="F24" s="71">
        <v>4.8</v>
      </c>
      <c r="G24" s="69">
        <v>416.62</v>
      </c>
      <c r="H24" s="70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67" t="s">
        <v>109</v>
      </c>
      <c r="C25" s="68" t="s">
        <v>56</v>
      </c>
      <c r="D25" s="67" t="s">
        <v>116</v>
      </c>
      <c r="E25" s="50">
        <v>17</v>
      </c>
      <c r="F25" s="69">
        <f>SUM(E25/100)</f>
        <v>0.17</v>
      </c>
      <c r="G25" s="69">
        <v>556.74</v>
      </c>
      <c r="H25" s="70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customHeight="1">
      <c r="A26" s="30">
        <v>6</v>
      </c>
      <c r="B26" s="67" t="s">
        <v>68</v>
      </c>
      <c r="C26" s="68" t="s">
        <v>34</v>
      </c>
      <c r="D26" s="67"/>
      <c r="E26" s="50">
        <v>0.1</v>
      </c>
      <c r="F26" s="69">
        <f>SUM(E26*365)</f>
        <v>36.5</v>
      </c>
      <c r="G26" s="69">
        <v>157.18</v>
      </c>
      <c r="H26" s="70">
        <f>SUM(F26*G26/1000)</f>
        <v>5.737070000000001</v>
      </c>
      <c r="I26" s="13">
        <f>F26/12*G26</f>
        <v>478.08916666666664</v>
      </c>
      <c r="J26" s="24"/>
    </row>
    <row r="27" spans="1:13" ht="15.75" customHeight="1">
      <c r="A27" s="30">
        <v>7</v>
      </c>
      <c r="B27" s="75" t="s">
        <v>23</v>
      </c>
      <c r="C27" s="68" t="s">
        <v>24</v>
      </c>
      <c r="D27" s="75"/>
      <c r="E27" s="50">
        <v>4591.2</v>
      </c>
      <c r="F27" s="69">
        <f>SUM(E27*12)</f>
        <v>55094.399999999994</v>
      </c>
      <c r="G27" s="69">
        <v>5.85</v>
      </c>
      <c r="H27" s="70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43" t="s">
        <v>90</v>
      </c>
      <c r="B28" s="143"/>
      <c r="C28" s="143"/>
      <c r="D28" s="143"/>
      <c r="E28" s="143"/>
      <c r="F28" s="143"/>
      <c r="G28" s="143"/>
      <c r="H28" s="143"/>
      <c r="I28" s="143"/>
      <c r="J28" s="23"/>
      <c r="K28" s="8"/>
      <c r="L28" s="8"/>
      <c r="M28" s="8"/>
    </row>
    <row r="29" spans="1:13" ht="15.75" customHeight="1">
      <c r="A29" s="30"/>
      <c r="B29" s="89" t="s">
        <v>28</v>
      </c>
      <c r="C29" s="68"/>
      <c r="D29" s="67"/>
      <c r="E29" s="50"/>
      <c r="F29" s="69"/>
      <c r="G29" s="69"/>
      <c r="H29" s="70"/>
      <c r="I29" s="13"/>
      <c r="J29" s="23"/>
      <c r="K29" s="8"/>
      <c r="L29" s="8"/>
      <c r="M29" s="8"/>
    </row>
    <row r="30" spans="1:13" ht="15.75" customHeight="1">
      <c r="A30" s="30">
        <v>8</v>
      </c>
      <c r="B30" s="67" t="s">
        <v>119</v>
      </c>
      <c r="C30" s="68" t="s">
        <v>120</v>
      </c>
      <c r="D30" s="67" t="s">
        <v>121</v>
      </c>
      <c r="E30" s="69">
        <v>844.95</v>
      </c>
      <c r="F30" s="69">
        <f>SUM(E30*52/1000)</f>
        <v>43.937400000000004</v>
      </c>
      <c r="G30" s="69">
        <v>166.65</v>
      </c>
      <c r="H30" s="70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customHeight="1">
      <c r="A31" s="30">
        <v>9</v>
      </c>
      <c r="B31" s="67" t="s">
        <v>167</v>
      </c>
      <c r="C31" s="68" t="s">
        <v>120</v>
      </c>
      <c r="D31" s="67" t="s">
        <v>122</v>
      </c>
      <c r="E31" s="69">
        <v>260.13</v>
      </c>
      <c r="F31" s="69">
        <f>SUM(E31*78/1000)</f>
        <v>20.290140000000001</v>
      </c>
      <c r="G31" s="69">
        <v>276.48</v>
      </c>
      <c r="H31" s="70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67" t="s">
        <v>27</v>
      </c>
      <c r="C32" s="68" t="s">
        <v>120</v>
      </c>
      <c r="D32" s="67" t="s">
        <v>57</v>
      </c>
      <c r="E32" s="69">
        <v>844.95</v>
      </c>
      <c r="F32" s="69">
        <f>SUM(E32/1000)</f>
        <v>0.84495000000000009</v>
      </c>
      <c r="G32" s="69">
        <v>3228.73</v>
      </c>
      <c r="H32" s="70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customHeight="1">
      <c r="A33" s="30">
        <v>10</v>
      </c>
      <c r="B33" s="67" t="s">
        <v>154</v>
      </c>
      <c r="C33" s="68" t="s">
        <v>42</v>
      </c>
      <c r="D33" s="67" t="s">
        <v>67</v>
      </c>
      <c r="E33" s="69">
        <v>8</v>
      </c>
      <c r="F33" s="69">
        <v>12.4</v>
      </c>
      <c r="G33" s="69">
        <v>1391.86</v>
      </c>
      <c r="H33" s="70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customHeight="1">
      <c r="A34" s="30">
        <v>11</v>
      </c>
      <c r="B34" s="67" t="s">
        <v>123</v>
      </c>
      <c r="C34" s="68" t="s">
        <v>31</v>
      </c>
      <c r="D34" s="67" t="s">
        <v>67</v>
      </c>
      <c r="E34" s="74">
        <v>0.33333333333333331</v>
      </c>
      <c r="F34" s="69">
        <f>155/3</f>
        <v>51.666666666666664</v>
      </c>
      <c r="G34" s="69">
        <v>60.6</v>
      </c>
      <c r="H34" s="70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67" t="s">
        <v>69</v>
      </c>
      <c r="C35" s="68" t="s">
        <v>34</v>
      </c>
      <c r="D35" s="67" t="s">
        <v>71</v>
      </c>
      <c r="E35" s="50"/>
      <c r="F35" s="69">
        <v>3</v>
      </c>
      <c r="G35" s="69">
        <v>204.32</v>
      </c>
      <c r="H35" s="70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67" t="s">
        <v>70</v>
      </c>
      <c r="C36" s="68" t="s">
        <v>33</v>
      </c>
      <c r="D36" s="67" t="s">
        <v>71</v>
      </c>
      <c r="E36" s="50"/>
      <c r="F36" s="69">
        <v>2</v>
      </c>
      <c r="G36" s="69">
        <v>1214.73</v>
      </c>
      <c r="H36" s="70">
        <f t="shared" si="1"/>
        <v>2.4294600000000002</v>
      </c>
      <c r="I36" s="13">
        <v>0</v>
      </c>
      <c r="J36" s="24"/>
    </row>
    <row r="37" spans="1:14" ht="15.75" hidden="1" customHeight="1">
      <c r="A37" s="30"/>
      <c r="B37" s="89" t="s">
        <v>5</v>
      </c>
      <c r="C37" s="68"/>
      <c r="D37" s="67"/>
      <c r="E37" s="50"/>
      <c r="F37" s="69"/>
      <c r="G37" s="69"/>
      <c r="H37" s="70" t="s">
        <v>139</v>
      </c>
      <c r="I37" s="13"/>
      <c r="J37" s="24"/>
    </row>
    <row r="38" spans="1:14" ht="15.75" hidden="1" customHeight="1">
      <c r="A38" s="30">
        <v>8</v>
      </c>
      <c r="B38" s="67" t="s">
        <v>26</v>
      </c>
      <c r="C38" s="68" t="s">
        <v>33</v>
      </c>
      <c r="D38" s="67"/>
      <c r="E38" s="50"/>
      <c r="F38" s="69">
        <v>10</v>
      </c>
      <c r="G38" s="69">
        <v>1632.6</v>
      </c>
      <c r="H38" s="70">
        <f t="shared" ref="H38:H44" si="3">SUM(F38*G38/1000)</f>
        <v>16.326000000000001</v>
      </c>
      <c r="I38" s="13">
        <f>F38/6*G38</f>
        <v>2721</v>
      </c>
      <c r="J38" s="24"/>
    </row>
    <row r="39" spans="1:14" ht="15.75" hidden="1" customHeight="1">
      <c r="A39" s="30">
        <v>9</v>
      </c>
      <c r="B39" s="67" t="s">
        <v>155</v>
      </c>
      <c r="C39" s="68" t="s">
        <v>29</v>
      </c>
      <c r="D39" s="67" t="s">
        <v>124</v>
      </c>
      <c r="E39" s="69">
        <v>254.8</v>
      </c>
      <c r="F39" s="69">
        <f>SUM(E39*30/1000)</f>
        <v>7.6440000000000001</v>
      </c>
      <c r="G39" s="69">
        <v>2247.8000000000002</v>
      </c>
      <c r="H39" s="70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67" t="s">
        <v>102</v>
      </c>
      <c r="C40" s="68" t="s">
        <v>125</v>
      </c>
      <c r="D40" s="67" t="s">
        <v>71</v>
      </c>
      <c r="E40" s="50"/>
      <c r="F40" s="69">
        <v>40</v>
      </c>
      <c r="G40" s="69">
        <v>213.2</v>
      </c>
      <c r="H40" s="70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hidden="1" customHeight="1">
      <c r="A41" s="30">
        <v>10</v>
      </c>
      <c r="B41" s="67" t="s">
        <v>72</v>
      </c>
      <c r="C41" s="68" t="s">
        <v>29</v>
      </c>
      <c r="D41" s="67" t="s">
        <v>126</v>
      </c>
      <c r="E41" s="69">
        <v>260.13</v>
      </c>
      <c r="F41" s="69">
        <f>SUM(E41*155/1000)</f>
        <v>40.320149999999998</v>
      </c>
      <c r="G41" s="69">
        <v>374.95</v>
      </c>
      <c r="H41" s="70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hidden="1" customHeight="1">
      <c r="A42" s="30">
        <v>11</v>
      </c>
      <c r="B42" s="67" t="s">
        <v>88</v>
      </c>
      <c r="C42" s="68" t="s">
        <v>120</v>
      </c>
      <c r="D42" s="67" t="s">
        <v>127</v>
      </c>
      <c r="E42" s="69">
        <v>132.72999999999999</v>
      </c>
      <c r="F42" s="69">
        <f>SUM(E42*35/1000)</f>
        <v>4.6455499999999992</v>
      </c>
      <c r="G42" s="69">
        <v>6203.7</v>
      </c>
      <c r="H42" s="70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hidden="1" customHeight="1">
      <c r="A43" s="30">
        <v>12</v>
      </c>
      <c r="B43" s="67" t="s">
        <v>128</v>
      </c>
      <c r="C43" s="68" t="s">
        <v>120</v>
      </c>
      <c r="D43" s="67" t="s">
        <v>73</v>
      </c>
      <c r="E43" s="69">
        <v>254.8</v>
      </c>
      <c r="F43" s="69">
        <f>SUM(E43*45/1000)</f>
        <v>11.465999999999999</v>
      </c>
      <c r="G43" s="69">
        <v>458.28</v>
      </c>
      <c r="H43" s="70">
        <f t="shared" si="3"/>
        <v>5.2546384799999997</v>
      </c>
      <c r="I43" s="13">
        <f>F43/6*G43</f>
        <v>875.77307999999982</v>
      </c>
      <c r="J43" s="24"/>
      <c r="L43" s="20"/>
      <c r="M43" s="21"/>
      <c r="N43" s="22"/>
    </row>
    <row r="44" spans="1:14" ht="15.75" hidden="1" customHeight="1">
      <c r="A44" s="30">
        <v>13</v>
      </c>
      <c r="B44" s="67" t="s">
        <v>74</v>
      </c>
      <c r="C44" s="68" t="s">
        <v>34</v>
      </c>
      <c r="D44" s="67"/>
      <c r="E44" s="50"/>
      <c r="F44" s="69">
        <v>0.9</v>
      </c>
      <c r="G44" s="69">
        <v>853.06</v>
      </c>
      <c r="H44" s="70">
        <f t="shared" si="3"/>
        <v>0.76775400000000005</v>
      </c>
      <c r="I44" s="13">
        <f>F44/6*G44</f>
        <v>127.95899999999999</v>
      </c>
      <c r="J44" s="24"/>
      <c r="L44" s="20"/>
      <c r="M44" s="21"/>
      <c r="N44" s="22"/>
    </row>
    <row r="45" spans="1:14" ht="15.75" customHeight="1">
      <c r="A45" s="144" t="s">
        <v>149</v>
      </c>
      <c r="B45" s="145"/>
      <c r="C45" s="145"/>
      <c r="D45" s="145"/>
      <c r="E45" s="145"/>
      <c r="F45" s="145"/>
      <c r="G45" s="145"/>
      <c r="H45" s="145"/>
      <c r="I45" s="146"/>
      <c r="J45" s="24"/>
      <c r="L45" s="20"/>
      <c r="M45" s="21"/>
      <c r="N45" s="22"/>
    </row>
    <row r="46" spans="1:14" ht="15.75" customHeight="1">
      <c r="A46" s="30">
        <v>12</v>
      </c>
      <c r="B46" s="67" t="s">
        <v>143</v>
      </c>
      <c r="C46" s="68" t="s">
        <v>120</v>
      </c>
      <c r="D46" s="67" t="s">
        <v>44</v>
      </c>
      <c r="E46" s="50">
        <v>1795.9</v>
      </c>
      <c r="F46" s="69">
        <f>SUM(E46*2/1000)</f>
        <v>3.5918000000000001</v>
      </c>
      <c r="G46" s="13">
        <v>865.61</v>
      </c>
      <c r="H46" s="70">
        <f t="shared" ref="H46:H55" si="4">SUM(F46*G46/1000)</f>
        <v>3.1090979980000002</v>
      </c>
      <c r="I46" s="13">
        <f t="shared" ref="I46:I49" si="5">F46/2*G46</f>
        <v>1554.5489990000001</v>
      </c>
      <c r="J46" s="24"/>
      <c r="L46" s="20"/>
      <c r="M46" s="21"/>
      <c r="N46" s="22"/>
    </row>
    <row r="47" spans="1:14" ht="15.75" customHeight="1">
      <c r="A47" s="30">
        <v>13</v>
      </c>
      <c r="B47" s="67" t="s">
        <v>37</v>
      </c>
      <c r="C47" s="68" t="s">
        <v>120</v>
      </c>
      <c r="D47" s="67" t="s">
        <v>44</v>
      </c>
      <c r="E47" s="50">
        <v>104</v>
      </c>
      <c r="F47" s="69">
        <f>SUM(E47*2/1000)</f>
        <v>0.20799999999999999</v>
      </c>
      <c r="G47" s="13">
        <v>619.46</v>
      </c>
      <c r="H47" s="70">
        <f t="shared" si="4"/>
        <v>0.12884767999999999</v>
      </c>
      <c r="I47" s="13">
        <f t="shared" si="5"/>
        <v>64.423839999999998</v>
      </c>
      <c r="J47" s="24"/>
      <c r="L47" s="20"/>
      <c r="M47" s="21"/>
      <c r="N47" s="22"/>
    </row>
    <row r="48" spans="1:14" ht="15.75" customHeight="1">
      <c r="A48" s="30">
        <v>14</v>
      </c>
      <c r="B48" s="67" t="s">
        <v>38</v>
      </c>
      <c r="C48" s="68" t="s">
        <v>120</v>
      </c>
      <c r="D48" s="67" t="s">
        <v>44</v>
      </c>
      <c r="E48" s="50">
        <v>1996.87</v>
      </c>
      <c r="F48" s="69">
        <f>SUM(E48*2/1000)</f>
        <v>3.9937399999999998</v>
      </c>
      <c r="G48" s="13">
        <v>619.46</v>
      </c>
      <c r="H48" s="70">
        <f t="shared" si="4"/>
        <v>2.4739621804</v>
      </c>
      <c r="I48" s="13">
        <f t="shared" si="5"/>
        <v>1236.9810901999999</v>
      </c>
      <c r="J48" s="24"/>
      <c r="L48" s="20"/>
      <c r="M48" s="21"/>
      <c r="N48" s="22"/>
    </row>
    <row r="49" spans="1:22" ht="15.75" customHeight="1">
      <c r="A49" s="30">
        <v>15</v>
      </c>
      <c r="B49" s="67" t="s">
        <v>39</v>
      </c>
      <c r="C49" s="68" t="s">
        <v>120</v>
      </c>
      <c r="D49" s="67" t="s">
        <v>44</v>
      </c>
      <c r="E49" s="50">
        <v>2630.35</v>
      </c>
      <c r="F49" s="69">
        <f>SUM(E49*2/1000)</f>
        <v>5.2606999999999999</v>
      </c>
      <c r="G49" s="13">
        <v>648.64</v>
      </c>
      <c r="H49" s="70">
        <f t="shared" si="4"/>
        <v>3.4123004479999999</v>
      </c>
      <c r="I49" s="13">
        <f t="shared" si="5"/>
        <v>1706.150224</v>
      </c>
      <c r="J49" s="24"/>
      <c r="L49" s="20"/>
      <c r="M49" s="21"/>
      <c r="N49" s="22"/>
    </row>
    <row r="50" spans="1:22" ht="15.75" customHeight="1">
      <c r="A50" s="30">
        <v>16</v>
      </c>
      <c r="B50" s="67" t="s">
        <v>35</v>
      </c>
      <c r="C50" s="68" t="s">
        <v>36</v>
      </c>
      <c r="D50" s="67" t="s">
        <v>44</v>
      </c>
      <c r="E50" s="50">
        <v>131.47</v>
      </c>
      <c r="F50" s="69">
        <f>SUM(E50*2/100)</f>
        <v>2.6294</v>
      </c>
      <c r="G50" s="13">
        <v>77.84</v>
      </c>
      <c r="H50" s="70">
        <f t="shared" si="4"/>
        <v>0.20467249599999998</v>
      </c>
      <c r="I50" s="13">
        <f>F50/2*G50</f>
        <v>102.336248</v>
      </c>
      <c r="J50" s="24"/>
      <c r="L50" s="20"/>
      <c r="M50" s="21"/>
      <c r="N50" s="22"/>
    </row>
    <row r="51" spans="1:22" ht="15.75" customHeight="1">
      <c r="A51" s="30">
        <v>17</v>
      </c>
      <c r="B51" s="67" t="s">
        <v>60</v>
      </c>
      <c r="C51" s="68" t="s">
        <v>120</v>
      </c>
      <c r="D51" s="67" t="s">
        <v>168</v>
      </c>
      <c r="E51" s="50">
        <v>2872.4</v>
      </c>
      <c r="F51" s="69">
        <f>SUM(E51*5/1000)</f>
        <v>14.362</v>
      </c>
      <c r="G51" s="13">
        <v>1297.28</v>
      </c>
      <c r="H51" s="70">
        <f t="shared" si="4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22" ht="31.5" hidden="1" customHeight="1">
      <c r="A52" s="30"/>
      <c r="B52" s="67" t="s">
        <v>129</v>
      </c>
      <c r="C52" s="68" t="s">
        <v>120</v>
      </c>
      <c r="D52" s="67" t="s">
        <v>44</v>
      </c>
      <c r="E52" s="50">
        <v>2872.4</v>
      </c>
      <c r="F52" s="69">
        <f>SUM(E52*2/1000)</f>
        <v>5.7448000000000006</v>
      </c>
      <c r="G52" s="13">
        <v>1297.28</v>
      </c>
      <c r="H52" s="70">
        <f t="shared" si="4"/>
        <v>7.4526141440000009</v>
      </c>
      <c r="I52" s="13">
        <v>0</v>
      </c>
      <c r="J52" s="24"/>
      <c r="L52" s="20"/>
      <c r="M52" s="21"/>
      <c r="N52" s="22"/>
    </row>
    <row r="53" spans="1:22" ht="31.5" hidden="1" customHeight="1">
      <c r="A53" s="30"/>
      <c r="B53" s="67" t="s">
        <v>130</v>
      </c>
      <c r="C53" s="68" t="s">
        <v>40</v>
      </c>
      <c r="D53" s="67" t="s">
        <v>44</v>
      </c>
      <c r="E53" s="50">
        <v>40</v>
      </c>
      <c r="F53" s="69">
        <f>SUM(E53*2/100)</f>
        <v>0.8</v>
      </c>
      <c r="G53" s="13">
        <v>2918.89</v>
      </c>
      <c r="H53" s="70">
        <f t="shared" si="4"/>
        <v>2.3351120000000001</v>
      </c>
      <c r="I53" s="13">
        <v>0</v>
      </c>
      <c r="J53" s="24"/>
      <c r="L53" s="20"/>
      <c r="M53" s="21"/>
      <c r="N53" s="22"/>
    </row>
    <row r="54" spans="1:22" ht="15.75" hidden="1" customHeight="1">
      <c r="A54" s="30"/>
      <c r="B54" s="67" t="s">
        <v>41</v>
      </c>
      <c r="C54" s="68" t="s">
        <v>42</v>
      </c>
      <c r="D54" s="67" t="s">
        <v>44</v>
      </c>
      <c r="E54" s="50">
        <v>1</v>
      </c>
      <c r="F54" s="69">
        <v>0.02</v>
      </c>
      <c r="G54" s="13">
        <v>6042.12</v>
      </c>
      <c r="H54" s="70">
        <f t="shared" si="4"/>
        <v>0.1208424</v>
      </c>
      <c r="I54" s="13">
        <v>0</v>
      </c>
      <c r="J54" s="24"/>
      <c r="L54" s="20"/>
      <c r="M54" s="21"/>
      <c r="N54" s="22"/>
    </row>
    <row r="55" spans="1:22" ht="15.75" hidden="1" customHeight="1">
      <c r="A55" s="30">
        <v>15</v>
      </c>
      <c r="B55" s="67" t="s">
        <v>43</v>
      </c>
      <c r="C55" s="68" t="s">
        <v>31</v>
      </c>
      <c r="D55" s="67" t="s">
        <v>75</v>
      </c>
      <c r="E55" s="50">
        <v>160</v>
      </c>
      <c r="F55" s="69">
        <f>SUM(E55)*3</f>
        <v>480</v>
      </c>
      <c r="G55" s="13">
        <v>70.209999999999994</v>
      </c>
      <c r="H55" s="70">
        <f t="shared" si="4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22" ht="15.75" customHeight="1">
      <c r="A56" s="144" t="s">
        <v>150</v>
      </c>
      <c r="B56" s="145"/>
      <c r="C56" s="145"/>
      <c r="D56" s="145"/>
      <c r="E56" s="145"/>
      <c r="F56" s="145"/>
      <c r="G56" s="145"/>
      <c r="H56" s="145"/>
      <c r="I56" s="146"/>
      <c r="J56" s="24"/>
      <c r="L56" s="20"/>
      <c r="M56" s="21"/>
      <c r="N56" s="22"/>
    </row>
    <row r="57" spans="1:22" ht="15.75" hidden="1" customHeight="1">
      <c r="A57" s="30"/>
      <c r="B57" s="89" t="s">
        <v>45</v>
      </c>
      <c r="C57" s="68"/>
      <c r="D57" s="67"/>
      <c r="E57" s="50"/>
      <c r="F57" s="69"/>
      <c r="G57" s="69"/>
      <c r="H57" s="70"/>
      <c r="I57" s="13"/>
      <c r="J57" s="24"/>
      <c r="L57" s="20"/>
      <c r="M57" s="21"/>
      <c r="N57" s="22"/>
    </row>
    <row r="58" spans="1:22" ht="31.5" hidden="1" customHeight="1">
      <c r="A58" s="30">
        <v>16</v>
      </c>
      <c r="B58" s="67" t="s">
        <v>132</v>
      </c>
      <c r="C58" s="68" t="s">
        <v>111</v>
      </c>
      <c r="D58" s="67" t="s">
        <v>76</v>
      </c>
      <c r="E58" s="50">
        <v>239.59</v>
      </c>
      <c r="F58" s="69">
        <f>E58*6/100</f>
        <v>14.375399999999999</v>
      </c>
      <c r="G58" s="76">
        <v>1654.04</v>
      </c>
      <c r="H58" s="70">
        <f>F58*G58/1000</f>
        <v>23.777486615999997</v>
      </c>
      <c r="I58" s="13">
        <f>F58/6*G58</f>
        <v>3962.9144359999996</v>
      </c>
      <c r="J58" s="24"/>
      <c r="L58" s="20"/>
      <c r="M58" s="21"/>
      <c r="N58" s="22"/>
    </row>
    <row r="59" spans="1:22" ht="15.75" customHeight="1">
      <c r="A59" s="30"/>
      <c r="B59" s="90" t="s">
        <v>46</v>
      </c>
      <c r="C59" s="77"/>
      <c r="D59" s="78"/>
      <c r="E59" s="79"/>
      <c r="F59" s="81"/>
      <c r="G59" s="13"/>
      <c r="H59" s="83"/>
      <c r="I59" s="13"/>
      <c r="J59" s="24"/>
      <c r="L59" s="20"/>
      <c r="M59" s="21"/>
      <c r="N59" s="22"/>
    </row>
    <row r="60" spans="1:22" ht="15.75" hidden="1" customHeight="1">
      <c r="A60" s="30"/>
      <c r="B60" s="78" t="s">
        <v>47</v>
      </c>
      <c r="C60" s="77" t="s">
        <v>56</v>
      </c>
      <c r="D60" s="78" t="s">
        <v>57</v>
      </c>
      <c r="E60" s="79">
        <v>2686</v>
      </c>
      <c r="F60" s="81">
        <f>E60/100</f>
        <v>26.86</v>
      </c>
      <c r="G60" s="13">
        <v>848.37</v>
      </c>
      <c r="H60" s="83">
        <f>G60*F60/1000</f>
        <v>22.787218199999998</v>
      </c>
      <c r="I60" s="13">
        <v>0</v>
      </c>
      <c r="J60" s="24"/>
      <c r="L60" s="20"/>
    </row>
    <row r="61" spans="1:22" ht="15.75" customHeight="1">
      <c r="A61" s="30">
        <v>18</v>
      </c>
      <c r="B61" s="78" t="s">
        <v>103</v>
      </c>
      <c r="C61" s="77" t="s">
        <v>25</v>
      </c>
      <c r="D61" s="78" t="s">
        <v>30</v>
      </c>
      <c r="E61" s="79">
        <v>343</v>
      </c>
      <c r="F61" s="81">
        <v>4116</v>
      </c>
      <c r="G61" s="13">
        <v>1.2</v>
      </c>
      <c r="H61" s="83">
        <f>F61*G61</f>
        <v>4939.2</v>
      </c>
      <c r="I61" s="13">
        <f>F61/12*G61</f>
        <v>411.59999999999997</v>
      </c>
    </row>
    <row r="62" spans="1:22" ht="15.75" hidden="1" customHeight="1">
      <c r="A62" s="30"/>
      <c r="B62" s="90" t="s">
        <v>144</v>
      </c>
      <c r="C62" s="77"/>
      <c r="D62" s="78"/>
      <c r="E62" s="79"/>
      <c r="F62" s="81"/>
      <c r="G62" s="13"/>
      <c r="H62" s="83"/>
      <c r="I62" s="13"/>
    </row>
    <row r="63" spans="1:22" ht="15.75" hidden="1" customHeight="1">
      <c r="A63" s="30"/>
      <c r="B63" s="78" t="s">
        <v>145</v>
      </c>
      <c r="C63" s="77" t="s">
        <v>31</v>
      </c>
      <c r="D63" s="78" t="s">
        <v>71</v>
      </c>
      <c r="E63" s="79">
        <v>3</v>
      </c>
      <c r="F63" s="80">
        <v>3</v>
      </c>
      <c r="G63" s="82">
        <v>254.16</v>
      </c>
      <c r="H63" s="81">
        <v>0.76200000000000001</v>
      </c>
      <c r="I63" s="13">
        <v>0</v>
      </c>
    </row>
    <row r="64" spans="1:22" ht="15.75" customHeight="1">
      <c r="A64" s="30"/>
      <c r="B64" s="90" t="s">
        <v>48</v>
      </c>
      <c r="C64" s="77"/>
      <c r="D64" s="78"/>
      <c r="E64" s="79"/>
      <c r="F64" s="80"/>
      <c r="G64" s="80"/>
      <c r="H64" s="81" t="s">
        <v>139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30">
        <v>19</v>
      </c>
      <c r="B65" s="14" t="s">
        <v>49</v>
      </c>
      <c r="C65" s="16" t="s">
        <v>131</v>
      </c>
      <c r="D65" s="78" t="s">
        <v>71</v>
      </c>
      <c r="E65" s="19">
        <v>15</v>
      </c>
      <c r="F65" s="69">
        <v>15</v>
      </c>
      <c r="G65" s="13">
        <v>237.74</v>
      </c>
      <c r="H65" s="84">
        <f t="shared" ref="H65:H78" si="6">SUM(F65*G65/1000)</f>
        <v>3.5661000000000005</v>
      </c>
      <c r="I65" s="13">
        <f>G65*4</f>
        <v>950.96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14" t="s">
        <v>50</v>
      </c>
      <c r="C66" s="16" t="s">
        <v>131</v>
      </c>
      <c r="D66" s="78" t="s">
        <v>71</v>
      </c>
      <c r="E66" s="19">
        <v>5</v>
      </c>
      <c r="F66" s="69">
        <v>5</v>
      </c>
      <c r="G66" s="13">
        <v>81.510000000000005</v>
      </c>
      <c r="H66" s="84">
        <f t="shared" si="6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14" t="s">
        <v>51</v>
      </c>
      <c r="C67" s="16" t="s">
        <v>133</v>
      </c>
      <c r="D67" s="14" t="s">
        <v>57</v>
      </c>
      <c r="E67" s="50">
        <v>24123</v>
      </c>
      <c r="F67" s="13">
        <f>SUM(E67/100)</f>
        <v>241.23</v>
      </c>
      <c r="G67" s="13">
        <v>226.79</v>
      </c>
      <c r="H67" s="84">
        <f t="shared" si="6"/>
        <v>54.708551699999994</v>
      </c>
      <c r="I67" s="13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140"/>
      <c r="S67" s="140"/>
      <c r="T67" s="140"/>
      <c r="U67" s="140"/>
    </row>
    <row r="68" spans="1:21" ht="15.75" hidden="1" customHeight="1">
      <c r="A68" s="30"/>
      <c r="B68" s="14" t="s">
        <v>52</v>
      </c>
      <c r="C68" s="16" t="s">
        <v>134</v>
      </c>
      <c r="D68" s="14"/>
      <c r="E68" s="50">
        <v>24123</v>
      </c>
      <c r="F68" s="13">
        <f>SUM(E68/1000)</f>
        <v>24.123000000000001</v>
      </c>
      <c r="G68" s="13">
        <v>176.61</v>
      </c>
      <c r="H68" s="84">
        <f t="shared" si="6"/>
        <v>4.2603630300000006</v>
      </c>
      <c r="I68" s="13">
        <f t="shared" ref="I68:I72" si="7">F68*G68</f>
        <v>4260.3630300000004</v>
      </c>
    </row>
    <row r="69" spans="1:21" ht="15.75" hidden="1" customHeight="1">
      <c r="A69" s="30"/>
      <c r="B69" s="14" t="s">
        <v>53</v>
      </c>
      <c r="C69" s="16" t="s">
        <v>81</v>
      </c>
      <c r="D69" s="14" t="s">
        <v>57</v>
      </c>
      <c r="E69" s="50">
        <v>2730</v>
      </c>
      <c r="F69" s="13">
        <f>SUM(E69/100)</f>
        <v>27.3</v>
      </c>
      <c r="G69" s="13">
        <v>2217.7800000000002</v>
      </c>
      <c r="H69" s="84">
        <f t="shared" si="6"/>
        <v>60.545394000000009</v>
      </c>
      <c r="I69" s="13">
        <f t="shared" si="7"/>
        <v>60545.394000000008</v>
      </c>
    </row>
    <row r="70" spans="1:21" ht="15.75" hidden="1" customHeight="1">
      <c r="A70" s="30"/>
      <c r="B70" s="85" t="s">
        <v>135</v>
      </c>
      <c r="C70" s="16" t="s">
        <v>34</v>
      </c>
      <c r="D70" s="14"/>
      <c r="E70" s="50">
        <v>23</v>
      </c>
      <c r="F70" s="13">
        <f>SUM(E70)</f>
        <v>23</v>
      </c>
      <c r="G70" s="13">
        <v>42.67</v>
      </c>
      <c r="H70" s="84">
        <f t="shared" si="6"/>
        <v>0.98141000000000012</v>
      </c>
      <c r="I70" s="13">
        <f t="shared" si="7"/>
        <v>981.41000000000008</v>
      </c>
    </row>
    <row r="71" spans="1:21" ht="15.75" hidden="1" customHeight="1">
      <c r="A71" s="30"/>
      <c r="B71" s="85" t="s">
        <v>136</v>
      </c>
      <c r="C71" s="16" t="s">
        <v>34</v>
      </c>
      <c r="D71" s="14"/>
      <c r="E71" s="50">
        <v>23</v>
      </c>
      <c r="F71" s="13">
        <f>SUM(E71)</f>
        <v>23</v>
      </c>
      <c r="G71" s="13">
        <v>39.81</v>
      </c>
      <c r="H71" s="84">
        <f t="shared" si="6"/>
        <v>0.91563000000000005</v>
      </c>
      <c r="I71" s="13">
        <f t="shared" si="7"/>
        <v>915.63000000000011</v>
      </c>
    </row>
    <row r="72" spans="1:21" ht="15.75" customHeight="1">
      <c r="A72" s="30">
        <v>20</v>
      </c>
      <c r="B72" s="14" t="s">
        <v>61</v>
      </c>
      <c r="C72" s="16" t="s">
        <v>62</v>
      </c>
      <c r="D72" s="14" t="s">
        <v>57</v>
      </c>
      <c r="E72" s="19">
        <v>10</v>
      </c>
      <c r="F72" s="69">
        <f>SUM(E72)</f>
        <v>10</v>
      </c>
      <c r="G72" s="13">
        <v>53.32</v>
      </c>
      <c r="H72" s="84">
        <f t="shared" si="6"/>
        <v>0.53320000000000001</v>
      </c>
      <c r="I72" s="13">
        <f t="shared" si="7"/>
        <v>533.20000000000005</v>
      </c>
    </row>
    <row r="73" spans="1:21" ht="15.75" hidden="1" customHeight="1">
      <c r="A73" s="30"/>
      <c r="B73" s="57" t="s">
        <v>77</v>
      </c>
      <c r="C73" s="16"/>
      <c r="D73" s="14"/>
      <c r="E73" s="19"/>
      <c r="F73" s="13"/>
      <c r="G73" s="13"/>
      <c r="H73" s="84" t="s">
        <v>139</v>
      </c>
      <c r="I73" s="13"/>
    </row>
    <row r="74" spans="1:21" ht="15.75" hidden="1" customHeight="1">
      <c r="A74" s="30"/>
      <c r="B74" s="14" t="s">
        <v>78</v>
      </c>
      <c r="C74" s="16" t="s">
        <v>32</v>
      </c>
      <c r="D74" s="14"/>
      <c r="E74" s="19">
        <v>2</v>
      </c>
      <c r="F74" s="61">
        <v>0.2</v>
      </c>
      <c r="G74" s="13">
        <v>536.23</v>
      </c>
      <c r="H74" s="84">
        <v>0.251</v>
      </c>
      <c r="I74" s="13">
        <v>0</v>
      </c>
    </row>
    <row r="75" spans="1:21" ht="15.75" hidden="1" customHeight="1">
      <c r="A75" s="30"/>
      <c r="B75" s="14" t="s">
        <v>94</v>
      </c>
      <c r="C75" s="16" t="s">
        <v>31</v>
      </c>
      <c r="D75" s="14"/>
      <c r="E75" s="19">
        <v>1</v>
      </c>
      <c r="F75" s="69">
        <f>SUM(E75)</f>
        <v>1</v>
      </c>
      <c r="G75" s="13">
        <v>383.25</v>
      </c>
      <c r="H75" s="84">
        <f t="shared" si="6"/>
        <v>0.38324999999999998</v>
      </c>
      <c r="I75" s="13">
        <v>0</v>
      </c>
    </row>
    <row r="76" spans="1:21" ht="15.75" hidden="1" customHeight="1">
      <c r="A76" s="30"/>
      <c r="B76" s="14" t="s">
        <v>79</v>
      </c>
      <c r="C76" s="16" t="s">
        <v>31</v>
      </c>
      <c r="D76" s="14"/>
      <c r="E76" s="19">
        <v>2</v>
      </c>
      <c r="F76" s="13">
        <v>2</v>
      </c>
      <c r="G76" s="13">
        <v>911.85</v>
      </c>
      <c r="H76" s="84">
        <f>F76*G76/1000</f>
        <v>1.8237000000000001</v>
      </c>
      <c r="I76" s="13">
        <v>0</v>
      </c>
    </row>
    <row r="77" spans="1:21" ht="15.75" hidden="1" customHeight="1">
      <c r="A77" s="30"/>
      <c r="B77" s="86" t="s">
        <v>80</v>
      </c>
      <c r="C77" s="16"/>
      <c r="D77" s="14"/>
      <c r="E77" s="19"/>
      <c r="F77" s="13"/>
      <c r="G77" s="13" t="s">
        <v>139</v>
      </c>
      <c r="H77" s="84" t="s">
        <v>139</v>
      </c>
      <c r="I77" s="13"/>
    </row>
    <row r="78" spans="1:21" ht="15.75" hidden="1" customHeight="1">
      <c r="A78" s="30"/>
      <c r="B78" s="45" t="s">
        <v>140</v>
      </c>
      <c r="C78" s="16" t="s">
        <v>81</v>
      </c>
      <c r="D78" s="14"/>
      <c r="E78" s="19"/>
      <c r="F78" s="13">
        <v>1.35</v>
      </c>
      <c r="G78" s="13">
        <v>2949.85</v>
      </c>
      <c r="H78" s="84">
        <f t="shared" si="6"/>
        <v>3.9822975</v>
      </c>
      <c r="I78" s="13">
        <v>0</v>
      </c>
    </row>
    <row r="79" spans="1:21" ht="15.75" hidden="1" customHeight="1">
      <c r="A79" s="30"/>
      <c r="B79" s="72" t="s">
        <v>137</v>
      </c>
      <c r="C79" s="86"/>
      <c r="D79" s="32"/>
      <c r="E79" s="33"/>
      <c r="F79" s="73"/>
      <c r="G79" s="73"/>
      <c r="H79" s="87">
        <f>SUM(H58:H78)</f>
        <v>5118.885151045999</v>
      </c>
      <c r="I79" s="73"/>
    </row>
    <row r="80" spans="1:21" ht="15.75" hidden="1" customHeight="1">
      <c r="A80" s="30"/>
      <c r="B80" s="67" t="s">
        <v>138</v>
      </c>
      <c r="C80" s="16"/>
      <c r="D80" s="14"/>
      <c r="E80" s="62"/>
      <c r="F80" s="13">
        <v>1</v>
      </c>
      <c r="G80" s="13">
        <v>19342.2</v>
      </c>
      <c r="H80" s="84">
        <f>G80*F80/1000</f>
        <v>19.342200000000002</v>
      </c>
      <c r="I80" s="13">
        <v>0</v>
      </c>
    </row>
    <row r="81" spans="1:9" ht="15.75" customHeight="1">
      <c r="A81" s="153" t="s">
        <v>151</v>
      </c>
      <c r="B81" s="154"/>
      <c r="C81" s="154"/>
      <c r="D81" s="154"/>
      <c r="E81" s="154"/>
      <c r="F81" s="154"/>
      <c r="G81" s="154"/>
      <c r="H81" s="154"/>
      <c r="I81" s="155"/>
    </row>
    <row r="82" spans="1:9" ht="15.75" customHeight="1">
      <c r="A82" s="30">
        <v>21</v>
      </c>
      <c r="B82" s="67" t="s">
        <v>141</v>
      </c>
      <c r="C82" s="16" t="s">
        <v>58</v>
      </c>
      <c r="D82" s="88" t="s">
        <v>59</v>
      </c>
      <c r="E82" s="13">
        <v>4591.2</v>
      </c>
      <c r="F82" s="13">
        <f>SUM(E82*12)</f>
        <v>55094.399999999994</v>
      </c>
      <c r="G82" s="13">
        <v>2.54</v>
      </c>
      <c r="H82" s="84">
        <f>SUM(F82*G82/1000)</f>
        <v>139.93977599999999</v>
      </c>
      <c r="I82" s="13">
        <f>F82/12*G82</f>
        <v>11661.647999999999</v>
      </c>
    </row>
    <row r="83" spans="1:9" ht="31.5" customHeight="1">
      <c r="A83" s="30">
        <v>22</v>
      </c>
      <c r="B83" s="14" t="s">
        <v>82</v>
      </c>
      <c r="C83" s="16"/>
      <c r="D83" s="88" t="s">
        <v>59</v>
      </c>
      <c r="E83" s="50">
        <f>E82</f>
        <v>4591.2</v>
      </c>
      <c r="F83" s="13">
        <f>E83*12</f>
        <v>55094.399999999994</v>
      </c>
      <c r="G83" s="13">
        <v>2.0499999999999998</v>
      </c>
      <c r="H83" s="84">
        <f>F83*G83/1000</f>
        <v>112.94351999999998</v>
      </c>
      <c r="I83" s="13">
        <f>F83/12*G83</f>
        <v>9411.9599999999991</v>
      </c>
    </row>
    <row r="84" spans="1:9" ht="15.75" customHeight="1">
      <c r="A84" s="46"/>
      <c r="B84" s="37" t="s">
        <v>85</v>
      </c>
      <c r="C84" s="38"/>
      <c r="D84" s="15"/>
      <c r="E84" s="15"/>
      <c r="F84" s="15"/>
      <c r="G84" s="19"/>
      <c r="H84" s="19"/>
      <c r="I84" s="33">
        <f>SUM(I16+I17+I18+I20+I21+I26+I27+I30+I31+I33+I34+I46+I47+I48+I49+I50+I51+I61+I65+I72+I82+I83)</f>
        <v>82646.343133399991</v>
      </c>
    </row>
    <row r="85" spans="1:9" ht="15.75" customHeight="1">
      <c r="A85" s="150" t="s">
        <v>64</v>
      </c>
      <c r="B85" s="151"/>
      <c r="C85" s="151"/>
      <c r="D85" s="151"/>
      <c r="E85" s="151"/>
      <c r="F85" s="151"/>
      <c r="G85" s="151"/>
      <c r="H85" s="151"/>
      <c r="I85" s="152"/>
    </row>
    <row r="86" spans="1:9" ht="15.75" customHeight="1">
      <c r="A86" s="30">
        <v>23</v>
      </c>
      <c r="B86" s="98" t="s">
        <v>297</v>
      </c>
      <c r="C86" s="102" t="s">
        <v>131</v>
      </c>
      <c r="D86" s="45"/>
      <c r="E86" s="35"/>
      <c r="F86" s="35">
        <f>124/3</f>
        <v>41.333333333333336</v>
      </c>
      <c r="G86" s="35">
        <v>169.36</v>
      </c>
      <c r="H86" s="100">
        <f t="shared" ref="H86:H89" si="8">G86*F86/1000</f>
        <v>7.0002133333333338</v>
      </c>
      <c r="I86" s="13">
        <f>G86*1</f>
        <v>169.36</v>
      </c>
    </row>
    <row r="87" spans="1:9" ht="18" customHeight="1">
      <c r="A87" s="30" t="s">
        <v>302</v>
      </c>
      <c r="B87" s="98" t="s">
        <v>298</v>
      </c>
      <c r="C87" s="99" t="s">
        <v>131</v>
      </c>
      <c r="D87" s="45"/>
      <c r="E87" s="13"/>
      <c r="F87" s="13">
        <v>0.06</v>
      </c>
      <c r="G87" s="35">
        <v>55.55</v>
      </c>
      <c r="H87" s="84">
        <f t="shared" si="8"/>
        <v>3.3329999999999996E-3</v>
      </c>
      <c r="I87" s="13">
        <f>G87*80</f>
        <v>4444</v>
      </c>
    </row>
    <row r="88" spans="1:9" ht="15" customHeight="1">
      <c r="A88" s="30">
        <v>25</v>
      </c>
      <c r="B88" s="104" t="s">
        <v>299</v>
      </c>
      <c r="C88" s="38" t="s">
        <v>115</v>
      </c>
      <c r="D88" s="45"/>
      <c r="E88" s="35"/>
      <c r="F88" s="35">
        <v>11</v>
      </c>
      <c r="G88" s="35">
        <v>3413.41</v>
      </c>
      <c r="H88" s="100">
        <f t="shared" si="8"/>
        <v>37.547509999999996</v>
      </c>
      <c r="I88" s="13">
        <f>G88*0.07</f>
        <v>238.93870000000001</v>
      </c>
    </row>
    <row r="89" spans="1:9" ht="17.25" customHeight="1">
      <c r="A89" s="30">
        <v>26</v>
      </c>
      <c r="B89" s="49" t="s">
        <v>206</v>
      </c>
      <c r="C89" s="51" t="s">
        <v>207</v>
      </c>
      <c r="D89" s="45"/>
      <c r="E89" s="35"/>
      <c r="F89" s="35">
        <v>1.5</v>
      </c>
      <c r="G89" s="35">
        <v>134.12</v>
      </c>
      <c r="H89" s="100">
        <f t="shared" si="8"/>
        <v>0.20118</v>
      </c>
      <c r="I89" s="13">
        <f>G89*20</f>
        <v>2682.4</v>
      </c>
    </row>
    <row r="90" spans="1:9" ht="15" customHeight="1">
      <c r="A90" s="30">
        <v>27</v>
      </c>
      <c r="B90" s="98" t="s">
        <v>293</v>
      </c>
      <c r="C90" s="99" t="s">
        <v>252</v>
      </c>
      <c r="D90" s="45"/>
      <c r="E90" s="35"/>
      <c r="F90" s="35"/>
      <c r="G90" s="133">
        <v>106.4</v>
      </c>
      <c r="H90" s="100"/>
      <c r="I90" s="13">
        <f>G90*1.6</f>
        <v>170.24</v>
      </c>
    </row>
    <row r="91" spans="1:9" ht="15.75" customHeight="1">
      <c r="A91" s="30"/>
      <c r="B91" s="43" t="s">
        <v>54</v>
      </c>
      <c r="C91" s="39"/>
      <c r="D91" s="47"/>
      <c r="E91" s="39">
        <v>1</v>
      </c>
      <c r="F91" s="39"/>
      <c r="G91" s="39"/>
      <c r="H91" s="39"/>
      <c r="I91" s="33">
        <f>I90+I89+I88+I86</f>
        <v>3260.9387000000006</v>
      </c>
    </row>
    <row r="92" spans="1:9" ht="15.75" customHeight="1">
      <c r="A92" s="30"/>
      <c r="B92" s="45" t="s">
        <v>83</v>
      </c>
      <c r="C92" s="15"/>
      <c r="D92" s="15"/>
      <c r="E92" s="40"/>
      <c r="F92" s="40"/>
      <c r="G92" s="41"/>
      <c r="H92" s="41"/>
      <c r="I92" s="18">
        <v>0</v>
      </c>
    </row>
    <row r="93" spans="1:9" ht="15.75" customHeight="1">
      <c r="A93" s="48"/>
      <c r="B93" s="44" t="s">
        <v>180</v>
      </c>
      <c r="C93" s="34"/>
      <c r="D93" s="34"/>
      <c r="E93" s="34"/>
      <c r="F93" s="34"/>
      <c r="G93" s="34"/>
      <c r="H93" s="34"/>
      <c r="I93" s="42">
        <f>I84+I91</f>
        <v>85907.281833399989</v>
      </c>
    </row>
    <row r="94" spans="1:9" ht="15.75" customHeight="1">
      <c r="A94" s="162" t="s">
        <v>303</v>
      </c>
      <c r="B94" s="163"/>
      <c r="C94" s="163"/>
      <c r="D94" s="163"/>
      <c r="E94" s="163"/>
      <c r="F94" s="163"/>
      <c r="G94" s="163"/>
      <c r="H94" s="163"/>
      <c r="I94" s="163"/>
    </row>
    <row r="95" spans="1:9" ht="15.75" customHeight="1">
      <c r="A95" s="147" t="s">
        <v>300</v>
      </c>
      <c r="B95" s="147"/>
      <c r="C95" s="147"/>
      <c r="D95" s="147"/>
      <c r="E95" s="147"/>
      <c r="F95" s="147"/>
      <c r="G95" s="147"/>
      <c r="H95" s="147"/>
      <c r="I95" s="147"/>
    </row>
    <row r="96" spans="1:9" ht="15.75" customHeight="1">
      <c r="A96" s="58"/>
      <c r="B96" s="148" t="s">
        <v>301</v>
      </c>
      <c r="C96" s="148"/>
      <c r="D96" s="148"/>
      <c r="E96" s="148"/>
      <c r="F96" s="148"/>
      <c r="G96" s="148"/>
      <c r="H96" s="66"/>
      <c r="I96" s="3"/>
    </row>
    <row r="97" spans="1:9" ht="15.75" customHeight="1">
      <c r="A97" s="52"/>
      <c r="B97" s="138" t="s">
        <v>6</v>
      </c>
      <c r="C97" s="138"/>
      <c r="D97" s="138"/>
      <c r="E97" s="138"/>
      <c r="F97" s="138"/>
      <c r="G97" s="138"/>
      <c r="H97" s="25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49" t="s">
        <v>7</v>
      </c>
      <c r="B99" s="149"/>
      <c r="C99" s="149"/>
      <c r="D99" s="149"/>
      <c r="E99" s="149"/>
      <c r="F99" s="149"/>
      <c r="G99" s="149"/>
      <c r="H99" s="149"/>
      <c r="I99" s="149"/>
    </row>
    <row r="100" spans="1:9" ht="15.75" customHeight="1">
      <c r="A100" s="149" t="s">
        <v>8</v>
      </c>
      <c r="B100" s="149"/>
      <c r="C100" s="149"/>
      <c r="D100" s="149"/>
      <c r="E100" s="149"/>
      <c r="F100" s="149"/>
      <c r="G100" s="149"/>
      <c r="H100" s="149"/>
      <c r="I100" s="149"/>
    </row>
    <row r="101" spans="1:9" ht="15.75" customHeight="1">
      <c r="A101" s="142" t="s">
        <v>65</v>
      </c>
      <c r="B101" s="142"/>
      <c r="C101" s="142"/>
      <c r="D101" s="142"/>
      <c r="E101" s="142"/>
      <c r="F101" s="142"/>
      <c r="G101" s="142"/>
      <c r="H101" s="142"/>
      <c r="I101" s="142"/>
    </row>
    <row r="102" spans="1:9" ht="15.75" customHeight="1">
      <c r="A102" s="11"/>
    </row>
    <row r="103" spans="1:9" ht="15.75" customHeight="1">
      <c r="A103" s="136" t="s">
        <v>9</v>
      </c>
      <c r="B103" s="136"/>
      <c r="C103" s="136"/>
      <c r="D103" s="136"/>
      <c r="E103" s="136"/>
      <c r="F103" s="136"/>
      <c r="G103" s="136"/>
      <c r="H103" s="136"/>
      <c r="I103" s="136"/>
    </row>
    <row r="104" spans="1:9" ht="15.75" customHeight="1">
      <c r="A104" s="4"/>
    </row>
    <row r="105" spans="1:9" ht="15.75" customHeight="1">
      <c r="B105" s="55" t="s">
        <v>10</v>
      </c>
      <c r="C105" s="137" t="s">
        <v>95</v>
      </c>
      <c r="D105" s="137"/>
      <c r="E105" s="137"/>
      <c r="F105" s="64"/>
      <c r="I105" s="54"/>
    </row>
    <row r="106" spans="1:9" ht="15.75" customHeight="1">
      <c r="A106" s="52"/>
      <c r="C106" s="138" t="s">
        <v>11</v>
      </c>
      <c r="D106" s="138"/>
      <c r="E106" s="138"/>
      <c r="F106" s="25"/>
      <c r="I106" s="53" t="s">
        <v>12</v>
      </c>
    </row>
    <row r="107" spans="1:9" ht="15.75" customHeight="1">
      <c r="A107" s="26"/>
      <c r="C107" s="12"/>
      <c r="D107" s="12"/>
      <c r="G107" s="12"/>
      <c r="H107" s="12"/>
    </row>
    <row r="108" spans="1:9" ht="15.75" customHeight="1">
      <c r="B108" s="55" t="s">
        <v>13</v>
      </c>
      <c r="C108" s="139"/>
      <c r="D108" s="139"/>
      <c r="E108" s="139"/>
      <c r="F108" s="65"/>
      <c r="I108" s="54"/>
    </row>
    <row r="109" spans="1:9" ht="15.75" customHeight="1">
      <c r="A109" s="52"/>
      <c r="C109" s="140" t="s">
        <v>11</v>
      </c>
      <c r="D109" s="140"/>
      <c r="E109" s="140"/>
      <c r="F109" s="52"/>
      <c r="I109" s="53" t="s">
        <v>12</v>
      </c>
    </row>
    <row r="110" spans="1:9" ht="15.75" customHeight="1">
      <c r="A110" s="4" t="s">
        <v>14</v>
      </c>
    </row>
    <row r="111" spans="1:9" ht="15.75" customHeight="1">
      <c r="A111" s="141" t="s">
        <v>15</v>
      </c>
      <c r="B111" s="141"/>
      <c r="C111" s="141"/>
      <c r="D111" s="141"/>
      <c r="E111" s="141"/>
      <c r="F111" s="141"/>
      <c r="G111" s="141"/>
      <c r="H111" s="141"/>
      <c r="I111" s="141"/>
    </row>
    <row r="112" spans="1:9" ht="45" customHeight="1">
      <c r="A112" s="135" t="s">
        <v>16</v>
      </c>
      <c r="B112" s="135"/>
      <c r="C112" s="135"/>
      <c r="D112" s="135"/>
      <c r="E112" s="135"/>
      <c r="F112" s="135"/>
      <c r="G112" s="135"/>
      <c r="H112" s="135"/>
      <c r="I112" s="135"/>
    </row>
    <row r="113" spans="1:9" ht="30" customHeight="1">
      <c r="A113" s="135" t="s">
        <v>17</v>
      </c>
      <c r="B113" s="135"/>
      <c r="C113" s="135"/>
      <c r="D113" s="135"/>
      <c r="E113" s="135"/>
      <c r="F113" s="135"/>
      <c r="G113" s="135"/>
      <c r="H113" s="135"/>
      <c r="I113" s="135"/>
    </row>
    <row r="114" spans="1:9" ht="30" customHeight="1">
      <c r="A114" s="135" t="s">
        <v>21</v>
      </c>
      <c r="B114" s="135"/>
      <c r="C114" s="135"/>
      <c r="D114" s="135"/>
      <c r="E114" s="135"/>
      <c r="F114" s="135"/>
      <c r="G114" s="135"/>
      <c r="H114" s="135"/>
      <c r="I114" s="135"/>
    </row>
    <row r="115" spans="1:9" ht="15" customHeight="1">
      <c r="A115" s="135" t="s">
        <v>20</v>
      </c>
      <c r="B115" s="135"/>
      <c r="C115" s="135"/>
      <c r="D115" s="135"/>
      <c r="E115" s="135"/>
      <c r="F115" s="135"/>
      <c r="G115" s="135"/>
      <c r="H115" s="135"/>
      <c r="I115" s="135"/>
    </row>
  </sheetData>
  <autoFilter ref="I12:I62"/>
  <mergeCells count="30">
    <mergeCell ref="R67:U67"/>
    <mergeCell ref="A81:I81"/>
    <mergeCell ref="A3:I3"/>
    <mergeCell ref="A4:I4"/>
    <mergeCell ref="A5:I5"/>
    <mergeCell ref="A8:I8"/>
    <mergeCell ref="A10:I10"/>
    <mergeCell ref="A14:I14"/>
    <mergeCell ref="A101:I101"/>
    <mergeCell ref="A15:I15"/>
    <mergeCell ref="A28:I28"/>
    <mergeCell ref="A45:I45"/>
    <mergeCell ref="A56:I56"/>
    <mergeCell ref="A95:I95"/>
    <mergeCell ref="B96:G96"/>
    <mergeCell ref="B97:G97"/>
    <mergeCell ref="A99:I99"/>
    <mergeCell ref="A100:I100"/>
    <mergeCell ref="A85:I85"/>
    <mergeCell ref="A94:I94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9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'01.18'!Область_печати</vt:lpstr>
      <vt:lpstr>'02.18'!Область_печати</vt:lpstr>
      <vt:lpstr>'03.18'!Область_печати</vt:lpstr>
      <vt:lpstr>'04.18'!Область_печати</vt:lpstr>
      <vt:lpstr>'05.18'!Область_печати</vt:lpstr>
      <vt:lpstr>'06.18'!Область_печати</vt:lpstr>
      <vt:lpstr>'07.18'!Область_печати</vt:lpstr>
      <vt:lpstr>'08.18'!Область_печати</vt:lpstr>
      <vt:lpstr>'09.18'!Область_печати</vt:lpstr>
      <vt:lpstr>'10.18'!Область_печати</vt:lpstr>
      <vt:lpstr>'11.18'!Область_печати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2019-02-04T07:57:21Z</cp:lastPrinted>
  <dcterms:created xsi:type="dcterms:W3CDTF">2016-03-25T08:33:47Z</dcterms:created>
  <dcterms:modified xsi:type="dcterms:W3CDTF">2019-02-04T08:01:47Z</dcterms:modified>
</cp:coreProperties>
</file>