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Сов.,41" sheetId="1" r:id="rId1"/>
  </sheets>
  <definedNames>
    <definedName name="_xlnm.Print_Area" localSheetId="0">'Сов.,41'!$A$1:$U$176</definedName>
  </definedNames>
  <calcPr calcId="124519"/>
</workbook>
</file>

<file path=xl/calcChain.xml><?xml version="1.0" encoding="utf-8"?>
<calcChain xmlns="http://schemas.openxmlformats.org/spreadsheetml/2006/main">
  <c r="F156" i="1"/>
  <c r="T156"/>
  <c r="U156" s="1"/>
  <c r="U157" s="1"/>
  <c r="F144"/>
  <c r="N144" s="1"/>
  <c r="U144" s="1"/>
  <c r="L40"/>
  <c r="K40"/>
  <c r="F40"/>
  <c r="U155"/>
  <c r="H155"/>
  <c r="C174"/>
  <c r="C171"/>
  <c r="H135"/>
  <c r="U135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6"/>
  <c r="H137"/>
  <c r="H138"/>
  <c r="H139"/>
  <c r="H140"/>
  <c r="H141"/>
  <c r="H142"/>
  <c r="H143"/>
  <c r="H145"/>
  <c r="H146"/>
  <c r="H147"/>
  <c r="H148"/>
  <c r="H149"/>
  <c r="H150"/>
  <c r="H151"/>
  <c r="H152"/>
  <c r="H153"/>
  <c r="T155"/>
  <c r="T122"/>
  <c r="F154"/>
  <c r="H154" s="1"/>
  <c r="H156" l="1"/>
  <c r="H157" s="1"/>
  <c r="H144"/>
  <c r="R154"/>
  <c r="U154" s="1"/>
  <c r="R122" l="1"/>
  <c r="T131"/>
  <c r="T121"/>
  <c r="S131"/>
  <c r="S87"/>
  <c r="R131"/>
  <c r="T95"/>
  <c r="T97"/>
  <c r="T145"/>
  <c r="T72"/>
  <c r="S95"/>
  <c r="R72"/>
  <c r="R95"/>
  <c r="U94"/>
  <c r="U96"/>
  <c r="U98"/>
  <c r="U99"/>
  <c r="U100"/>
  <c r="U101"/>
  <c r="U102"/>
  <c r="U103"/>
  <c r="U105"/>
  <c r="U106"/>
  <c r="U93"/>
  <c r="U84"/>
  <c r="U86"/>
  <c r="U87"/>
  <c r="U89"/>
  <c r="U90"/>
  <c r="U83"/>
  <c r="U61"/>
  <c r="U62"/>
  <c r="U63"/>
  <c r="U64"/>
  <c r="U65"/>
  <c r="U67"/>
  <c r="U69"/>
  <c r="U70"/>
  <c r="U73"/>
  <c r="U37"/>
  <c r="U30"/>
  <c r="U31"/>
  <c r="Q152"/>
  <c r="U152" s="1"/>
  <c r="Q72" l="1"/>
  <c r="P97"/>
  <c r="P95"/>
  <c r="Q153"/>
  <c r="U153" s="1"/>
  <c r="Q131" l="1"/>
  <c r="Q145"/>
  <c r="Q151"/>
  <c r="U151" s="1"/>
  <c r="Q150"/>
  <c r="U150" s="1"/>
  <c r="Q142"/>
  <c r="Q97"/>
  <c r="Q95"/>
  <c r="P149" l="1"/>
  <c r="U149" s="1"/>
  <c r="P148"/>
  <c r="U148" s="1"/>
  <c r="F147"/>
  <c r="P147" s="1"/>
  <c r="U147" s="1"/>
  <c r="N136"/>
  <c r="L136"/>
  <c r="U136" s="1"/>
  <c r="F136"/>
  <c r="P131"/>
  <c r="P85"/>
  <c r="O146"/>
  <c r="U146" s="1"/>
  <c r="F146"/>
  <c r="L123"/>
  <c r="N85"/>
  <c r="O145"/>
  <c r="U145" s="1"/>
  <c r="O131"/>
  <c r="N143"/>
  <c r="U143" s="1"/>
  <c r="N141"/>
  <c r="U141" s="1"/>
  <c r="N142"/>
  <c r="U142" s="1"/>
  <c r="N135"/>
  <c r="N95" l="1"/>
  <c r="M140"/>
  <c r="U140" s="1"/>
  <c r="L137" l="1"/>
  <c r="U137" s="1"/>
  <c r="J122"/>
  <c r="K133"/>
  <c r="U133" s="1"/>
  <c r="F133"/>
  <c r="M131"/>
  <c r="M118"/>
  <c r="M139"/>
  <c r="U139" s="1"/>
  <c r="M85"/>
  <c r="L131"/>
  <c r="K132"/>
  <c r="U132" s="1"/>
  <c r="K131"/>
  <c r="U131" s="1"/>
  <c r="K85"/>
  <c r="U85" s="1"/>
  <c r="K130"/>
  <c r="U130" s="1"/>
  <c r="K129"/>
  <c r="U129" s="1"/>
  <c r="M72" l="1"/>
  <c r="M95"/>
  <c r="M97"/>
  <c r="M138"/>
  <c r="U138" s="1"/>
  <c r="M134"/>
  <c r="L97"/>
  <c r="L135"/>
  <c r="L72" l="1"/>
  <c r="L95"/>
  <c r="U95" s="1"/>
  <c r="L134"/>
  <c r="U134" s="1"/>
  <c r="K72"/>
  <c r="K128"/>
  <c r="U128" s="1"/>
  <c r="K127"/>
  <c r="U127" s="1"/>
  <c r="F126"/>
  <c r="J126" l="1"/>
  <c r="U126" s="1"/>
  <c r="J118"/>
  <c r="J121"/>
  <c r="J72"/>
  <c r="J125"/>
  <c r="U125" s="1"/>
  <c r="J124"/>
  <c r="U124" s="1"/>
  <c r="I97" l="1"/>
  <c r="U97" s="1"/>
  <c r="I123" l="1"/>
  <c r="U123" s="1"/>
  <c r="I122"/>
  <c r="U122" s="1"/>
  <c r="I118"/>
  <c r="U118" s="1"/>
  <c r="I121"/>
  <c r="U121" s="1"/>
  <c r="I120"/>
  <c r="U120" s="1"/>
  <c r="I119"/>
  <c r="U119" s="1"/>
  <c r="I72"/>
  <c r="U72" s="1"/>
  <c r="T108"/>
  <c r="S108"/>
  <c r="T80"/>
  <c r="S80"/>
  <c r="T41"/>
  <c r="T35"/>
  <c r="S35"/>
  <c r="H86" l="1"/>
  <c r="R108" l="1"/>
  <c r="Q108"/>
  <c r="P108"/>
  <c r="H80"/>
  <c r="R80"/>
  <c r="Q80"/>
  <c r="P80"/>
  <c r="Q79"/>
  <c r="U79" s="1"/>
  <c r="S68"/>
  <c r="R68"/>
  <c r="Q68"/>
  <c r="P68"/>
  <c r="O68"/>
  <c r="R53"/>
  <c r="S41"/>
  <c r="S42"/>
  <c r="L35"/>
  <c r="Q27"/>
  <c r="R27"/>
  <c r="O108"/>
  <c r="O80"/>
  <c r="Q55"/>
  <c r="P56"/>
  <c r="U56" s="1"/>
  <c r="Q54"/>
  <c r="P27"/>
  <c r="N108" l="1"/>
  <c r="N80"/>
  <c r="N68"/>
  <c r="O27"/>
  <c r="M108"/>
  <c r="M80"/>
  <c r="M68"/>
  <c r="L68"/>
  <c r="N27"/>
  <c r="H37"/>
  <c r="K53" l="1"/>
  <c r="U53" s="1"/>
  <c r="L108"/>
  <c r="K108"/>
  <c r="J108"/>
  <c r="I108"/>
  <c r="U108" s="1"/>
  <c r="L80"/>
  <c r="K80"/>
  <c r="J80"/>
  <c r="I80"/>
  <c r="U80" s="1"/>
  <c r="I55"/>
  <c r="I54"/>
  <c r="M55"/>
  <c r="M54"/>
  <c r="M27"/>
  <c r="U27" s="1"/>
  <c r="M20"/>
  <c r="U20" s="1"/>
  <c r="U54" l="1"/>
  <c r="U55"/>
  <c r="K68" l="1"/>
  <c r="L41" l="1"/>
  <c r="K35"/>
  <c r="K41" l="1"/>
  <c r="J35"/>
  <c r="J68" l="1"/>
  <c r="U91" l="1"/>
  <c r="I68"/>
  <c r="U68" s="1"/>
  <c r="I41"/>
  <c r="J41"/>
  <c r="I42"/>
  <c r="J42"/>
  <c r="I35"/>
  <c r="U35" s="1"/>
  <c r="U42" l="1"/>
  <c r="U41"/>
  <c r="H106"/>
  <c r="H105"/>
  <c r="H103"/>
  <c r="H102"/>
  <c r="H101"/>
  <c r="H100"/>
  <c r="H99"/>
  <c r="H98"/>
  <c r="H97"/>
  <c r="H96"/>
  <c r="H95"/>
  <c r="H94"/>
  <c r="H93"/>
  <c r="F104"/>
  <c r="H90"/>
  <c r="F73"/>
  <c r="F72"/>
  <c r="E111"/>
  <c r="F54"/>
  <c r="F49"/>
  <c r="F45"/>
  <c r="F16"/>
  <c r="F15"/>
  <c r="H104" l="1"/>
  <c r="M104"/>
  <c r="Q104"/>
  <c r="M45"/>
  <c r="U45" s="1"/>
  <c r="Q45"/>
  <c r="M16"/>
  <c r="U16" s="1"/>
  <c r="Q16"/>
  <c r="M49"/>
  <c r="U49" s="1"/>
  <c r="Q49"/>
  <c r="M15"/>
  <c r="U15" s="1"/>
  <c r="Q15"/>
  <c r="H49"/>
  <c r="H107"/>
  <c r="U104" l="1"/>
  <c r="U107" s="1"/>
  <c r="F28"/>
  <c r="P28" l="1"/>
  <c r="R28"/>
  <c r="Q28"/>
  <c r="N28"/>
  <c r="O28"/>
  <c r="M28"/>
  <c r="U28" l="1"/>
  <c r="F55"/>
  <c r="H84"/>
  <c r="H83"/>
  <c r="H68"/>
  <c r="F67"/>
  <c r="H67" s="1"/>
  <c r="F50"/>
  <c r="F47"/>
  <c r="F39"/>
  <c r="H27"/>
  <c r="F19"/>
  <c r="M19" s="1"/>
  <c r="U19" s="1"/>
  <c r="M47" l="1"/>
  <c r="U47" s="1"/>
  <c r="Q47"/>
  <c r="T39"/>
  <c r="S39"/>
  <c r="M50"/>
  <c r="T50"/>
  <c r="Q50"/>
  <c r="L39"/>
  <c r="K39"/>
  <c r="I39"/>
  <c r="J39"/>
  <c r="I50"/>
  <c r="U50" s="1"/>
  <c r="J50"/>
  <c r="H50"/>
  <c r="F79"/>
  <c r="F36"/>
  <c r="E13"/>
  <c r="F13" s="1"/>
  <c r="U39" l="1"/>
  <c r="P13"/>
  <c r="T13"/>
  <c r="R13"/>
  <c r="Q13"/>
  <c r="S13"/>
  <c r="T36"/>
  <c r="S36"/>
  <c r="O13"/>
  <c r="N13"/>
  <c r="M13"/>
  <c r="L36"/>
  <c r="K36"/>
  <c r="L13"/>
  <c r="K13"/>
  <c r="J13"/>
  <c r="I13"/>
  <c r="U13" s="1"/>
  <c r="I36"/>
  <c r="J36"/>
  <c r="H164"/>
  <c r="H163"/>
  <c r="F160"/>
  <c r="H159"/>
  <c r="H114"/>
  <c r="F109"/>
  <c r="H89"/>
  <c r="F87"/>
  <c r="H87" s="1"/>
  <c r="H85"/>
  <c r="H79"/>
  <c r="F78"/>
  <c r="F77"/>
  <c r="F76"/>
  <c r="F75"/>
  <c r="F74"/>
  <c r="H73"/>
  <c r="H72"/>
  <c r="H70"/>
  <c r="H69"/>
  <c r="H65"/>
  <c r="F63"/>
  <c r="H63" s="1"/>
  <c r="H61"/>
  <c r="F60"/>
  <c r="F59"/>
  <c r="H59" s="1"/>
  <c r="H56"/>
  <c r="H54"/>
  <c r="H53"/>
  <c r="F52"/>
  <c r="F51"/>
  <c r="F48"/>
  <c r="H47"/>
  <c r="F46"/>
  <c r="H45"/>
  <c r="H42"/>
  <c r="H41"/>
  <c r="H39"/>
  <c r="F38"/>
  <c r="H36"/>
  <c r="H35"/>
  <c r="F32"/>
  <c r="H31"/>
  <c r="H30"/>
  <c r="F29"/>
  <c r="H28"/>
  <c r="F26"/>
  <c r="F25"/>
  <c r="F24"/>
  <c r="F21"/>
  <c r="F18"/>
  <c r="F17"/>
  <c r="F14"/>
  <c r="H13"/>
  <c r="F12"/>
  <c r="F11"/>
  <c r="U36" l="1"/>
  <c r="S11"/>
  <c r="T11"/>
  <c r="R11"/>
  <c r="P11"/>
  <c r="Q11"/>
  <c r="P25"/>
  <c r="R25"/>
  <c r="Q25"/>
  <c r="P32"/>
  <c r="T32"/>
  <c r="R32"/>
  <c r="Q32"/>
  <c r="S32"/>
  <c r="O51"/>
  <c r="U51" s="1"/>
  <c r="R51"/>
  <c r="T60"/>
  <c r="S60"/>
  <c r="L60"/>
  <c r="P12"/>
  <c r="T12"/>
  <c r="Q12"/>
  <c r="S12"/>
  <c r="R12"/>
  <c r="Q24"/>
  <c r="R24"/>
  <c r="P24"/>
  <c r="S29"/>
  <c r="T29"/>
  <c r="R29"/>
  <c r="P29"/>
  <c r="Q29"/>
  <c r="T38"/>
  <c r="S38"/>
  <c r="M46"/>
  <c r="U46" s="1"/>
  <c r="Q46"/>
  <c r="M48"/>
  <c r="U48" s="1"/>
  <c r="Q48"/>
  <c r="O52"/>
  <c r="U52" s="1"/>
  <c r="R52"/>
  <c r="H109"/>
  <c r="T109"/>
  <c r="O24"/>
  <c r="O11"/>
  <c r="N12"/>
  <c r="O12"/>
  <c r="M12"/>
  <c r="H14"/>
  <c r="M14"/>
  <c r="U14" s="1"/>
  <c r="H18"/>
  <c r="M18"/>
  <c r="U18" s="1"/>
  <c r="N24"/>
  <c r="M24"/>
  <c r="U24" s="1"/>
  <c r="H26"/>
  <c r="M26"/>
  <c r="U26" s="1"/>
  <c r="O29"/>
  <c r="N29"/>
  <c r="M29"/>
  <c r="H75"/>
  <c r="M75"/>
  <c r="U75" s="1"/>
  <c r="H77"/>
  <c r="M77"/>
  <c r="U77" s="1"/>
  <c r="N11"/>
  <c r="M11"/>
  <c r="H17"/>
  <c r="M17"/>
  <c r="U17" s="1"/>
  <c r="H21"/>
  <c r="M21"/>
  <c r="U21" s="1"/>
  <c r="N25"/>
  <c r="O25"/>
  <c r="M25"/>
  <c r="U25" s="1"/>
  <c r="N32"/>
  <c r="O32"/>
  <c r="M32"/>
  <c r="H74"/>
  <c r="M74"/>
  <c r="U74" s="1"/>
  <c r="H76"/>
  <c r="M76"/>
  <c r="U76" s="1"/>
  <c r="H78"/>
  <c r="M78"/>
  <c r="U78" s="1"/>
  <c r="L11"/>
  <c r="K11"/>
  <c r="J11"/>
  <c r="L12"/>
  <c r="K12"/>
  <c r="K29"/>
  <c r="L29"/>
  <c r="J29"/>
  <c r="L38"/>
  <c r="K38"/>
  <c r="K60"/>
  <c r="J60"/>
  <c r="K32"/>
  <c r="L32"/>
  <c r="J32"/>
  <c r="I11"/>
  <c r="U11" s="1"/>
  <c r="J12"/>
  <c r="I12"/>
  <c r="I29"/>
  <c r="U29" s="1"/>
  <c r="I38"/>
  <c r="J38"/>
  <c r="I60"/>
  <c r="U60" s="1"/>
  <c r="I32"/>
  <c r="U32" s="1"/>
  <c r="U40"/>
  <c r="H81"/>
  <c r="H25"/>
  <c r="H24"/>
  <c r="H52"/>
  <c r="H46"/>
  <c r="H48"/>
  <c r="H51"/>
  <c r="H38"/>
  <c r="H60"/>
  <c r="H40"/>
  <c r="H32"/>
  <c r="H91"/>
  <c r="H12"/>
  <c r="H108"/>
  <c r="H110" s="1"/>
  <c r="H15"/>
  <c r="H55"/>
  <c r="H11"/>
  <c r="H16"/>
  <c r="H29"/>
  <c r="F111"/>
  <c r="H19"/>
  <c r="U38" l="1"/>
  <c r="U12"/>
  <c r="U81"/>
  <c r="H43"/>
  <c r="T111"/>
  <c r="R111"/>
  <c r="P111"/>
  <c r="S111"/>
  <c r="Q111"/>
  <c r="Q160" s="1"/>
  <c r="O111"/>
  <c r="P160"/>
  <c r="O160"/>
  <c r="N111"/>
  <c r="N160" s="1"/>
  <c r="M111"/>
  <c r="H111"/>
  <c r="K111"/>
  <c r="I111"/>
  <c r="L111"/>
  <c r="J111"/>
  <c r="M160"/>
  <c r="H33"/>
  <c r="R160"/>
  <c r="S160"/>
  <c r="T160"/>
  <c r="H57"/>
  <c r="U110"/>
  <c r="U57"/>
  <c r="J160"/>
  <c r="L160"/>
  <c r="K160"/>
  <c r="U33"/>
  <c r="H112"/>
  <c r="H22"/>
  <c r="U111" l="1"/>
  <c r="U43"/>
  <c r="U112"/>
  <c r="H113"/>
  <c r="H115" s="1"/>
  <c r="G160" s="1"/>
  <c r="H160" s="1"/>
  <c r="U22"/>
  <c r="I160"/>
  <c r="U113" l="1"/>
  <c r="C173" l="1"/>
  <c r="U160"/>
  <c r="C172"/>
  <c r="C176" s="1"/>
</calcChain>
</file>

<file path=xl/sharedStrings.xml><?xml version="1.0" encoding="utf-8"?>
<sst xmlns="http://schemas.openxmlformats.org/spreadsheetml/2006/main" count="495" uniqueCount="337">
  <si>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</si>
  <si>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</si>
  <si>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</si>
  <si>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</si>
  <si>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</si>
  <si>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</si>
  <si>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</si>
  <si>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</si>
  <si>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</si>
  <si>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</si>
  <si>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</si>
  <si>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</si>
  <si>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</si>
  <si>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</si>
  <si>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</si>
  <si>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</si>
  <si>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</si>
  <si>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</si>
  <si>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</si>
  <si>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</si>
  <si>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</si>
  <si>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</si>
  <si>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</si>
  <si>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</si>
  <si>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</si>
  <si>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</si>
  <si>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</si>
  <si>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</si>
  <si>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</si>
  <si>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</si>
  <si>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</si>
  <si>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</si>
  <si>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</si>
  <si>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</si>
  <si>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</si>
  <si>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</si>
  <si>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</si>
  <si>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</si>
  <si>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</si>
  <si>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</si>
  <si>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</si>
  <si>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</si>
  <si>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</si>
  <si>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</si>
  <si>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</si>
  <si>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</si>
  <si>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</si>
  <si>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</si>
  <si>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</si>
  <si>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</si>
  <si>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</si>
  <si>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155 раз за сезон</t>
  </si>
  <si>
    <t>Очистка отмостки от снега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</si>
  <si>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</si>
  <si>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</si>
  <si>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</si>
  <si>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</si>
  <si>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</si>
  <si>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</si>
  <si>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</si>
  <si>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</si>
  <si>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</si>
  <si>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</si>
  <si>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</si>
  <si>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</si>
  <si>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</si>
  <si>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</si>
  <si>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</si>
  <si>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</si>
  <si>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</si>
  <si>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</si>
  <si>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</si>
  <si>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</si>
  <si>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</si>
  <si>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</si>
  <si>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>ТЭР 17-071</t>
  </si>
  <si>
    <t>Очистка кровли от мусора</t>
  </si>
  <si>
    <t xml:space="preserve">6 раз за сезон </t>
  </si>
  <si>
    <t xml:space="preserve">пр.ТЭР 54-041 </t>
  </si>
  <si>
    <t xml:space="preserve"> -от слежавшегося снега со сбрасыванием сосулек</t>
  </si>
  <si>
    <t>Чердак, подвал, технический этаж</t>
  </si>
  <si>
    <t>ТЭР 51-034</t>
  </si>
  <si>
    <t xml:space="preserve"> - очистка от мусора</t>
  </si>
  <si>
    <t xml:space="preserve"> - дератизация</t>
  </si>
  <si>
    <t>м2</t>
  </si>
  <si>
    <t>12 раз в год</t>
  </si>
  <si>
    <t>ТЭР 11-014</t>
  </si>
  <si>
    <t xml:space="preserve"> - закрытие проемов металлическими листами</t>
  </si>
  <si>
    <t>ТЭР 15-028</t>
  </si>
  <si>
    <t xml:space="preserve"> - утепление входных дверей</t>
  </si>
  <si>
    <t>10шт</t>
  </si>
  <si>
    <t>ТЭР 31-057</t>
  </si>
  <si>
    <t xml:space="preserve"> - утепление трубопроводов в тамбуре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</si>
  <si>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</si>
  <si>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</si>
  <si>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</si>
  <si>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</si>
  <si>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</si>
  <si>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</si>
  <si>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</si>
  <si>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</si>
  <si>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</si>
  <si>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</si>
  <si>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</si>
  <si>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</si>
  <si>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</si>
  <si>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</si>
  <si>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</si>
  <si>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</si>
  <si>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</si>
  <si>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</si>
  <si>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</si>
  <si>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</si>
  <si>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</si>
  <si>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ТЭР 17-013</t>
  </si>
  <si>
    <t>Ремонт рулонной кровли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</si>
  <si>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</si>
  <si>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</si>
  <si>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</si>
  <si>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</si>
  <si>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</si>
  <si>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</si>
  <si>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</si>
  <si>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</si>
  <si>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</si>
  <si>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</si>
  <si>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>Обслуживание внутридомовое газовое оборудование</t>
  </si>
  <si>
    <t>плита</t>
  </si>
  <si>
    <t>водонагреватель</t>
  </si>
  <si>
    <t>Генеральный директор ООО "Жилсервис"_______Ю.Л.Куканов</t>
  </si>
  <si>
    <t xml:space="preserve">1 раз в год     </t>
  </si>
  <si>
    <t>1 раз в месяц</t>
  </si>
  <si>
    <t xml:space="preserve">Влажная протирка шкафов для щитов </t>
  </si>
  <si>
    <t>Очистка урн от мусора</t>
  </si>
  <si>
    <t>30 раз за сезон</t>
  </si>
  <si>
    <t>Осмотр кровли металлической</t>
  </si>
  <si>
    <t>Очистка чердака от мусора</t>
  </si>
  <si>
    <t>Дератизация</t>
  </si>
  <si>
    <t>Вода для промывки системы отопления</t>
  </si>
  <si>
    <t>Спуск воды после промывки системы отопления в канализацию</t>
  </si>
  <si>
    <t>Обслуживание прибора учета тепловой энергии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</si>
  <si>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</si>
  <si>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</si>
  <si>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</si>
  <si>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</si>
  <si>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</si>
  <si>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</si>
  <si>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</si>
  <si>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</si>
  <si>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</si>
  <si>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</si>
  <si>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</si>
  <si>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 xml:space="preserve">1 раз в год  </t>
  </si>
  <si>
    <t>35 раз за сезон</t>
  </si>
  <si>
    <t>Смена светодиодных светильников</t>
  </si>
  <si>
    <t>счет-фактура</t>
  </si>
  <si>
    <t>Стоимость светодиодного светильника</t>
  </si>
  <si>
    <t>руб.</t>
  </si>
  <si>
    <t>Смена плавкой вставки в электрощите</t>
  </si>
  <si>
    <t>3 раза в год</t>
  </si>
  <si>
    <t>калькуляция</t>
  </si>
  <si>
    <t>Работа автовышки</t>
  </si>
  <si>
    <t>маш/час</t>
  </si>
  <si>
    <t>договор</t>
  </si>
  <si>
    <t>ТО внутридомового газ.оборудования</t>
  </si>
  <si>
    <t>Стоимость (руб.)</t>
  </si>
  <si>
    <t>Вывоз снега с придомовой территории</t>
  </si>
  <si>
    <t>5 этажей, 4 подъезда</t>
  </si>
  <si>
    <t>Выполне  ние       май</t>
  </si>
  <si>
    <t>Ремонт групповых щитков на лестничной клетке без ремонта автоматов</t>
  </si>
  <si>
    <t>Итого:</t>
  </si>
  <si>
    <t>Водоснабжение, канализация</t>
  </si>
  <si>
    <t>Зачеканка раструбов канализационных труб диаметром до 100 мм</t>
  </si>
  <si>
    <t>Очистка канализационной сети внутренней</t>
  </si>
  <si>
    <t>Прочистка засоров ГВС, ХВС</t>
  </si>
  <si>
    <t>Уборка фекалий из подвала</t>
  </si>
  <si>
    <t>Водоотлив из подвала электрическими (механическими) насосами (100 м3 воды)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</si>
  <si>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</si>
  <si>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</si>
  <si>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</si>
  <si>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Ремонт вентильных кранов д=40 со снятием с места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</si>
  <si>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</si>
  <si>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</si>
  <si>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</si>
  <si>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</si>
  <si>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 шт.</t>
  </si>
  <si>
    <t>1 м</t>
  </si>
  <si>
    <t>3 м</t>
  </si>
  <si>
    <t>10 м3</t>
  </si>
  <si>
    <t>Смена полиэтиленовых канализационных труб диаметром до 100 мм (без стоимости креплений)</t>
  </si>
  <si>
    <t>100 м канализационного лежака</t>
  </si>
  <si>
    <t>Р. 11.1 (прим.)</t>
  </si>
  <si>
    <t>Р 11.4</t>
  </si>
  <si>
    <t>Р. 11.3</t>
  </si>
  <si>
    <t>Смена дверных приборов (замки навесные)</t>
  </si>
  <si>
    <t>Внеплановый осмотр электросетей, армазуры и электрооборудования на лестничных клетках</t>
  </si>
  <si>
    <t>смета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</si>
  <si>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</si>
  <si>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</si>
  <si>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</si>
  <si>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</si>
  <si>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</si>
  <si>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</si>
  <si>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</si>
  <si>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</si>
  <si>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 xml:space="preserve">Очистка края кровли от слежавшегося снега со сбрасыванием сосулек (10% от S кровли) 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</si>
  <si>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</si>
  <si>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</si>
  <si>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</si>
  <si>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</si>
  <si>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</si>
  <si>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</si>
  <si>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</si>
  <si>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</si>
  <si>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</si>
  <si>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</si>
  <si>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</si>
  <si>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</si>
  <si>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</si>
  <si>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</si>
  <si>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</si>
  <si>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</si>
  <si>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</si>
  <si>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</si>
  <si>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</si>
  <si>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</si>
  <si>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</si>
  <si>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</si>
  <si>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</si>
  <si>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</si>
  <si>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</si>
  <si>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</si>
  <si>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</si>
  <si>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</si>
  <si>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</si>
  <si>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42-001</t>
  </si>
  <si>
    <t>ТЕР 54-041 и 42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</si>
  <si>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</si>
  <si>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</si>
  <si>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</si>
  <si>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</si>
  <si>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</si>
  <si>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</si>
  <si>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</si>
  <si>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пр.ТЕР 33-024</t>
  </si>
  <si>
    <t>ТЕР 33-019</t>
  </si>
  <si>
    <t>ТЕР 33-043</t>
  </si>
  <si>
    <t>ТЕР 32-101</t>
  </si>
  <si>
    <t>ТЕР 32-079</t>
  </si>
  <si>
    <t>ТЕР 32-080</t>
  </si>
  <si>
    <t>ТЕР 32-071</t>
  </si>
  <si>
    <t>ТЕР 32-089</t>
  </si>
  <si>
    <t xml:space="preserve">ТЕР 32-007 </t>
  </si>
  <si>
    <t>ТЕР 32-009</t>
  </si>
  <si>
    <t>ТЕР 51-035</t>
  </si>
  <si>
    <t>ТЕР 11-012</t>
  </si>
  <si>
    <t>ТЕР 32-082</t>
  </si>
  <si>
    <t>ТЕР 32-083</t>
  </si>
  <si>
    <t>ТЕР 33-030</t>
  </si>
  <si>
    <t>ТЕР 15-051</t>
  </si>
  <si>
    <t>пр.ТЕР 11-013</t>
  </si>
  <si>
    <t>ТЕР 33-060</t>
  </si>
  <si>
    <t>Подключение и отключение сварочного аппарата</t>
  </si>
  <si>
    <t>ТЕР 33-049</t>
  </si>
  <si>
    <t>Смена трубопроводов на полипропиленовые трубы PN25 диаметром 20мм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</si>
  <si>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</si>
  <si>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</si>
  <si>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</si>
  <si>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счёт</t>
  </si>
  <si>
    <t>1 сгон</t>
  </si>
  <si>
    <t>Смена трубопроводов на полипропиленовые трубы PN25 диаметром 25мм</t>
  </si>
  <si>
    <t>ТЕР 2-1-1б</t>
  </si>
  <si>
    <t>Внеплановая проверка вентканалов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</si>
  <si>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</si>
  <si>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41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 xml:space="preserve">за 2017 год </t>
    </r>
  </si>
  <si>
    <t>Ремонт групповых щитков на лестничной клетке со сменой автоматов</t>
  </si>
  <si>
    <t>ТЕР 33-031</t>
  </si>
  <si>
    <t>Смена автомата на ток до 25А</t>
  </si>
  <si>
    <t>ТЕР 33-046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</si>
  <si>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</si>
  <si>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</si>
  <si>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</si>
  <si>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</si>
  <si>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Смена трубопроводов на металл-полимерные трубы диамером 20 мм</t>
  </si>
  <si>
    <t xml:space="preserve">Смена сосков у трубопроводов диаметром до 20 мм </t>
  </si>
  <si>
    <t>пр.ТЕР 31-009</t>
  </si>
  <si>
    <t>ТЕР 21-001</t>
  </si>
  <si>
    <t>Ремонт штукатурки внугренних стен по камню известковым раствором площадью до 1 м2 толщиной слоя до 20 мм</t>
  </si>
  <si>
    <t>10 м2</t>
  </si>
  <si>
    <t>Смена трубопроводов на металл-полимерные трубы диамером 25 мм</t>
  </si>
  <si>
    <t>ТЕР 32-092</t>
  </si>
  <si>
    <t xml:space="preserve">Смена внутренних трубопроводов из стальных труб диаметром до 100 мм </t>
  </si>
  <si>
    <t>Смена арматуры - вентилей и клапанов обратных муфтовых диаметром до 20 мм</t>
  </si>
  <si>
    <t>1 шт</t>
  </si>
  <si>
    <t>ТЕР 32-027</t>
  </si>
  <si>
    <t>Дезинфекция подвала</t>
  </si>
  <si>
    <t>ТЕР 32-065</t>
  </si>
  <si>
    <t xml:space="preserve">Набивка сальника </t>
  </si>
  <si>
    <t>ТЕР 33-034</t>
  </si>
  <si>
    <t>Смена отдельных участков наружной проводки</t>
  </si>
  <si>
    <t>м</t>
  </si>
  <si>
    <t>ТЕР 33-028</t>
  </si>
  <si>
    <t>Смена патронов</t>
  </si>
  <si>
    <t>Внеплановый осмотр элекгросетей, арматуры и электрооборудования на чердаках и подвалах</t>
  </si>
  <si>
    <t>Ремонт силового предохранительного шкафа (без стоимости материалов)</t>
  </si>
  <si>
    <t>ТЕР 33-032</t>
  </si>
  <si>
    <t>Ремонт слуховых окон фанерой</t>
  </si>
  <si>
    <t>ТЕР 17-011</t>
  </si>
  <si>
    <t>Ремонт отдельными местами рулонного покрытия, промазка битумными составами отдельными местами рулонного покрытия, замена 1 слоя (ремонт козырька над аптекой)</t>
  </si>
  <si>
    <t>Работа погрузчика</t>
  </si>
  <si>
    <t>Смена арматуры - задвижек диаметром 100 мм</t>
  </si>
  <si>
    <t>ТЕР 32-035</t>
  </si>
  <si>
    <t>пр.ТЕР 32-028</t>
  </si>
  <si>
    <t>Смена вентилей ПП диаметром 25 мм</t>
  </si>
  <si>
    <t>пр.ТЕР 33-018</t>
  </si>
  <si>
    <t>Демонтаж приборов ПРЭМ-50 на госповерку</t>
  </si>
  <si>
    <t>Демонтаж кабеля</t>
  </si>
  <si>
    <t>10 м</t>
  </si>
  <si>
    <t>ТЕР 33-012</t>
  </si>
  <si>
    <t>Поверка средств измерений: тепловычислитель СПТ941</t>
  </si>
  <si>
    <t>Поверка средств измерений: преобразователь расхода электромагнитные ПРЭМ</t>
  </si>
  <si>
    <t xml:space="preserve">Вывертывание и ввертывание радиаторной пробки.   </t>
  </si>
  <si>
    <t>1 пробка</t>
  </si>
  <si>
    <t>пр.ТЕР 2-2-1-1-6</t>
  </si>
  <si>
    <t>пр.ТЕР 15-022</t>
  </si>
  <si>
    <t>Смена оконных приборов - ручки (окна ПВХ)</t>
  </si>
  <si>
    <t>пр.ТЕР 33-027</t>
  </si>
  <si>
    <t>Монтаж тепловычислителя после госповерки</t>
  </si>
  <si>
    <t>пр.ТЕР 21-005</t>
  </si>
  <si>
    <t>Оштукатуривание оголовков</t>
  </si>
  <si>
    <t>Установка козырьков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</si>
  <si>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</si>
  <si>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</si>
  <si>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тыс.руб.</t>
  </si>
  <si>
    <t>15 раз за сезон</t>
  </si>
  <si>
    <t>Сверхнормативы по ОДП за 1 полугодие</t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</si>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</sst>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21"/>
        <bgColor indexed="30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11" borderId="0" xfId="0" applyFill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8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8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4" fontId="15" fillId="4" borderId="2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4" fontId="3" fillId="11" borderId="1" xfId="0" applyNumberFormat="1" applyFont="1" applyFill="1" applyBorder="1" applyAlignment="1">
      <alignment horizontal="center" vertical="center" wrapText="1"/>
    </xf>
    <xf numFmtId="4" fontId="3" fillId="11" borderId="1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 wrapText="1"/>
    </xf>
    <xf numFmtId="4" fontId="3" fillId="11" borderId="3" xfId="0" applyNumberFormat="1" applyFont="1" applyFill="1" applyBorder="1" applyAlignment="1">
      <alignment horizontal="center" vertical="center" wrapText="1"/>
    </xf>
    <xf numFmtId="4" fontId="3" fillId="11" borderId="3" xfId="0" applyNumberFormat="1" applyFont="1" applyFill="1" applyBorder="1" applyAlignment="1">
      <alignment horizontal="center" vertical="center"/>
    </xf>
    <xf numFmtId="4" fontId="3" fillId="10" borderId="8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4" fontId="1" fillId="5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10" xfId="0" applyFont="1" applyBorder="1"/>
    <xf numFmtId="4" fontId="1" fillId="0" borderId="10" xfId="0" applyNumberFormat="1" applyFont="1" applyBorder="1" applyAlignment="1">
      <alignment horizontal="center" vertical="top" wrapText="1"/>
    </xf>
    <xf numFmtId="4" fontId="1" fillId="0" borderId="10" xfId="0" applyNumberFormat="1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 applyProtection="1">
      <alignment horizontal="left" vertical="top" wrapText="1"/>
      <protection hidden="1"/>
    </xf>
    <xf numFmtId="2" fontId="1" fillId="0" borderId="3" xfId="0" applyNumberFormat="1" applyFont="1" applyFill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left" vertical="top" wrapText="1"/>
    </xf>
    <xf numFmtId="4" fontId="1" fillId="0" borderId="3" xfId="0" applyNumberFormat="1" applyFont="1" applyBorder="1"/>
    <xf numFmtId="4" fontId="1" fillId="0" borderId="3" xfId="0" applyNumberFormat="1" applyFont="1" applyFill="1" applyBorder="1" applyAlignment="1" applyProtection="1">
      <alignment horizontal="left" vertical="top" wrapText="1"/>
      <protection hidden="1"/>
    </xf>
    <xf numFmtId="4" fontId="1" fillId="0" borderId="3" xfId="0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0" xfId="0" applyFont="1"/>
    <xf numFmtId="0" fontId="10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 wrapText="1"/>
    </xf>
    <xf numFmtId="4" fontId="3" fillId="7" borderId="3" xfId="0" applyNumberFormat="1" applyFont="1" applyFill="1" applyBorder="1" applyAlignment="1">
      <alignment horizontal="center" vertical="center" wrapText="1"/>
    </xf>
    <xf numFmtId="4" fontId="3" fillId="7" borderId="3" xfId="0" applyNumberFormat="1" applyFont="1" applyFill="1" applyBorder="1" applyAlignment="1">
      <alignment horizontal="center" vertical="center"/>
    </xf>
    <xf numFmtId="4" fontId="3" fillId="13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3" fillId="4" borderId="1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4" fontId="1" fillId="13" borderId="8" xfId="0" applyNumberFormat="1" applyFont="1" applyFill="1" applyBorder="1" applyAlignment="1">
      <alignment horizontal="center" vertical="center"/>
    </xf>
    <xf numFmtId="0" fontId="0" fillId="14" borderId="0" xfId="0" applyFill="1"/>
    <xf numFmtId="0" fontId="1" fillId="0" borderId="3" xfId="0" applyFont="1" applyFill="1" applyBorder="1" applyAlignment="1">
      <alignment horizontal="left" vertical="center"/>
    </xf>
    <xf numFmtId="4" fontId="3" fillId="9" borderId="3" xfId="0" applyNumberFormat="1" applyFont="1" applyFill="1" applyBorder="1" applyAlignment="1">
      <alignment vertical="center"/>
    </xf>
    <xf numFmtId="4" fontId="3" fillId="9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0" fillId="15" borderId="0" xfId="0" applyFill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4" fontId="1" fillId="8" borderId="14" xfId="0" applyNumberFormat="1" applyFont="1" applyFill="1" applyBorder="1" applyAlignment="1">
      <alignment horizontal="center" vertical="center"/>
    </xf>
    <xf numFmtId="0" fontId="0" fillId="0" borderId="0" xfId="0" applyFill="1"/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80"/>
  <sheetViews>
    <sheetView tabSelected="1" view="pageBreakPreview" topLeftCell="C1" zoomScale="80" zoomScaleNormal="75" zoomScaleSheetLayoutView="80" workbookViewId="0">
      <pane ySplit="7" topLeftCell="A142" activePane="bottomLeft" state="frozen"/>
      <selection activeCell="B1" sqref="B1"/>
      <selection pane="bottomLeft" activeCell="B177" sqref="B17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6" width="10.140625" customWidth="1"/>
    <col min="7" max="7" width="11.42578125" customWidth="1"/>
    <col min="8" max="8" width="11.5703125" customWidth="1"/>
    <col min="9" max="12" width="9.85546875" customWidth="1"/>
    <col min="13" max="13" width="10.7109375" customWidth="1"/>
    <col min="14" max="15" width="10.5703125" customWidth="1"/>
    <col min="16" max="16" width="10.7109375" customWidth="1"/>
    <col min="17" max="17" width="11" customWidth="1"/>
    <col min="18" max="18" width="10.7109375" customWidth="1"/>
    <col min="19" max="19" width="10.5703125" customWidth="1"/>
    <col min="20" max="20" width="11" customWidth="1"/>
    <col min="21" max="21" width="12.28515625" customWidth="1"/>
  </cols>
  <sheetData>
    <row r="1" spans="1:21" ht="14.25" customHeight="1"/>
    <row r="3" spans="1:21" ht="18">
      <c r="A3" s="147"/>
      <c r="B3" s="218" t="s">
        <v>0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121"/>
      <c r="N3" s="121"/>
      <c r="O3" s="121"/>
      <c r="P3" s="121"/>
      <c r="Q3" s="121"/>
      <c r="R3" s="121"/>
      <c r="S3" s="121"/>
      <c r="T3" s="121"/>
      <c r="U3" s="121"/>
    </row>
    <row r="4" spans="1:21" ht="33.75" customHeight="1">
      <c r="A4" s="121"/>
      <c r="B4" s="219" t="s">
        <v>1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121"/>
      <c r="N4" s="121"/>
      <c r="O4" s="121"/>
      <c r="P4" s="121"/>
      <c r="Q4" s="121"/>
      <c r="R4" s="121"/>
      <c r="S4" s="121"/>
      <c r="T4" s="121"/>
      <c r="U4" s="121"/>
    </row>
    <row r="5" spans="1:21" ht="18">
      <c r="A5" s="121"/>
      <c r="B5" s="219" t="s">
        <v>274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121"/>
      <c r="N5" s="121"/>
      <c r="O5" s="121"/>
      <c r="P5" s="121"/>
      <c r="Q5" s="121"/>
      <c r="R5" s="121"/>
      <c r="S5" s="121"/>
      <c r="T5" s="121"/>
      <c r="U5" s="121"/>
    </row>
    <row r="6" spans="1:21" ht="15">
      <c r="A6" s="121"/>
      <c r="B6" s="220" t="s">
        <v>167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121"/>
      <c r="N6" s="121"/>
      <c r="O6" s="121"/>
      <c r="P6" s="121"/>
      <c r="Q6" s="121"/>
      <c r="R6" s="121"/>
      <c r="S6" s="121"/>
      <c r="T6" s="121"/>
      <c r="U6" s="121"/>
    </row>
    <row r="7" spans="1:21" ht="46.5" customHeight="1">
      <c r="A7" s="184" t="s">
        <v>2</v>
      </c>
      <c r="B7" s="185" t="s">
        <v>3</v>
      </c>
      <c r="C7" s="185" t="s">
        <v>4</v>
      </c>
      <c r="D7" s="185" t="s">
        <v>5</v>
      </c>
      <c r="E7" s="185" t="s">
        <v>6</v>
      </c>
      <c r="F7" s="185" t="s">
        <v>7</v>
      </c>
      <c r="G7" s="185" t="s">
        <v>8</v>
      </c>
      <c r="H7" s="186" t="s">
        <v>9</v>
      </c>
      <c r="I7" s="25" t="s">
        <v>141</v>
      </c>
      <c r="J7" s="25" t="s">
        <v>142</v>
      </c>
      <c r="K7" s="25" t="s">
        <v>143</v>
      </c>
      <c r="L7" s="25" t="s">
        <v>144</v>
      </c>
      <c r="M7" s="25" t="s">
        <v>168</v>
      </c>
      <c r="N7" s="25" t="s">
        <v>145</v>
      </c>
      <c r="O7" s="25" t="s">
        <v>146</v>
      </c>
      <c r="P7" s="25" t="s">
        <v>147</v>
      </c>
      <c r="Q7" s="25" t="s">
        <v>148</v>
      </c>
      <c r="R7" s="25" t="s">
        <v>149</v>
      </c>
      <c r="S7" s="25" t="s">
        <v>150</v>
      </c>
      <c r="T7" s="25" t="s">
        <v>151</v>
      </c>
      <c r="U7" s="25" t="s">
        <v>165</v>
      </c>
    </row>
    <row r="8" spans="1:21">
      <c r="A8" s="187">
        <v>1</v>
      </c>
      <c r="B8" s="8">
        <v>2</v>
      </c>
      <c r="C8" s="26">
        <v>3</v>
      </c>
      <c r="D8" s="8">
        <v>4</v>
      </c>
      <c r="E8" s="8">
        <v>5</v>
      </c>
      <c r="F8" s="26">
        <v>6</v>
      </c>
      <c r="G8" s="26">
        <v>7</v>
      </c>
      <c r="H8" s="148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</row>
    <row r="9" spans="1:21" ht="38.25">
      <c r="A9" s="187"/>
      <c r="B9" s="10" t="s">
        <v>10</v>
      </c>
      <c r="C9" s="26"/>
      <c r="D9" s="11"/>
      <c r="E9" s="11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87"/>
      <c r="B10" s="10" t="s">
        <v>11</v>
      </c>
      <c r="C10" s="26"/>
      <c r="D10" s="11"/>
      <c r="E10" s="11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87" t="s">
        <v>206</v>
      </c>
      <c r="B11" s="11" t="s">
        <v>12</v>
      </c>
      <c r="C11" s="26" t="s">
        <v>13</v>
      </c>
      <c r="D11" s="11" t="s">
        <v>14</v>
      </c>
      <c r="E11" s="31">
        <v>70.7</v>
      </c>
      <c r="F11" s="32">
        <f>SUM(E11*156/100)</f>
        <v>110.292</v>
      </c>
      <c r="G11" s="32">
        <v>199.46</v>
      </c>
      <c r="H11" s="33">
        <f t="shared" ref="H11:H21" si="0">SUM(F11*G11/1000)</f>
        <v>21.998842320000001</v>
      </c>
      <c r="I11" s="34">
        <f>F11/12*G11</f>
        <v>1833.2368600000002</v>
      </c>
      <c r="J11" s="34">
        <f>F11/12*G11</f>
        <v>1833.2368600000002</v>
      </c>
      <c r="K11" s="34">
        <f>F11/12*G11</f>
        <v>1833.2368600000002</v>
      </c>
      <c r="L11" s="34">
        <f>F11/12*G11</f>
        <v>1833.2368600000002</v>
      </c>
      <c r="M11" s="34">
        <f>F11/12*G11</f>
        <v>1833.2368600000002</v>
      </c>
      <c r="N11" s="34">
        <f>F11/12*G11</f>
        <v>1833.2368600000002</v>
      </c>
      <c r="O11" s="34">
        <f>F11/12*G11</f>
        <v>1833.2368600000002</v>
      </c>
      <c r="P11" s="34">
        <f>F11/12*G11</f>
        <v>1833.2368600000002</v>
      </c>
      <c r="Q11" s="34">
        <f>F11/12*G11</f>
        <v>1833.2368600000002</v>
      </c>
      <c r="R11" s="34">
        <f>F11/12*G11</f>
        <v>1833.2368600000002</v>
      </c>
      <c r="S11" s="34">
        <f>F11/12*G11</f>
        <v>1833.2368600000002</v>
      </c>
      <c r="T11" s="34">
        <f>F11/12*G11</f>
        <v>1833.2368600000002</v>
      </c>
      <c r="U11" s="34">
        <f>SUM(I11:T11)</f>
        <v>21998.842320000007</v>
      </c>
    </row>
    <row r="12" spans="1:21" ht="25.5">
      <c r="A12" s="187" t="s">
        <v>206</v>
      </c>
      <c r="B12" s="11" t="s">
        <v>15</v>
      </c>
      <c r="C12" s="26" t="s">
        <v>13</v>
      </c>
      <c r="D12" s="11" t="s">
        <v>16</v>
      </c>
      <c r="E12" s="31">
        <v>282.8</v>
      </c>
      <c r="F12" s="32">
        <f>SUM(E12*104/100)</f>
        <v>294.11200000000002</v>
      </c>
      <c r="G12" s="32">
        <v>199.46</v>
      </c>
      <c r="H12" s="33">
        <f t="shared" si="0"/>
        <v>58.663579520000006</v>
      </c>
      <c r="I12" s="34">
        <f t="shared" ref="I12:I13" si="1">F12/12*G12</f>
        <v>4888.6316266666672</v>
      </c>
      <c r="J12" s="34">
        <f t="shared" ref="J12:J13" si="2">F12/12*G12</f>
        <v>4888.6316266666672</v>
      </c>
      <c r="K12" s="34">
        <f t="shared" ref="K12:K13" si="3">F12/12*G12</f>
        <v>4888.6316266666672</v>
      </c>
      <c r="L12" s="34">
        <f t="shared" ref="L12:L13" si="4">F12/12*G12</f>
        <v>4888.6316266666672</v>
      </c>
      <c r="M12" s="34">
        <f t="shared" ref="M12:M13" si="5">F12/12*G12</f>
        <v>4888.6316266666672</v>
      </c>
      <c r="N12" s="34">
        <f t="shared" ref="N12:N13" si="6">F12/12*G12</f>
        <v>4888.6316266666672</v>
      </c>
      <c r="O12" s="34">
        <f t="shared" ref="O12:O13" si="7">F12/12*G12</f>
        <v>4888.6316266666672</v>
      </c>
      <c r="P12" s="34">
        <f t="shared" ref="P12:P13" si="8">F12/12*G12</f>
        <v>4888.6316266666672</v>
      </c>
      <c r="Q12" s="34">
        <f t="shared" ref="Q12:Q13" si="9">F12/12*G12</f>
        <v>4888.6316266666672</v>
      </c>
      <c r="R12" s="34">
        <f t="shared" ref="R12:R13" si="10">F12/12*G12</f>
        <v>4888.6316266666672</v>
      </c>
      <c r="S12" s="34">
        <f t="shared" ref="S12:S13" si="11">F12/12*G12</f>
        <v>4888.6316266666672</v>
      </c>
      <c r="T12" s="34">
        <f t="shared" ref="T12:T13" si="12">F12/12*G12</f>
        <v>4888.6316266666672</v>
      </c>
      <c r="U12" s="34">
        <f t="shared" ref="U12:U21" si="13">SUM(I12:T12)</f>
        <v>58663.579520000021</v>
      </c>
    </row>
    <row r="13" spans="1:21" ht="25.5">
      <c r="A13" s="187" t="s">
        <v>207</v>
      </c>
      <c r="B13" s="11" t="s">
        <v>17</v>
      </c>
      <c r="C13" s="26" t="s">
        <v>13</v>
      </c>
      <c r="D13" s="11" t="s">
        <v>18</v>
      </c>
      <c r="E13" s="31">
        <f>SUM(E11+E12)</f>
        <v>353.5</v>
      </c>
      <c r="F13" s="32">
        <f>SUM(E13*24/100)</f>
        <v>84.84</v>
      </c>
      <c r="G13" s="32">
        <v>573.83000000000004</v>
      </c>
      <c r="H13" s="33">
        <f t="shared" si="0"/>
        <v>48.683737200000003</v>
      </c>
      <c r="I13" s="34">
        <f t="shared" si="1"/>
        <v>4056.9781000000003</v>
      </c>
      <c r="J13" s="34">
        <f t="shared" si="2"/>
        <v>4056.9781000000003</v>
      </c>
      <c r="K13" s="34">
        <f t="shared" si="3"/>
        <v>4056.9781000000003</v>
      </c>
      <c r="L13" s="34">
        <f t="shared" si="4"/>
        <v>4056.9781000000003</v>
      </c>
      <c r="M13" s="34">
        <f t="shared" si="5"/>
        <v>4056.9781000000003</v>
      </c>
      <c r="N13" s="34">
        <f t="shared" si="6"/>
        <v>4056.9781000000003</v>
      </c>
      <c r="O13" s="34">
        <f t="shared" si="7"/>
        <v>4056.9781000000003</v>
      </c>
      <c r="P13" s="34">
        <f t="shared" si="8"/>
        <v>4056.9781000000003</v>
      </c>
      <c r="Q13" s="34">
        <f t="shared" si="9"/>
        <v>4056.9781000000003</v>
      </c>
      <c r="R13" s="34">
        <f t="shared" si="10"/>
        <v>4056.9781000000003</v>
      </c>
      <c r="S13" s="34">
        <f t="shared" si="11"/>
        <v>4056.9781000000003</v>
      </c>
      <c r="T13" s="34">
        <f t="shared" si="12"/>
        <v>4056.9781000000003</v>
      </c>
      <c r="U13" s="34">
        <f t="shared" si="13"/>
        <v>48683.737200000003</v>
      </c>
    </row>
    <row r="14" spans="1:21">
      <c r="A14" s="187" t="s">
        <v>208</v>
      </c>
      <c r="B14" s="11" t="s">
        <v>19</v>
      </c>
      <c r="C14" s="26" t="s">
        <v>20</v>
      </c>
      <c r="D14" s="11" t="s">
        <v>130</v>
      </c>
      <c r="E14" s="31">
        <v>40</v>
      </c>
      <c r="F14" s="32">
        <f>SUM(E14/10)</f>
        <v>4</v>
      </c>
      <c r="G14" s="32">
        <v>193.55</v>
      </c>
      <c r="H14" s="33">
        <f t="shared" si="0"/>
        <v>0.7742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387.1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3"/>
        <v>387.1</v>
      </c>
    </row>
    <row r="15" spans="1:21" s="170" customFormat="1">
      <c r="A15" s="187" t="s">
        <v>209</v>
      </c>
      <c r="B15" s="183" t="s">
        <v>21</v>
      </c>
      <c r="C15" s="182" t="s">
        <v>13</v>
      </c>
      <c r="D15" s="183" t="s">
        <v>54</v>
      </c>
      <c r="E15" s="179">
        <v>10.5</v>
      </c>
      <c r="F15" s="180">
        <f>E15*2/100</f>
        <v>0.21</v>
      </c>
      <c r="G15" s="180">
        <v>247.82</v>
      </c>
      <c r="H15" s="181">
        <f t="shared" si="0"/>
        <v>5.2042199999999997E-2</v>
      </c>
      <c r="I15" s="34">
        <v>0</v>
      </c>
      <c r="J15" s="34">
        <v>0</v>
      </c>
      <c r="K15" s="34">
        <v>0</v>
      </c>
      <c r="L15" s="34">
        <v>0</v>
      </c>
      <c r="M15" s="34">
        <f>F15/2*G15</f>
        <v>26.021099999999997</v>
      </c>
      <c r="N15" s="34">
        <v>0</v>
      </c>
      <c r="O15" s="34">
        <v>0</v>
      </c>
      <c r="P15" s="34">
        <v>0</v>
      </c>
      <c r="Q15" s="34">
        <f>F15/2*G15</f>
        <v>26.021099999999997</v>
      </c>
      <c r="R15" s="34">
        <v>0</v>
      </c>
      <c r="S15" s="34">
        <v>0</v>
      </c>
      <c r="T15" s="34">
        <v>0</v>
      </c>
      <c r="U15" s="34">
        <f t="shared" si="13"/>
        <v>52.042199999999994</v>
      </c>
    </row>
    <row r="16" spans="1:21">
      <c r="A16" s="187" t="s">
        <v>210</v>
      </c>
      <c r="B16" s="183" t="s">
        <v>22</v>
      </c>
      <c r="C16" s="182" t="s">
        <v>13</v>
      </c>
      <c r="D16" s="183" t="s">
        <v>54</v>
      </c>
      <c r="E16" s="31">
        <v>2.7</v>
      </c>
      <c r="F16" s="32">
        <f>SUM(E16*2/100)</f>
        <v>5.4000000000000006E-2</v>
      </c>
      <c r="G16" s="32">
        <v>245.81</v>
      </c>
      <c r="H16" s="33">
        <f t="shared" si="0"/>
        <v>1.3273740000000003E-2</v>
      </c>
      <c r="I16" s="34">
        <v>0</v>
      </c>
      <c r="J16" s="34">
        <v>0</v>
      </c>
      <c r="K16" s="34">
        <v>0</v>
      </c>
      <c r="L16" s="34">
        <v>0</v>
      </c>
      <c r="M16" s="34">
        <f>F16/2*G16</f>
        <v>6.6368700000000009</v>
      </c>
      <c r="N16" s="34">
        <v>0</v>
      </c>
      <c r="O16" s="34">
        <v>0</v>
      </c>
      <c r="P16" s="34">
        <v>0</v>
      </c>
      <c r="Q16" s="34">
        <f>F16/2*G16</f>
        <v>6.6368700000000009</v>
      </c>
      <c r="R16" s="34">
        <v>0</v>
      </c>
      <c r="S16" s="34">
        <v>0</v>
      </c>
      <c r="T16" s="34">
        <v>0</v>
      </c>
      <c r="U16" s="34">
        <f t="shared" si="13"/>
        <v>13.273740000000002</v>
      </c>
    </row>
    <row r="17" spans="1:21">
      <c r="A17" s="187" t="s">
        <v>211</v>
      </c>
      <c r="B17" s="11" t="s">
        <v>23</v>
      </c>
      <c r="C17" s="26" t="s">
        <v>24</v>
      </c>
      <c r="D17" s="11" t="s">
        <v>130</v>
      </c>
      <c r="E17" s="31">
        <v>357</v>
      </c>
      <c r="F17" s="32">
        <f>SUM(E17/100)</f>
        <v>3.57</v>
      </c>
      <c r="G17" s="32">
        <v>306.26</v>
      </c>
      <c r="H17" s="33">
        <f t="shared" si="0"/>
        <v>1.0933481999999999</v>
      </c>
      <c r="I17" s="34">
        <v>0</v>
      </c>
      <c r="J17" s="34">
        <v>0</v>
      </c>
      <c r="K17" s="34">
        <v>0</v>
      </c>
      <c r="L17" s="34">
        <v>0</v>
      </c>
      <c r="M17" s="34">
        <f t="shared" ref="M17:M21" si="14">F17*G17</f>
        <v>1093.3481999999999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3"/>
        <v>1093.3481999999999</v>
      </c>
    </row>
    <row r="18" spans="1:21">
      <c r="A18" s="187" t="s">
        <v>212</v>
      </c>
      <c r="B18" s="11" t="s">
        <v>25</v>
      </c>
      <c r="C18" s="26" t="s">
        <v>24</v>
      </c>
      <c r="D18" s="11" t="s">
        <v>130</v>
      </c>
      <c r="E18" s="36">
        <v>38.64</v>
      </c>
      <c r="F18" s="32">
        <f>SUM(E18/100)</f>
        <v>0.38640000000000002</v>
      </c>
      <c r="G18" s="32">
        <v>50.37</v>
      </c>
      <c r="H18" s="33">
        <f t="shared" si="0"/>
        <v>1.9462968000000001E-2</v>
      </c>
      <c r="I18" s="34">
        <v>0</v>
      </c>
      <c r="J18" s="34">
        <v>0</v>
      </c>
      <c r="K18" s="34">
        <v>0</v>
      </c>
      <c r="L18" s="34">
        <v>0</v>
      </c>
      <c r="M18" s="34">
        <f t="shared" si="14"/>
        <v>19.462968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3"/>
        <v>19.462968</v>
      </c>
    </row>
    <row r="19" spans="1:21">
      <c r="A19" s="187" t="s">
        <v>213</v>
      </c>
      <c r="B19" s="11" t="s">
        <v>26</v>
      </c>
      <c r="C19" s="26" t="s">
        <v>24</v>
      </c>
      <c r="D19" s="11" t="s">
        <v>152</v>
      </c>
      <c r="E19" s="31">
        <v>15</v>
      </c>
      <c r="F19" s="32">
        <f>E19/100</f>
        <v>0.15</v>
      </c>
      <c r="G19" s="32">
        <v>443.27</v>
      </c>
      <c r="H19" s="33">
        <f t="shared" si="0"/>
        <v>6.6490499999999994E-2</v>
      </c>
      <c r="I19" s="34">
        <v>0</v>
      </c>
      <c r="J19" s="34">
        <v>0</v>
      </c>
      <c r="K19" s="34">
        <v>0</v>
      </c>
      <c r="L19" s="34">
        <v>0</v>
      </c>
      <c r="M19" s="34">
        <f t="shared" si="14"/>
        <v>66.490499999999997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3"/>
        <v>66.490499999999997</v>
      </c>
    </row>
    <row r="20" spans="1:21">
      <c r="A20" s="187" t="s">
        <v>214</v>
      </c>
      <c r="B20" s="11" t="s">
        <v>132</v>
      </c>
      <c r="C20" s="26" t="s">
        <v>13</v>
      </c>
      <c r="D20" s="11" t="s">
        <v>34</v>
      </c>
      <c r="E20" s="31">
        <v>14.25</v>
      </c>
      <c r="F20" s="32">
        <v>0.1</v>
      </c>
      <c r="G20" s="32">
        <v>245.81</v>
      </c>
      <c r="H20" s="33">
        <v>3.1E-2</v>
      </c>
      <c r="I20" s="34">
        <v>0</v>
      </c>
      <c r="J20" s="34">
        <v>0</v>
      </c>
      <c r="K20" s="34">
        <v>0</v>
      </c>
      <c r="L20" s="34">
        <v>0</v>
      </c>
      <c r="M20" s="34">
        <f t="shared" si="14"/>
        <v>24.581000000000003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f t="shared" si="13"/>
        <v>24.581000000000003</v>
      </c>
    </row>
    <row r="21" spans="1:21">
      <c r="A21" s="187" t="s">
        <v>215</v>
      </c>
      <c r="B21" s="11" t="s">
        <v>27</v>
      </c>
      <c r="C21" s="26" t="s">
        <v>24</v>
      </c>
      <c r="D21" s="11" t="s">
        <v>130</v>
      </c>
      <c r="E21" s="31">
        <v>6.38</v>
      </c>
      <c r="F21" s="32">
        <f>SUM(E21/100)</f>
        <v>6.3799999999999996E-2</v>
      </c>
      <c r="G21" s="32">
        <v>592.37</v>
      </c>
      <c r="H21" s="33">
        <f t="shared" si="0"/>
        <v>3.7793205999999996E-2</v>
      </c>
      <c r="I21" s="34">
        <v>0</v>
      </c>
      <c r="J21" s="34">
        <v>0</v>
      </c>
      <c r="K21" s="34">
        <v>0</v>
      </c>
      <c r="L21" s="34">
        <v>0</v>
      </c>
      <c r="M21" s="34">
        <f t="shared" si="14"/>
        <v>37.793205999999998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f t="shared" si="13"/>
        <v>37.793205999999998</v>
      </c>
    </row>
    <row r="22" spans="1:21" s="20" customFormat="1">
      <c r="A22" s="188"/>
      <c r="B22" s="21" t="s">
        <v>28</v>
      </c>
      <c r="C22" s="37"/>
      <c r="D22" s="21"/>
      <c r="E22" s="38"/>
      <c r="F22" s="39"/>
      <c r="G22" s="39"/>
      <c r="H22" s="40">
        <f>SUM(H11:H21)</f>
        <v>131.43376985399999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90">
        <f>SUM(U11:U21)</f>
        <v>131040.25085400004</v>
      </c>
    </row>
    <row r="23" spans="1:21">
      <c r="A23" s="187"/>
      <c r="B23" s="13" t="s">
        <v>29</v>
      </c>
      <c r="C23" s="26"/>
      <c r="D23" s="11"/>
      <c r="E23" s="31"/>
      <c r="F23" s="32"/>
      <c r="G23" s="32"/>
      <c r="H23" s="3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34"/>
    </row>
    <row r="24" spans="1:21" ht="25.5" customHeight="1">
      <c r="A24" s="187" t="s">
        <v>216</v>
      </c>
      <c r="B24" s="11" t="s">
        <v>197</v>
      </c>
      <c r="C24" s="26" t="s">
        <v>31</v>
      </c>
      <c r="D24" s="11" t="s">
        <v>30</v>
      </c>
      <c r="E24" s="32">
        <v>573.6</v>
      </c>
      <c r="F24" s="32">
        <f>SUM(E24*52/1000)</f>
        <v>29.827200000000001</v>
      </c>
      <c r="G24" s="32">
        <v>177.3</v>
      </c>
      <c r="H24" s="33">
        <f t="shared" ref="H24:H32" si="15">SUM(F24*G24/1000)</f>
        <v>5.2883625600000004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881.39376000000016</v>
      </c>
      <c r="N24" s="34">
        <f>F24/6*G24</f>
        <v>881.39376000000016</v>
      </c>
      <c r="O24" s="34">
        <f>F24/6*G24</f>
        <v>881.39376000000016</v>
      </c>
      <c r="P24" s="34">
        <f>F24/6*G24</f>
        <v>881.39376000000016</v>
      </c>
      <c r="Q24" s="34">
        <f>F24/6*G24</f>
        <v>881.39376000000016</v>
      </c>
      <c r="R24" s="34">
        <f>F24/6*G24</f>
        <v>881.39376000000016</v>
      </c>
      <c r="S24" s="34">
        <v>0</v>
      </c>
      <c r="T24" s="34">
        <v>0</v>
      </c>
      <c r="U24" s="34">
        <f t="shared" ref="U24:U32" si="16">SUM(I24:T24)</f>
        <v>5288.3625600000005</v>
      </c>
    </row>
    <row r="25" spans="1:21" ht="38.25" customHeight="1">
      <c r="A25" s="187" t="s">
        <v>217</v>
      </c>
      <c r="B25" s="11" t="s">
        <v>198</v>
      </c>
      <c r="C25" s="26" t="s">
        <v>31</v>
      </c>
      <c r="D25" s="11" t="s">
        <v>32</v>
      </c>
      <c r="E25" s="32">
        <v>200</v>
      </c>
      <c r="F25" s="32">
        <f>SUM(E25*78/1000)</f>
        <v>15.6</v>
      </c>
      <c r="G25" s="32">
        <v>294.17</v>
      </c>
      <c r="H25" s="33">
        <f t="shared" si="15"/>
        <v>4.5890520000000006</v>
      </c>
      <c r="I25" s="34">
        <v>0</v>
      </c>
      <c r="J25" s="34">
        <v>0</v>
      </c>
      <c r="K25" s="34">
        <v>0</v>
      </c>
      <c r="L25" s="34">
        <v>0</v>
      </c>
      <c r="M25" s="34">
        <f t="shared" ref="M25" si="17">F25/6*G25</f>
        <v>764.8420000000001</v>
      </c>
      <c r="N25" s="34">
        <f t="shared" ref="N25:N28" si="18">F25/6*G25</f>
        <v>764.8420000000001</v>
      </c>
      <c r="O25" s="34">
        <f t="shared" ref="O25:O28" si="19">F25/6*G25</f>
        <v>764.8420000000001</v>
      </c>
      <c r="P25" s="34">
        <f t="shared" ref="P25:P28" si="20">F25/6*G25</f>
        <v>764.8420000000001</v>
      </c>
      <c r="Q25" s="34">
        <f t="shared" ref="Q25:Q28" si="21">F25/6*G25</f>
        <v>764.8420000000001</v>
      </c>
      <c r="R25" s="34">
        <f t="shared" ref="R25:R28" si="22">F25/6*G25</f>
        <v>764.8420000000001</v>
      </c>
      <c r="S25" s="34">
        <v>0</v>
      </c>
      <c r="T25" s="34">
        <v>0</v>
      </c>
      <c r="U25" s="34">
        <f t="shared" si="16"/>
        <v>4589.0520000000006</v>
      </c>
    </row>
    <row r="26" spans="1:21">
      <c r="A26" s="187" t="s">
        <v>218</v>
      </c>
      <c r="B26" s="11" t="s">
        <v>33</v>
      </c>
      <c r="C26" s="26" t="s">
        <v>31</v>
      </c>
      <c r="D26" s="11" t="s">
        <v>34</v>
      </c>
      <c r="E26" s="32">
        <v>573.6</v>
      </c>
      <c r="F26" s="32">
        <f>SUM(E26/1000)</f>
        <v>0.5736</v>
      </c>
      <c r="G26" s="32">
        <v>3435.36</v>
      </c>
      <c r="H26" s="33">
        <f t="shared" si="15"/>
        <v>1.9705224960000001</v>
      </c>
      <c r="I26" s="34">
        <v>0</v>
      </c>
      <c r="J26" s="34">
        <v>0</v>
      </c>
      <c r="K26" s="34">
        <v>0</v>
      </c>
      <c r="L26" s="34">
        <v>0</v>
      </c>
      <c r="M26" s="34">
        <f>F26*G26</f>
        <v>1970.522496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f t="shared" si="16"/>
        <v>1970.522496</v>
      </c>
    </row>
    <row r="27" spans="1:21">
      <c r="A27" s="187" t="s">
        <v>219</v>
      </c>
      <c r="B27" s="11" t="s">
        <v>133</v>
      </c>
      <c r="C27" s="26" t="s">
        <v>66</v>
      </c>
      <c r="D27" s="11" t="s">
        <v>37</v>
      </c>
      <c r="E27" s="32">
        <v>1</v>
      </c>
      <c r="F27" s="32">
        <v>1.55</v>
      </c>
      <c r="G27" s="32">
        <v>1480.94</v>
      </c>
      <c r="H27" s="33">
        <f>G27*F27/1000</f>
        <v>2.2954570000000003</v>
      </c>
      <c r="I27" s="34">
        <v>0</v>
      </c>
      <c r="J27" s="34">
        <v>0</v>
      </c>
      <c r="K27" s="34">
        <v>0</v>
      </c>
      <c r="L27" s="34">
        <v>0</v>
      </c>
      <c r="M27" s="34">
        <f>F27/6*G27</f>
        <v>382.57616666666672</v>
      </c>
      <c r="N27" s="34">
        <f t="shared" si="18"/>
        <v>382.57616666666672</v>
      </c>
      <c r="O27" s="34">
        <f t="shared" si="19"/>
        <v>382.57616666666672</v>
      </c>
      <c r="P27" s="34">
        <f t="shared" si="20"/>
        <v>382.57616666666672</v>
      </c>
      <c r="Q27" s="34">
        <f t="shared" si="21"/>
        <v>382.57616666666672</v>
      </c>
      <c r="R27" s="34">
        <f t="shared" si="22"/>
        <v>382.57616666666672</v>
      </c>
      <c r="S27" s="34">
        <v>0</v>
      </c>
      <c r="T27" s="34">
        <v>0</v>
      </c>
      <c r="U27" s="34">
        <f t="shared" si="16"/>
        <v>2295.4570000000003</v>
      </c>
    </row>
    <row r="28" spans="1:21">
      <c r="A28" s="187" t="s">
        <v>220</v>
      </c>
      <c r="B28" s="11" t="s">
        <v>35</v>
      </c>
      <c r="C28" s="26" t="s">
        <v>36</v>
      </c>
      <c r="D28" s="11" t="s">
        <v>37</v>
      </c>
      <c r="E28" s="44">
        <v>0.33333333333333331</v>
      </c>
      <c r="F28" s="32">
        <f>155/3</f>
        <v>51.666666666666664</v>
      </c>
      <c r="G28" s="32">
        <v>64.48</v>
      </c>
      <c r="H28" s="33">
        <f>SUM(G28*155/3/1000)</f>
        <v>3.331466666666667</v>
      </c>
      <c r="I28" s="34">
        <v>0</v>
      </c>
      <c r="J28" s="34">
        <v>0</v>
      </c>
      <c r="K28" s="34">
        <v>0</v>
      </c>
      <c r="L28" s="34">
        <v>0</v>
      </c>
      <c r="M28" s="34">
        <f>F28/6*G28</f>
        <v>555.24444444444441</v>
      </c>
      <c r="N28" s="34">
        <f t="shared" si="18"/>
        <v>555.24444444444441</v>
      </c>
      <c r="O28" s="34">
        <f t="shared" si="19"/>
        <v>555.24444444444441</v>
      </c>
      <c r="P28" s="34">
        <f t="shared" si="20"/>
        <v>555.24444444444441</v>
      </c>
      <c r="Q28" s="34">
        <f t="shared" si="21"/>
        <v>555.24444444444441</v>
      </c>
      <c r="R28" s="34">
        <f t="shared" si="22"/>
        <v>555.24444444444441</v>
      </c>
      <c r="S28" s="34">
        <v>0</v>
      </c>
      <c r="T28" s="34">
        <v>0</v>
      </c>
      <c r="U28" s="34">
        <f t="shared" si="16"/>
        <v>3331.4666666666667</v>
      </c>
    </row>
    <row r="29" spans="1:21" ht="12.75" customHeight="1">
      <c r="A29" s="187" t="s">
        <v>221</v>
      </c>
      <c r="B29" s="11" t="s">
        <v>38</v>
      </c>
      <c r="C29" s="26" t="s">
        <v>39</v>
      </c>
      <c r="D29" s="11" t="s">
        <v>40</v>
      </c>
      <c r="E29" s="45">
        <v>0.1</v>
      </c>
      <c r="F29" s="32">
        <f>SUM(E29*365)</f>
        <v>36.5</v>
      </c>
      <c r="G29" s="32">
        <v>167.24</v>
      </c>
      <c r="H29" s="33">
        <f t="shared" si="15"/>
        <v>6.10426</v>
      </c>
      <c r="I29" s="34">
        <f>F29/12*G29</f>
        <v>508.68833333333333</v>
      </c>
      <c r="J29" s="34">
        <f>F29/12*G29</f>
        <v>508.68833333333333</v>
      </c>
      <c r="K29" s="34">
        <f>F29/12*G29</f>
        <v>508.68833333333333</v>
      </c>
      <c r="L29" s="34">
        <f>F29/12*G29</f>
        <v>508.68833333333333</v>
      </c>
      <c r="M29" s="34">
        <f>F29/12*G29</f>
        <v>508.68833333333333</v>
      </c>
      <c r="N29" s="34">
        <f>F29/12*G29</f>
        <v>508.68833333333333</v>
      </c>
      <c r="O29" s="34">
        <f>F29/12*G29</f>
        <v>508.68833333333333</v>
      </c>
      <c r="P29" s="34">
        <f>F29/12*G29</f>
        <v>508.68833333333333</v>
      </c>
      <c r="Q29" s="34">
        <f>F29/12*G29</f>
        <v>508.68833333333333</v>
      </c>
      <c r="R29" s="34">
        <f>F29/12*G29</f>
        <v>508.68833333333333</v>
      </c>
      <c r="S29" s="34">
        <f>F29/12*G29</f>
        <v>508.68833333333333</v>
      </c>
      <c r="T29" s="34">
        <f>F29/12*G29</f>
        <v>508.68833333333333</v>
      </c>
      <c r="U29" s="34">
        <f t="shared" si="16"/>
        <v>6104.2600000000011</v>
      </c>
    </row>
    <row r="30" spans="1:21" ht="12.75" customHeight="1">
      <c r="A30" s="187" t="s">
        <v>222</v>
      </c>
      <c r="B30" s="11" t="s">
        <v>199</v>
      </c>
      <c r="C30" s="26" t="s">
        <v>39</v>
      </c>
      <c r="D30" s="11" t="s">
        <v>41</v>
      </c>
      <c r="E30" s="31"/>
      <c r="F30" s="32">
        <v>3</v>
      </c>
      <c r="G30" s="32">
        <v>217.61</v>
      </c>
      <c r="H30" s="33">
        <f t="shared" si="15"/>
        <v>0.65283000000000002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16"/>
        <v>0</v>
      </c>
    </row>
    <row r="31" spans="1:21" ht="12.75" customHeight="1">
      <c r="A31" s="187" t="s">
        <v>160</v>
      </c>
      <c r="B31" s="11" t="s">
        <v>200</v>
      </c>
      <c r="C31" s="26" t="s">
        <v>42</v>
      </c>
      <c r="D31" s="11" t="s">
        <v>41</v>
      </c>
      <c r="E31" s="31"/>
      <c r="F31" s="32">
        <v>2</v>
      </c>
      <c r="G31" s="32">
        <v>1292.47</v>
      </c>
      <c r="H31" s="33">
        <f t="shared" si="15"/>
        <v>2.58494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f t="shared" si="16"/>
        <v>0</v>
      </c>
    </row>
    <row r="32" spans="1:21">
      <c r="A32" s="187"/>
      <c r="B32" s="46" t="s">
        <v>43</v>
      </c>
      <c r="C32" s="26" t="s">
        <v>44</v>
      </c>
      <c r="D32" s="46" t="s">
        <v>45</v>
      </c>
      <c r="E32" s="31">
        <v>2661.7</v>
      </c>
      <c r="F32" s="32">
        <f>SUM(E32*12)</f>
        <v>31940.399999999998</v>
      </c>
      <c r="G32" s="32">
        <v>5.58</v>
      </c>
      <c r="H32" s="33">
        <f t="shared" si="15"/>
        <v>178.22743199999999</v>
      </c>
      <c r="I32" s="34">
        <f>F32/12*G32</f>
        <v>14852.286</v>
      </c>
      <c r="J32" s="34">
        <f>F32/12*G32</f>
        <v>14852.286</v>
      </c>
      <c r="K32" s="34">
        <f>F32/12*G32</f>
        <v>14852.286</v>
      </c>
      <c r="L32" s="34">
        <f>F32/12*G32</f>
        <v>14852.286</v>
      </c>
      <c r="M32" s="34">
        <f>F32/12*G32</f>
        <v>14852.286</v>
      </c>
      <c r="N32" s="34">
        <f t="shared" ref="N32" si="23">F32/12*G32</f>
        <v>14852.286</v>
      </c>
      <c r="O32" s="34">
        <f>F32/12*G32</f>
        <v>14852.286</v>
      </c>
      <c r="P32" s="34">
        <f>F32/12*G32</f>
        <v>14852.286</v>
      </c>
      <c r="Q32" s="34">
        <f t="shared" ref="Q32" si="24">F32/12*G32</f>
        <v>14852.286</v>
      </c>
      <c r="R32" s="34">
        <f t="shared" ref="R32" si="25">F32/12*G32</f>
        <v>14852.286</v>
      </c>
      <c r="S32" s="34">
        <f t="shared" ref="S32" si="26">F32/12*G32</f>
        <v>14852.286</v>
      </c>
      <c r="T32" s="34">
        <f t="shared" ref="T32" si="27">F32/12*G32</f>
        <v>14852.286</v>
      </c>
      <c r="U32" s="34">
        <f t="shared" si="16"/>
        <v>178227.43199999994</v>
      </c>
    </row>
    <row r="33" spans="1:21" s="20" customFormat="1">
      <c r="A33" s="188"/>
      <c r="B33" s="21" t="s">
        <v>28</v>
      </c>
      <c r="C33" s="37"/>
      <c r="D33" s="21"/>
      <c r="E33" s="38"/>
      <c r="F33" s="39"/>
      <c r="G33" s="39"/>
      <c r="H33" s="47">
        <f>SUM(H24:H32)</f>
        <v>205.04432272266666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90">
        <f>SUM(U24:U32)</f>
        <v>201806.55272266662</v>
      </c>
    </row>
    <row r="34" spans="1:21">
      <c r="A34" s="187"/>
      <c r="B34" s="13" t="s">
        <v>46</v>
      </c>
      <c r="C34" s="26"/>
      <c r="D34" s="11"/>
      <c r="E34" s="31"/>
      <c r="F34" s="32"/>
      <c r="G34" s="32"/>
      <c r="H34" s="33" t="s">
        <v>45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4"/>
    </row>
    <row r="35" spans="1:21" ht="12.75" customHeight="1">
      <c r="A35" s="187" t="s">
        <v>160</v>
      </c>
      <c r="B35" s="14" t="s">
        <v>47</v>
      </c>
      <c r="C35" s="26" t="s">
        <v>42</v>
      </c>
      <c r="D35" s="11"/>
      <c r="E35" s="31"/>
      <c r="F35" s="32">
        <v>8</v>
      </c>
      <c r="G35" s="32">
        <v>1737.08</v>
      </c>
      <c r="H35" s="33">
        <f t="shared" ref="H35:H42" si="28">SUM(F35*G35/1000)</f>
        <v>13.89664</v>
      </c>
      <c r="I35" s="34">
        <f>F35/6*G35</f>
        <v>2316.1066666666666</v>
      </c>
      <c r="J35" s="34">
        <f>F35/6*G35</f>
        <v>2316.1066666666666</v>
      </c>
      <c r="K35" s="34">
        <f>F35/6*G35</f>
        <v>2316.1066666666666</v>
      </c>
      <c r="L35" s="34">
        <f>F35/6*G35</f>
        <v>2316.1066666666666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>F35/6*G35</f>
        <v>2316.1066666666666</v>
      </c>
      <c r="T35" s="34">
        <f>F35/6*G35</f>
        <v>2316.1066666666666</v>
      </c>
      <c r="U35" s="34">
        <f t="shared" ref="U35:U42" si="29">SUM(I35:T35)</f>
        <v>13896.64</v>
      </c>
    </row>
    <row r="36" spans="1:21" s="1" customFormat="1">
      <c r="A36" s="189" t="s">
        <v>223</v>
      </c>
      <c r="B36" s="14" t="s">
        <v>49</v>
      </c>
      <c r="C36" s="48" t="s">
        <v>50</v>
      </c>
      <c r="D36" s="14" t="s">
        <v>134</v>
      </c>
      <c r="E36" s="49">
        <v>200</v>
      </c>
      <c r="F36" s="49">
        <f>SUM(E36*30/1000)</f>
        <v>6</v>
      </c>
      <c r="G36" s="49">
        <v>2391.67</v>
      </c>
      <c r="H36" s="33">
        <f t="shared" si="28"/>
        <v>14.350020000000001</v>
      </c>
      <c r="I36" s="34">
        <f>F36/6*G36</f>
        <v>2391.67</v>
      </c>
      <c r="J36" s="34">
        <f>F36/6*G36</f>
        <v>2391.67</v>
      </c>
      <c r="K36" s="34">
        <f t="shared" ref="K36:K41" si="30">F36/6*G36</f>
        <v>2391.67</v>
      </c>
      <c r="L36" s="34">
        <f t="shared" ref="L36:L41" si="31">F36/6*G36</f>
        <v>2391.67</v>
      </c>
      <c r="M36" s="50">
        <v>0</v>
      </c>
      <c r="N36" s="50">
        <v>0</v>
      </c>
      <c r="O36" s="50">
        <v>0</v>
      </c>
      <c r="P36" s="50">
        <v>0</v>
      </c>
      <c r="Q36" s="34">
        <v>0</v>
      </c>
      <c r="R36" s="34">
        <v>0</v>
      </c>
      <c r="S36" s="34">
        <f t="shared" ref="S36:S42" si="32">F36/6*G36</f>
        <v>2391.67</v>
      </c>
      <c r="T36" s="34">
        <f t="shared" ref="T36:T41" si="33">F36/6*G36</f>
        <v>2391.67</v>
      </c>
      <c r="U36" s="34">
        <f t="shared" si="29"/>
        <v>14350.02</v>
      </c>
    </row>
    <row r="37" spans="1:21" s="1" customFormat="1">
      <c r="A37" s="187" t="s">
        <v>160</v>
      </c>
      <c r="B37" s="11" t="s">
        <v>166</v>
      </c>
      <c r="C37" s="26" t="s">
        <v>113</v>
      </c>
      <c r="D37" s="11"/>
      <c r="E37" s="31"/>
      <c r="F37" s="49">
        <v>130</v>
      </c>
      <c r="G37" s="32">
        <v>226.84</v>
      </c>
      <c r="H37" s="33">
        <f t="shared" si="28"/>
        <v>29.4892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f t="shared" si="29"/>
        <v>0</v>
      </c>
    </row>
    <row r="38" spans="1:21" ht="24.75" customHeight="1">
      <c r="A38" s="187" t="s">
        <v>224</v>
      </c>
      <c r="B38" s="11" t="s">
        <v>201</v>
      </c>
      <c r="C38" s="26" t="s">
        <v>50</v>
      </c>
      <c r="D38" s="11" t="s">
        <v>51</v>
      </c>
      <c r="E38" s="32">
        <v>60</v>
      </c>
      <c r="F38" s="49">
        <f>SUM(E38*155/1000)</f>
        <v>9.3000000000000007</v>
      </c>
      <c r="G38" s="32">
        <v>398.95</v>
      </c>
      <c r="H38" s="33">
        <f t="shared" si="28"/>
        <v>3.7102349999999999</v>
      </c>
      <c r="I38" s="34">
        <f t="shared" ref="I38:I42" si="34">F38/6*G38</f>
        <v>618.37249999999995</v>
      </c>
      <c r="J38" s="34">
        <f t="shared" ref="J38:J42" si="35">F38/6*G38</f>
        <v>618.37249999999995</v>
      </c>
      <c r="K38" s="34">
        <f t="shared" si="30"/>
        <v>618.37249999999995</v>
      </c>
      <c r="L38" s="34">
        <f t="shared" si="31"/>
        <v>618.37249999999995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 t="shared" si="32"/>
        <v>618.37249999999995</v>
      </c>
      <c r="T38" s="34">
        <f t="shared" si="33"/>
        <v>618.37249999999995</v>
      </c>
      <c r="U38" s="34">
        <f t="shared" si="29"/>
        <v>3710.2349999999997</v>
      </c>
    </row>
    <row r="39" spans="1:21" ht="51" customHeight="1">
      <c r="A39" s="187" t="s">
        <v>225</v>
      </c>
      <c r="B39" s="11" t="s">
        <v>202</v>
      </c>
      <c r="C39" s="26" t="s">
        <v>31</v>
      </c>
      <c r="D39" s="11" t="s">
        <v>153</v>
      </c>
      <c r="E39" s="32">
        <v>40.9</v>
      </c>
      <c r="F39" s="49">
        <f>SUM(E39*35/1000)</f>
        <v>1.4315</v>
      </c>
      <c r="G39" s="32">
        <v>6600.74</v>
      </c>
      <c r="H39" s="33">
        <f t="shared" si="28"/>
        <v>9.4489593099999993</v>
      </c>
      <c r="I39" s="34">
        <f t="shared" si="34"/>
        <v>1574.8265516666668</v>
      </c>
      <c r="J39" s="34">
        <f t="shared" si="35"/>
        <v>1574.8265516666668</v>
      </c>
      <c r="K39" s="34">
        <f t="shared" si="30"/>
        <v>1574.8265516666668</v>
      </c>
      <c r="L39" s="34">
        <f t="shared" si="31"/>
        <v>1574.8265516666668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f t="shared" si="32"/>
        <v>1574.8265516666668</v>
      </c>
      <c r="T39" s="34">
        <f t="shared" si="33"/>
        <v>1574.8265516666668</v>
      </c>
      <c r="U39" s="34">
        <f t="shared" si="29"/>
        <v>9448.9593100000002</v>
      </c>
    </row>
    <row r="40" spans="1:21" ht="12.75" customHeight="1">
      <c r="A40" s="187" t="s">
        <v>226</v>
      </c>
      <c r="B40" s="11" t="s">
        <v>203</v>
      </c>
      <c r="C40" s="26" t="s">
        <v>31</v>
      </c>
      <c r="D40" s="11" t="s">
        <v>334</v>
      </c>
      <c r="E40" s="32">
        <v>60</v>
      </c>
      <c r="F40" s="49">
        <f>SUM(E40*15/1000)</f>
        <v>0.9</v>
      </c>
      <c r="G40" s="32">
        <v>487.61</v>
      </c>
      <c r="H40" s="33">
        <f t="shared" si="28"/>
        <v>0.43884900000000004</v>
      </c>
      <c r="I40" s="34">
        <v>0</v>
      </c>
      <c r="J40" s="34">
        <v>0</v>
      </c>
      <c r="K40" s="34">
        <f>F40/2*G40</f>
        <v>219.42450000000002</v>
      </c>
      <c r="L40" s="34">
        <f>F40/2*G40</f>
        <v>219.42450000000002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f t="shared" si="29"/>
        <v>438.84900000000005</v>
      </c>
    </row>
    <row r="41" spans="1:21" s="2" customFormat="1">
      <c r="A41" s="189"/>
      <c r="B41" s="14" t="s">
        <v>204</v>
      </c>
      <c r="C41" s="48" t="s">
        <v>39</v>
      </c>
      <c r="D41" s="14"/>
      <c r="E41" s="45"/>
      <c r="F41" s="49">
        <v>0.9</v>
      </c>
      <c r="G41" s="49">
        <v>907.65</v>
      </c>
      <c r="H41" s="33">
        <f t="shared" si="28"/>
        <v>0.81688499999999997</v>
      </c>
      <c r="I41" s="34">
        <f t="shared" si="34"/>
        <v>136.14749999999998</v>
      </c>
      <c r="J41" s="34">
        <f t="shared" si="35"/>
        <v>136.14749999999998</v>
      </c>
      <c r="K41" s="34">
        <f t="shared" si="30"/>
        <v>136.14749999999998</v>
      </c>
      <c r="L41" s="34">
        <f t="shared" si="31"/>
        <v>136.14749999999998</v>
      </c>
      <c r="M41" s="50">
        <v>0</v>
      </c>
      <c r="N41" s="50">
        <v>0</v>
      </c>
      <c r="O41" s="50">
        <v>0</v>
      </c>
      <c r="P41" s="50">
        <v>0</v>
      </c>
      <c r="Q41" s="34">
        <v>0</v>
      </c>
      <c r="R41" s="34">
        <v>0</v>
      </c>
      <c r="S41" s="34">
        <f t="shared" si="32"/>
        <v>136.14749999999998</v>
      </c>
      <c r="T41" s="34">
        <f t="shared" si="33"/>
        <v>136.14749999999998</v>
      </c>
      <c r="U41" s="34">
        <f t="shared" si="29"/>
        <v>816.88499999999999</v>
      </c>
    </row>
    <row r="42" spans="1:21" hidden="1">
      <c r="A42" s="187" t="s">
        <v>48</v>
      </c>
      <c r="B42" s="11" t="s">
        <v>52</v>
      </c>
      <c r="C42" s="26" t="s">
        <v>31</v>
      </c>
      <c r="D42" s="11"/>
      <c r="E42" s="31"/>
      <c r="F42" s="32"/>
      <c r="G42" s="32">
        <v>1481.29</v>
      </c>
      <c r="H42" s="33">
        <f t="shared" si="28"/>
        <v>0</v>
      </c>
      <c r="I42" s="34">
        <f t="shared" si="34"/>
        <v>0</v>
      </c>
      <c r="J42" s="34">
        <f t="shared" si="35"/>
        <v>0</v>
      </c>
      <c r="K42" s="43"/>
      <c r="L42" s="43"/>
      <c r="M42" s="43"/>
      <c r="N42" s="43"/>
      <c r="O42" s="43"/>
      <c r="P42" s="43"/>
      <c r="Q42" s="43"/>
      <c r="R42" s="43"/>
      <c r="S42" s="34">
        <f t="shared" si="32"/>
        <v>0</v>
      </c>
      <c r="T42" s="43"/>
      <c r="U42" s="34">
        <f t="shared" si="29"/>
        <v>0</v>
      </c>
    </row>
    <row r="43" spans="1:21" s="20" customFormat="1">
      <c r="A43" s="188"/>
      <c r="B43" s="21" t="s">
        <v>28</v>
      </c>
      <c r="C43" s="37"/>
      <c r="D43" s="21"/>
      <c r="E43" s="38"/>
      <c r="F43" s="39" t="s">
        <v>45</v>
      </c>
      <c r="G43" s="39"/>
      <c r="H43" s="47">
        <f>SUM(H35:H42)</f>
        <v>72.15078831000001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90">
        <f>SUM(U35:U41)</f>
        <v>42661.588310000006</v>
      </c>
    </row>
    <row r="44" spans="1:21">
      <c r="A44" s="187"/>
      <c r="B44" s="15" t="s">
        <v>53</v>
      </c>
      <c r="C44" s="26"/>
      <c r="D44" s="11"/>
      <c r="E44" s="31"/>
      <c r="F44" s="32"/>
      <c r="G44" s="32"/>
      <c r="H44" s="3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34"/>
    </row>
    <row r="45" spans="1:21">
      <c r="A45" s="187" t="s">
        <v>235</v>
      </c>
      <c r="B45" s="11" t="s">
        <v>135</v>
      </c>
      <c r="C45" s="26" t="s">
        <v>31</v>
      </c>
      <c r="D45" s="11" t="s">
        <v>54</v>
      </c>
      <c r="E45" s="31">
        <v>1300.5</v>
      </c>
      <c r="F45" s="32">
        <f>SUM(E45/1000)*2</f>
        <v>2.601</v>
      </c>
      <c r="G45" s="51">
        <v>1173.18</v>
      </c>
      <c r="H45" s="33">
        <f t="shared" ref="H45:H56" si="36">SUM(F45*G45/1000)</f>
        <v>3.0514411800000003</v>
      </c>
      <c r="I45" s="34">
        <v>0</v>
      </c>
      <c r="J45" s="34">
        <v>0</v>
      </c>
      <c r="K45" s="34">
        <v>0</v>
      </c>
      <c r="L45" s="34">
        <v>0</v>
      </c>
      <c r="M45" s="34">
        <f>F45/2*G45</f>
        <v>1525.7205900000001</v>
      </c>
      <c r="N45" s="34">
        <v>0</v>
      </c>
      <c r="O45" s="34">
        <v>0</v>
      </c>
      <c r="P45" s="34">
        <v>0</v>
      </c>
      <c r="Q45" s="34">
        <f>F45/2*G45</f>
        <v>1525.7205900000001</v>
      </c>
      <c r="R45" s="34">
        <v>0</v>
      </c>
      <c r="S45" s="34">
        <v>0</v>
      </c>
      <c r="T45" s="34">
        <v>0</v>
      </c>
      <c r="U45" s="34">
        <f t="shared" ref="U45:U56" si="37">SUM(I45:T45)</f>
        <v>3051.4411800000003</v>
      </c>
    </row>
    <row r="46" spans="1:21">
      <c r="A46" s="187" t="s">
        <v>227</v>
      </c>
      <c r="B46" s="11" t="s">
        <v>55</v>
      </c>
      <c r="C46" s="26" t="s">
        <v>31</v>
      </c>
      <c r="D46" s="11" t="s">
        <v>54</v>
      </c>
      <c r="E46" s="31">
        <v>52</v>
      </c>
      <c r="F46" s="32">
        <f>SUM(E46*2/1000)</f>
        <v>0.104</v>
      </c>
      <c r="G46" s="51">
        <v>659.09</v>
      </c>
      <c r="H46" s="33">
        <f t="shared" si="36"/>
        <v>6.854536E-2</v>
      </c>
      <c r="I46" s="34">
        <v>0</v>
      </c>
      <c r="J46" s="34">
        <v>0</v>
      </c>
      <c r="K46" s="34">
        <v>0</v>
      </c>
      <c r="L46" s="34">
        <v>0</v>
      </c>
      <c r="M46" s="34">
        <f t="shared" ref="M46:M49" si="38">F46/2*G46</f>
        <v>34.272680000000001</v>
      </c>
      <c r="N46" s="34">
        <v>0</v>
      </c>
      <c r="O46" s="34">
        <v>0</v>
      </c>
      <c r="P46" s="34">
        <v>0</v>
      </c>
      <c r="Q46" s="34">
        <f t="shared" ref="Q46:Q49" si="39">F46/2*G46</f>
        <v>34.272680000000001</v>
      </c>
      <c r="R46" s="34">
        <v>0</v>
      </c>
      <c r="S46" s="34">
        <v>0</v>
      </c>
      <c r="T46" s="34">
        <v>0</v>
      </c>
      <c r="U46" s="34">
        <f t="shared" si="37"/>
        <v>68.545360000000002</v>
      </c>
    </row>
    <row r="47" spans="1:21" ht="12.75" customHeight="1">
      <c r="A47" s="187" t="s">
        <v>228</v>
      </c>
      <c r="B47" s="11" t="s">
        <v>56</v>
      </c>
      <c r="C47" s="26" t="s">
        <v>31</v>
      </c>
      <c r="D47" s="11" t="s">
        <v>54</v>
      </c>
      <c r="E47" s="31">
        <v>1483.1</v>
      </c>
      <c r="F47" s="32">
        <f>SUM(E47*2/1000)</f>
        <v>2.9661999999999997</v>
      </c>
      <c r="G47" s="51">
        <v>1564.24</v>
      </c>
      <c r="H47" s="33">
        <f t="shared" si="36"/>
        <v>4.6398486879999998</v>
      </c>
      <c r="I47" s="34">
        <v>0</v>
      </c>
      <c r="J47" s="34">
        <v>0</v>
      </c>
      <c r="K47" s="34">
        <v>0</v>
      </c>
      <c r="L47" s="34">
        <v>0</v>
      </c>
      <c r="M47" s="34">
        <f t="shared" si="38"/>
        <v>2319.924344</v>
      </c>
      <c r="N47" s="34">
        <v>0</v>
      </c>
      <c r="O47" s="34">
        <v>0</v>
      </c>
      <c r="P47" s="34">
        <v>0</v>
      </c>
      <c r="Q47" s="34">
        <f t="shared" si="39"/>
        <v>2319.924344</v>
      </c>
      <c r="R47" s="34">
        <v>0</v>
      </c>
      <c r="S47" s="34">
        <v>0</v>
      </c>
      <c r="T47" s="34">
        <v>0</v>
      </c>
      <c r="U47" s="34">
        <f t="shared" si="37"/>
        <v>4639.848688</v>
      </c>
    </row>
    <row r="48" spans="1:21">
      <c r="A48" s="187" t="s">
        <v>229</v>
      </c>
      <c r="B48" s="11" t="s">
        <v>57</v>
      </c>
      <c r="C48" s="26" t="s">
        <v>31</v>
      </c>
      <c r="D48" s="11" t="s">
        <v>54</v>
      </c>
      <c r="E48" s="31">
        <v>2320</v>
      </c>
      <c r="F48" s="32">
        <f>SUM(E48*2/1000)</f>
        <v>4.6399999999999997</v>
      </c>
      <c r="G48" s="51">
        <v>1078.3599999999999</v>
      </c>
      <c r="H48" s="33">
        <f t="shared" si="36"/>
        <v>5.0035903999999993</v>
      </c>
      <c r="I48" s="34">
        <v>0</v>
      </c>
      <c r="J48" s="34">
        <v>0</v>
      </c>
      <c r="K48" s="34">
        <v>0</v>
      </c>
      <c r="L48" s="34">
        <v>0</v>
      </c>
      <c r="M48" s="34">
        <f t="shared" si="38"/>
        <v>2501.7951999999996</v>
      </c>
      <c r="N48" s="34">
        <v>0</v>
      </c>
      <c r="O48" s="34">
        <v>0</v>
      </c>
      <c r="P48" s="34">
        <v>0</v>
      </c>
      <c r="Q48" s="34">
        <f t="shared" si="39"/>
        <v>2501.7951999999996</v>
      </c>
      <c r="R48" s="34">
        <v>0</v>
      </c>
      <c r="S48" s="34">
        <v>0</v>
      </c>
      <c r="T48" s="34">
        <v>0</v>
      </c>
      <c r="U48" s="34">
        <f t="shared" si="37"/>
        <v>5003.5903999999991</v>
      </c>
    </row>
    <row r="49" spans="1:21">
      <c r="A49" s="187" t="s">
        <v>230</v>
      </c>
      <c r="B49" s="11" t="s">
        <v>58</v>
      </c>
      <c r="C49" s="26" t="s">
        <v>59</v>
      </c>
      <c r="D49" s="11" t="s">
        <v>54</v>
      </c>
      <c r="E49" s="31">
        <v>91.84</v>
      </c>
      <c r="F49" s="32">
        <f>SUM(E49*2/100)</f>
        <v>1.8368</v>
      </c>
      <c r="G49" s="51">
        <v>82.82</v>
      </c>
      <c r="H49" s="33">
        <f t="shared" si="36"/>
        <v>0.15212377599999999</v>
      </c>
      <c r="I49" s="34">
        <v>0</v>
      </c>
      <c r="J49" s="34">
        <v>0</v>
      </c>
      <c r="K49" s="34">
        <v>0</v>
      </c>
      <c r="L49" s="34">
        <v>0</v>
      </c>
      <c r="M49" s="34">
        <f t="shared" si="38"/>
        <v>76.061887999999996</v>
      </c>
      <c r="N49" s="34">
        <v>0</v>
      </c>
      <c r="O49" s="34">
        <v>0</v>
      </c>
      <c r="P49" s="34">
        <v>0</v>
      </c>
      <c r="Q49" s="34">
        <f t="shared" si="39"/>
        <v>76.061887999999996</v>
      </c>
      <c r="R49" s="34">
        <v>0</v>
      </c>
      <c r="S49" s="34">
        <v>0</v>
      </c>
      <c r="T49" s="34">
        <v>0</v>
      </c>
      <c r="U49" s="34">
        <f t="shared" si="37"/>
        <v>152.12377599999999</v>
      </c>
    </row>
    <row r="50" spans="1:21" ht="25.5">
      <c r="A50" s="187" t="s">
        <v>231</v>
      </c>
      <c r="B50" s="11" t="s">
        <v>60</v>
      </c>
      <c r="C50" s="26" t="s">
        <v>31</v>
      </c>
      <c r="D50" s="11" t="s">
        <v>61</v>
      </c>
      <c r="E50" s="31">
        <v>1040.4000000000001</v>
      </c>
      <c r="F50" s="32">
        <f>SUM(E50*5/1000)</f>
        <v>5.202</v>
      </c>
      <c r="G50" s="51">
        <v>1564.24</v>
      </c>
      <c r="H50" s="33">
        <f>SUM(F50*G50/1000)</f>
        <v>8.1371764800000008</v>
      </c>
      <c r="I50" s="34">
        <f>F50/5*G50</f>
        <v>1627.4352960000001</v>
      </c>
      <c r="J50" s="34">
        <f>F50/5*G50</f>
        <v>1627.4352960000001</v>
      </c>
      <c r="K50" s="34">
        <v>0</v>
      </c>
      <c r="L50" s="34">
        <v>0</v>
      </c>
      <c r="M50" s="34">
        <f>F50/5*G50</f>
        <v>1627.4352960000001</v>
      </c>
      <c r="N50" s="34">
        <v>0</v>
      </c>
      <c r="O50" s="34">
        <v>0</v>
      </c>
      <c r="P50" s="34">
        <v>0</v>
      </c>
      <c r="Q50" s="34">
        <f>F50/5*G50</f>
        <v>1627.4352960000001</v>
      </c>
      <c r="R50" s="34">
        <v>0</v>
      </c>
      <c r="S50" s="34">
        <v>0</v>
      </c>
      <c r="T50" s="34">
        <f>F50/5*G50</f>
        <v>1627.4352960000001</v>
      </c>
      <c r="U50" s="34">
        <f t="shared" si="37"/>
        <v>8137.1764800000001</v>
      </c>
    </row>
    <row r="51" spans="1:21" ht="38.25" customHeight="1">
      <c r="A51" s="187" t="s">
        <v>232</v>
      </c>
      <c r="B51" s="11" t="s">
        <v>62</v>
      </c>
      <c r="C51" s="26" t="s">
        <v>31</v>
      </c>
      <c r="D51" s="11" t="s">
        <v>54</v>
      </c>
      <c r="E51" s="31">
        <v>1040.4000000000001</v>
      </c>
      <c r="F51" s="32">
        <f>SUM(E51*2/1000)</f>
        <v>2.0808</v>
      </c>
      <c r="G51" s="51">
        <v>1380.31</v>
      </c>
      <c r="H51" s="33">
        <f t="shared" si="36"/>
        <v>2.8721490479999998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f>F51/2*G51</f>
        <v>1436.0745239999999</v>
      </c>
      <c r="P51" s="34">
        <v>0</v>
      </c>
      <c r="Q51" s="34">
        <v>0</v>
      </c>
      <c r="R51" s="34">
        <f>F51/2*G51</f>
        <v>1436.0745239999999</v>
      </c>
      <c r="S51" s="34">
        <v>0</v>
      </c>
      <c r="T51" s="34">
        <v>0</v>
      </c>
      <c r="U51" s="34">
        <f t="shared" si="37"/>
        <v>2872.1490479999998</v>
      </c>
    </row>
    <row r="52" spans="1:21" ht="25.5" customHeight="1">
      <c r="A52" s="187" t="s">
        <v>233</v>
      </c>
      <c r="B52" s="11" t="s">
        <v>63</v>
      </c>
      <c r="C52" s="26" t="s">
        <v>64</v>
      </c>
      <c r="D52" s="11" t="s">
        <v>54</v>
      </c>
      <c r="E52" s="31">
        <v>20</v>
      </c>
      <c r="F52" s="32">
        <f>SUM(E52*2/100)</f>
        <v>0.4</v>
      </c>
      <c r="G52" s="51">
        <v>3519.56</v>
      </c>
      <c r="H52" s="33">
        <f t="shared" si="36"/>
        <v>1.407824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f>F52/2*G52</f>
        <v>703.91200000000003</v>
      </c>
      <c r="P52" s="34">
        <v>0</v>
      </c>
      <c r="Q52" s="34">
        <v>0</v>
      </c>
      <c r="R52" s="34">
        <f t="shared" ref="R52:R53" si="40">F52/2*G52</f>
        <v>703.91200000000003</v>
      </c>
      <c r="S52" s="34">
        <v>0</v>
      </c>
      <c r="T52" s="34">
        <v>0</v>
      </c>
      <c r="U52" s="34">
        <f t="shared" si="37"/>
        <v>1407.8240000000001</v>
      </c>
    </row>
    <row r="53" spans="1:21">
      <c r="A53" s="187" t="s">
        <v>234</v>
      </c>
      <c r="B53" s="11" t="s">
        <v>65</v>
      </c>
      <c r="C53" s="26" t="s">
        <v>66</v>
      </c>
      <c r="D53" s="11" t="s">
        <v>54</v>
      </c>
      <c r="E53" s="31">
        <v>1</v>
      </c>
      <c r="F53" s="32">
        <v>0.02</v>
      </c>
      <c r="G53" s="51">
        <v>6428.82</v>
      </c>
      <c r="H53" s="33">
        <f t="shared" si="36"/>
        <v>0.12857640000000001</v>
      </c>
      <c r="I53" s="34">
        <v>0</v>
      </c>
      <c r="J53" s="34">
        <v>0</v>
      </c>
      <c r="K53" s="34">
        <f>F53/2*G53</f>
        <v>64.288200000000003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f t="shared" si="40"/>
        <v>64.288200000000003</v>
      </c>
      <c r="S53" s="34">
        <v>0</v>
      </c>
      <c r="T53" s="34">
        <v>0</v>
      </c>
      <c r="U53" s="34">
        <f t="shared" si="37"/>
        <v>128.57640000000001</v>
      </c>
    </row>
    <row r="54" spans="1:21" ht="13.5" customHeight="1">
      <c r="A54" s="187" t="s">
        <v>67</v>
      </c>
      <c r="B54" s="11" t="s">
        <v>68</v>
      </c>
      <c r="C54" s="26" t="s">
        <v>69</v>
      </c>
      <c r="D54" s="11" t="s">
        <v>159</v>
      </c>
      <c r="E54" s="31">
        <v>56</v>
      </c>
      <c r="F54" s="32">
        <f>SUM(E54*3)</f>
        <v>168</v>
      </c>
      <c r="G54" s="52">
        <v>160.51</v>
      </c>
      <c r="H54" s="33">
        <f t="shared" si="36"/>
        <v>26.965679999999999</v>
      </c>
      <c r="I54" s="34">
        <f>E54*G54</f>
        <v>8988.56</v>
      </c>
      <c r="J54" s="34">
        <v>0</v>
      </c>
      <c r="K54" s="34">
        <v>0</v>
      </c>
      <c r="L54" s="34">
        <v>0</v>
      </c>
      <c r="M54" s="34">
        <f>E54*G54</f>
        <v>8988.56</v>
      </c>
      <c r="N54" s="34">
        <v>0</v>
      </c>
      <c r="O54" s="34">
        <v>0</v>
      </c>
      <c r="P54" s="34">
        <v>0</v>
      </c>
      <c r="Q54" s="34">
        <f>E54*G54</f>
        <v>8988.56</v>
      </c>
      <c r="R54" s="34">
        <v>0</v>
      </c>
      <c r="S54" s="34">
        <v>0</v>
      </c>
      <c r="T54" s="34">
        <v>0</v>
      </c>
      <c r="U54" s="34">
        <f t="shared" si="37"/>
        <v>26965.68</v>
      </c>
    </row>
    <row r="55" spans="1:21" ht="13.5" customHeight="1">
      <c r="A55" s="187" t="s">
        <v>70</v>
      </c>
      <c r="B55" s="11" t="s">
        <v>71</v>
      </c>
      <c r="C55" s="26" t="s">
        <v>69</v>
      </c>
      <c r="D55" s="11" t="s">
        <v>159</v>
      </c>
      <c r="E55" s="31">
        <v>112</v>
      </c>
      <c r="F55" s="32">
        <f>SUM(E55)*3</f>
        <v>336</v>
      </c>
      <c r="G55" s="52">
        <v>74.709999999999994</v>
      </c>
      <c r="H55" s="33">
        <f t="shared" si="36"/>
        <v>25.102559999999997</v>
      </c>
      <c r="I55" s="34">
        <f>E55*G55</f>
        <v>8367.5199999999986</v>
      </c>
      <c r="J55" s="34">
        <v>0</v>
      </c>
      <c r="K55" s="34">
        <v>0</v>
      </c>
      <c r="L55" s="34">
        <v>0</v>
      </c>
      <c r="M55" s="34">
        <f>E55*G55</f>
        <v>8367.5199999999986</v>
      </c>
      <c r="N55" s="34">
        <v>0</v>
      </c>
      <c r="O55" s="34">
        <v>0</v>
      </c>
      <c r="P55" s="34">
        <v>0</v>
      </c>
      <c r="Q55" s="34">
        <f>E55*G55</f>
        <v>8367.5199999999986</v>
      </c>
      <c r="R55" s="34">
        <v>0</v>
      </c>
      <c r="S55" s="34">
        <v>0</v>
      </c>
      <c r="T55" s="34">
        <v>0</v>
      </c>
      <c r="U55" s="34">
        <f t="shared" si="37"/>
        <v>25102.559999999998</v>
      </c>
    </row>
    <row r="56" spans="1:21" s="2" customFormat="1" hidden="1">
      <c r="A56" s="189"/>
      <c r="B56" s="14" t="s">
        <v>72</v>
      </c>
      <c r="C56" s="48"/>
      <c r="D56" s="11" t="s">
        <v>73</v>
      </c>
      <c r="E56" s="45"/>
      <c r="F56" s="49"/>
      <c r="G56" s="49">
        <v>5750</v>
      </c>
      <c r="H56" s="53">
        <f t="shared" si="36"/>
        <v>0</v>
      </c>
      <c r="I56" s="54"/>
      <c r="J56" s="54"/>
      <c r="K56" s="54"/>
      <c r="L56" s="54"/>
      <c r="M56" s="54"/>
      <c r="N56" s="54"/>
      <c r="O56" s="54"/>
      <c r="P56" s="34">
        <f t="shared" ref="P56" si="41">E56*G56</f>
        <v>0</v>
      </c>
      <c r="Q56" s="54"/>
      <c r="R56" s="54"/>
      <c r="S56" s="54"/>
      <c r="T56" s="54"/>
      <c r="U56" s="34">
        <f t="shared" si="37"/>
        <v>0</v>
      </c>
    </row>
    <row r="57" spans="1:21" s="22" customFormat="1">
      <c r="A57" s="190"/>
      <c r="B57" s="21" t="s">
        <v>28</v>
      </c>
      <c r="C57" s="55"/>
      <c r="D57" s="21"/>
      <c r="E57" s="56"/>
      <c r="F57" s="57"/>
      <c r="G57" s="57"/>
      <c r="H57" s="47">
        <f>SUM(H45:H55)</f>
        <v>77.529515332000003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78">
        <f>SUM(U45:U55)</f>
        <v>77529.515331999995</v>
      </c>
    </row>
    <row r="58" spans="1:21">
      <c r="A58" s="187"/>
      <c r="B58" s="13" t="s">
        <v>74</v>
      </c>
      <c r="C58" s="26"/>
      <c r="D58" s="11"/>
      <c r="E58" s="31"/>
      <c r="F58" s="32"/>
      <c r="G58" s="32"/>
      <c r="H58" s="3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4"/>
    </row>
    <row r="59" spans="1:21" hidden="1">
      <c r="A59" s="187" t="s">
        <v>75</v>
      </c>
      <c r="B59" s="11" t="s">
        <v>76</v>
      </c>
      <c r="C59" s="26" t="s">
        <v>13</v>
      </c>
      <c r="D59" s="11" t="s">
        <v>54</v>
      </c>
      <c r="E59" s="31">
        <v>946</v>
      </c>
      <c r="F59" s="32">
        <f>SUM(E59*2/100)</f>
        <v>18.920000000000002</v>
      </c>
      <c r="G59" s="51">
        <v>0</v>
      </c>
      <c r="H59" s="33">
        <f>SUM(F59*G59/1000)</f>
        <v>0</v>
      </c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34"/>
    </row>
    <row r="60" spans="1:21" ht="25.5" customHeight="1">
      <c r="A60" s="8" t="s">
        <v>236</v>
      </c>
      <c r="B60" s="11" t="s">
        <v>205</v>
      </c>
      <c r="C60" s="26" t="s">
        <v>13</v>
      </c>
      <c r="D60" s="11" t="s">
        <v>77</v>
      </c>
      <c r="E60" s="31">
        <v>142.05000000000001</v>
      </c>
      <c r="F60" s="32">
        <f>SUM(E60*6/100)</f>
        <v>8.5230000000000015</v>
      </c>
      <c r="G60" s="51">
        <v>2108.4299999999998</v>
      </c>
      <c r="H60" s="33">
        <f>SUM(F60*G60/1000)</f>
        <v>17.970148890000001</v>
      </c>
      <c r="I60" s="34">
        <f>F60/6*G60</f>
        <v>2995.0248150000002</v>
      </c>
      <c r="J60" s="34">
        <f>F60/6*G60</f>
        <v>2995.0248150000002</v>
      </c>
      <c r="K60" s="34">
        <f>F60/6*G60</f>
        <v>2995.0248150000002</v>
      </c>
      <c r="L60" s="34">
        <f>F60/6*G60</f>
        <v>2995.0248150000002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f>F60/6*G60</f>
        <v>2995.0248150000002</v>
      </c>
      <c r="T60" s="34">
        <f>F60/6*G60</f>
        <v>2995.0248150000002</v>
      </c>
      <c r="U60" s="34">
        <f t="shared" ref="U60:U80" si="42">SUM(I60:T60)</f>
        <v>17970.14889</v>
      </c>
    </row>
    <row r="61" spans="1:21" ht="24.75" hidden="1" customHeight="1">
      <c r="A61" s="187" t="s">
        <v>78</v>
      </c>
      <c r="B61" s="11" t="s">
        <v>79</v>
      </c>
      <c r="C61" s="26" t="s">
        <v>13</v>
      </c>
      <c r="D61" s="11" t="s">
        <v>41</v>
      </c>
      <c r="E61" s="31"/>
      <c r="F61" s="32"/>
      <c r="G61" s="32">
        <v>1090.82</v>
      </c>
      <c r="H61" s="33">
        <f>SUM(F61*G61/1000)</f>
        <v>0</v>
      </c>
      <c r="I61" s="43"/>
      <c r="J61" s="43"/>
      <c r="K61" s="43"/>
      <c r="L61" s="34"/>
      <c r="M61" s="34"/>
      <c r="N61" s="34"/>
      <c r="O61" s="34"/>
      <c r="P61" s="34"/>
      <c r="Q61" s="34"/>
      <c r="R61" s="34"/>
      <c r="S61" s="34"/>
      <c r="T61" s="34"/>
      <c r="U61" s="34">
        <f t="shared" si="42"/>
        <v>0</v>
      </c>
    </row>
    <row r="62" spans="1:21" hidden="1">
      <c r="A62" s="187"/>
      <c r="B62" s="13" t="s">
        <v>80</v>
      </c>
      <c r="C62" s="26"/>
      <c r="D62" s="11"/>
      <c r="E62" s="31"/>
      <c r="F62" s="32"/>
      <c r="G62" s="32"/>
      <c r="H62" s="33" t="s">
        <v>45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34">
        <f t="shared" si="42"/>
        <v>0</v>
      </c>
    </row>
    <row r="63" spans="1:21" hidden="1">
      <c r="A63" s="187" t="s">
        <v>81</v>
      </c>
      <c r="B63" s="11" t="s">
        <v>82</v>
      </c>
      <c r="C63" s="26" t="s">
        <v>13</v>
      </c>
      <c r="D63" s="11" t="s">
        <v>34</v>
      </c>
      <c r="E63" s="31">
        <v>938</v>
      </c>
      <c r="F63" s="32">
        <f>SUM(E63/100)</f>
        <v>9.3800000000000008</v>
      </c>
      <c r="G63" s="51">
        <v>0</v>
      </c>
      <c r="H63" s="33">
        <f>SUM(F63*G63/1000)</f>
        <v>0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34">
        <f t="shared" si="42"/>
        <v>0</v>
      </c>
    </row>
    <row r="64" spans="1:21" hidden="1">
      <c r="A64" s="187"/>
      <c r="B64" s="11" t="s">
        <v>83</v>
      </c>
      <c r="C64" s="26" t="s">
        <v>84</v>
      </c>
      <c r="D64" s="11" t="s">
        <v>85</v>
      </c>
      <c r="E64" s="45"/>
      <c r="F64" s="32"/>
      <c r="G64" s="51">
        <v>0</v>
      </c>
      <c r="H64" s="33">
        <v>0</v>
      </c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34">
        <f t="shared" si="42"/>
        <v>0</v>
      </c>
    </row>
    <row r="65" spans="1:21" hidden="1">
      <c r="A65" s="187" t="s">
        <v>86</v>
      </c>
      <c r="B65" s="11" t="s">
        <v>87</v>
      </c>
      <c r="C65" s="26" t="s">
        <v>20</v>
      </c>
      <c r="D65" s="11" t="s">
        <v>34</v>
      </c>
      <c r="E65" s="31"/>
      <c r="F65" s="32"/>
      <c r="G65" s="59">
        <v>1863.87</v>
      </c>
      <c r="H65" s="33">
        <f>SUM(F65*G65/1000)</f>
        <v>0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34">
        <f t="shared" si="42"/>
        <v>0</v>
      </c>
    </row>
    <row r="66" spans="1:21">
      <c r="A66" s="187"/>
      <c r="B66" s="12" t="s">
        <v>80</v>
      </c>
      <c r="C66" s="26"/>
      <c r="D66" s="11"/>
      <c r="E66" s="31"/>
      <c r="F66" s="33"/>
      <c r="G66" s="51"/>
      <c r="H66" s="60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4"/>
    </row>
    <row r="67" spans="1:21">
      <c r="A67" s="187" t="s">
        <v>237</v>
      </c>
      <c r="B67" s="11" t="s">
        <v>136</v>
      </c>
      <c r="C67" s="26" t="s">
        <v>13</v>
      </c>
      <c r="D67" s="11" t="s">
        <v>34</v>
      </c>
      <c r="E67" s="31">
        <v>1040.4000000000001</v>
      </c>
      <c r="F67" s="33">
        <f>E67/100</f>
        <v>10.404000000000002</v>
      </c>
      <c r="G67" s="51">
        <v>902.66</v>
      </c>
      <c r="H67" s="60">
        <f>G67*F67/1000</f>
        <v>9.3912746400000007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42"/>
        <v>0</v>
      </c>
    </row>
    <row r="68" spans="1:21">
      <c r="A68" s="187"/>
      <c r="B68" s="11" t="s">
        <v>137</v>
      </c>
      <c r="C68" s="26" t="s">
        <v>84</v>
      </c>
      <c r="D68" s="11" t="s">
        <v>85</v>
      </c>
      <c r="E68" s="31">
        <v>240</v>
      </c>
      <c r="F68" s="32">
        <v>2880</v>
      </c>
      <c r="G68" s="61">
        <v>2.83</v>
      </c>
      <c r="H68" s="33">
        <f>F68*G68/1000</f>
        <v>8.1504000000000012</v>
      </c>
      <c r="I68" s="34">
        <f>F68/12*G68</f>
        <v>679.2</v>
      </c>
      <c r="J68" s="34">
        <f>F68/12*G68</f>
        <v>679.2</v>
      </c>
      <c r="K68" s="34">
        <f>F68/12*G68</f>
        <v>679.2</v>
      </c>
      <c r="L68" s="34">
        <f>F68/12*G68</f>
        <v>679.2</v>
      </c>
      <c r="M68" s="34">
        <f>F68/12*G68</f>
        <v>679.2</v>
      </c>
      <c r="N68" s="34">
        <f>F68/12*G68</f>
        <v>679.2</v>
      </c>
      <c r="O68" s="34">
        <f>F68/12*G68</f>
        <v>679.2</v>
      </c>
      <c r="P68" s="34">
        <f>F68/12*G68</f>
        <v>679.2</v>
      </c>
      <c r="Q68" s="34">
        <f>F68/12*G68</f>
        <v>679.2</v>
      </c>
      <c r="R68" s="34">
        <f>F68/12*G68</f>
        <v>679.2</v>
      </c>
      <c r="S68" s="34">
        <f>F68/12*G68</f>
        <v>679.2</v>
      </c>
      <c r="T68" s="34">
        <v>679.2</v>
      </c>
      <c r="U68" s="34">
        <f t="shared" si="42"/>
        <v>8150.3999999999987</v>
      </c>
    </row>
    <row r="69" spans="1:21" ht="12.75" hidden="1" customHeight="1">
      <c r="A69" s="187" t="s">
        <v>88</v>
      </c>
      <c r="B69" s="11" t="s">
        <v>89</v>
      </c>
      <c r="C69" s="26" t="s">
        <v>90</v>
      </c>
      <c r="D69" s="11" t="s">
        <v>34</v>
      </c>
      <c r="E69" s="31"/>
      <c r="F69" s="32"/>
      <c r="G69" s="62">
        <v>10305.030000000001</v>
      </c>
      <c r="H69" s="33">
        <f t="shared" ref="H69:H89" si="43">SUM(F69*G69/1000)</f>
        <v>0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34">
        <f t="shared" si="42"/>
        <v>0</v>
      </c>
    </row>
    <row r="70" spans="1:21" ht="12.75" hidden="1" customHeight="1">
      <c r="A70" s="187" t="s">
        <v>91</v>
      </c>
      <c r="B70" s="11" t="s">
        <v>92</v>
      </c>
      <c r="C70" s="26" t="s">
        <v>93</v>
      </c>
      <c r="D70" s="11" t="s">
        <v>34</v>
      </c>
      <c r="E70" s="31"/>
      <c r="F70" s="32"/>
      <c r="G70" s="62">
        <v>1854.76</v>
      </c>
      <c r="H70" s="33">
        <f t="shared" si="43"/>
        <v>0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34">
        <f t="shared" si="42"/>
        <v>0</v>
      </c>
    </row>
    <row r="71" spans="1:21">
      <c r="A71" s="191"/>
      <c r="B71" s="16" t="s">
        <v>94</v>
      </c>
      <c r="C71" s="63"/>
      <c r="D71" s="64"/>
      <c r="E71" s="65"/>
      <c r="F71" s="66"/>
      <c r="G71" s="66"/>
      <c r="H71" s="67" t="s">
        <v>45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34"/>
    </row>
    <row r="72" spans="1:21" ht="12.75" customHeight="1">
      <c r="A72" s="23" t="s">
        <v>238</v>
      </c>
      <c r="B72" s="17" t="s">
        <v>95</v>
      </c>
      <c r="C72" s="23" t="s">
        <v>66</v>
      </c>
      <c r="D72" s="9" t="s">
        <v>41</v>
      </c>
      <c r="E72" s="68">
        <v>15</v>
      </c>
      <c r="F72" s="32">
        <f>15/100</f>
        <v>0.15</v>
      </c>
      <c r="G72" s="51">
        <v>252.96</v>
      </c>
      <c r="H72" s="69">
        <f t="shared" si="43"/>
        <v>3.7944000000000006E-2</v>
      </c>
      <c r="I72" s="34">
        <f>G72*3</f>
        <v>758.88</v>
      </c>
      <c r="J72" s="34">
        <f>G72*4</f>
        <v>1011.84</v>
      </c>
      <c r="K72" s="34">
        <f>G72*4</f>
        <v>1011.84</v>
      </c>
      <c r="L72" s="34">
        <f>G72</f>
        <v>252.96</v>
      </c>
      <c r="M72" s="34">
        <f>G72</f>
        <v>252.96</v>
      </c>
      <c r="N72" s="34">
        <v>0</v>
      </c>
      <c r="O72" s="34">
        <v>0</v>
      </c>
      <c r="P72" s="34">
        <v>0</v>
      </c>
      <c r="Q72" s="34">
        <f>G72*8</f>
        <v>2023.68</v>
      </c>
      <c r="R72" s="34">
        <f>G72*9</f>
        <v>2276.64</v>
      </c>
      <c r="S72" s="34">
        <v>0</v>
      </c>
      <c r="T72" s="34">
        <f>G72</f>
        <v>252.96</v>
      </c>
      <c r="U72" s="34">
        <f t="shared" si="42"/>
        <v>7841.7599999999993</v>
      </c>
    </row>
    <row r="73" spans="1:21" ht="12.75" customHeight="1">
      <c r="A73" s="23" t="s">
        <v>239</v>
      </c>
      <c r="B73" s="17" t="s">
        <v>96</v>
      </c>
      <c r="C73" s="23" t="s">
        <v>66</v>
      </c>
      <c r="D73" s="9" t="s">
        <v>41</v>
      </c>
      <c r="E73" s="68">
        <v>10</v>
      </c>
      <c r="F73" s="32">
        <f>10/100</f>
        <v>0.1</v>
      </c>
      <c r="G73" s="51">
        <v>86.74</v>
      </c>
      <c r="H73" s="69">
        <f t="shared" si="43"/>
        <v>8.6739999999999994E-3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f t="shared" si="42"/>
        <v>0</v>
      </c>
    </row>
    <row r="74" spans="1:21" s="2" customFormat="1">
      <c r="A74" s="70" t="s">
        <v>240</v>
      </c>
      <c r="B74" s="17" t="s">
        <v>97</v>
      </c>
      <c r="C74" s="70" t="s">
        <v>98</v>
      </c>
      <c r="D74" s="9" t="s">
        <v>34</v>
      </c>
      <c r="E74" s="31">
        <v>17532</v>
      </c>
      <c r="F74" s="52">
        <f>SUM(E74/100)</f>
        <v>175.32</v>
      </c>
      <c r="G74" s="51">
        <v>241.31</v>
      </c>
      <c r="H74" s="69">
        <f t="shared" si="43"/>
        <v>42.306469200000002</v>
      </c>
      <c r="I74" s="50">
        <v>0</v>
      </c>
      <c r="J74" s="50">
        <v>0</v>
      </c>
      <c r="K74" s="50">
        <v>0</v>
      </c>
      <c r="L74" s="50">
        <v>0</v>
      </c>
      <c r="M74" s="50">
        <f>F74*G74</f>
        <v>42306.4692</v>
      </c>
      <c r="N74" s="50">
        <v>0</v>
      </c>
      <c r="O74" s="50">
        <v>0</v>
      </c>
      <c r="P74" s="50">
        <v>0</v>
      </c>
      <c r="Q74" s="34">
        <v>0</v>
      </c>
      <c r="R74" s="34">
        <v>0</v>
      </c>
      <c r="S74" s="34">
        <v>0</v>
      </c>
      <c r="T74" s="34">
        <v>0</v>
      </c>
      <c r="U74" s="34">
        <f t="shared" si="42"/>
        <v>42306.4692</v>
      </c>
    </row>
    <row r="75" spans="1:21" ht="12.75" customHeight="1">
      <c r="A75" s="23" t="s">
        <v>241</v>
      </c>
      <c r="B75" s="17" t="s">
        <v>99</v>
      </c>
      <c r="C75" s="23" t="s">
        <v>100</v>
      </c>
      <c r="D75" s="9"/>
      <c r="E75" s="31">
        <v>17532</v>
      </c>
      <c r="F75" s="51">
        <f>SUM(E75/1000)</f>
        <v>17.532</v>
      </c>
      <c r="G75" s="51">
        <v>187.91</v>
      </c>
      <c r="H75" s="69">
        <f t="shared" si="43"/>
        <v>3.2944381199999997</v>
      </c>
      <c r="I75" s="34">
        <v>0</v>
      </c>
      <c r="J75" s="34">
        <v>0</v>
      </c>
      <c r="K75" s="34">
        <v>0</v>
      </c>
      <c r="L75" s="34">
        <v>0</v>
      </c>
      <c r="M75" s="34">
        <f>F75*G75</f>
        <v>3294.4381199999998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f t="shared" si="42"/>
        <v>3294.4381199999998</v>
      </c>
    </row>
    <row r="76" spans="1:21">
      <c r="A76" s="23" t="s">
        <v>242</v>
      </c>
      <c r="B76" s="17" t="s">
        <v>101</v>
      </c>
      <c r="C76" s="23" t="s">
        <v>102</v>
      </c>
      <c r="D76" s="9" t="s">
        <v>34</v>
      </c>
      <c r="E76" s="31">
        <v>1365</v>
      </c>
      <c r="F76" s="51">
        <f>SUM(E76/100)</f>
        <v>13.65</v>
      </c>
      <c r="G76" s="51">
        <v>2359.7199999999998</v>
      </c>
      <c r="H76" s="69">
        <f t="shared" si="43"/>
        <v>32.210177999999999</v>
      </c>
      <c r="I76" s="34">
        <v>0</v>
      </c>
      <c r="J76" s="34">
        <v>0</v>
      </c>
      <c r="K76" s="34">
        <v>0</v>
      </c>
      <c r="L76" s="34">
        <v>0</v>
      </c>
      <c r="M76" s="34">
        <f>F76*G76</f>
        <v>32210.178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f t="shared" si="42"/>
        <v>32210.178</v>
      </c>
    </row>
    <row r="77" spans="1:21">
      <c r="A77" s="23"/>
      <c r="B77" s="18" t="s">
        <v>138</v>
      </c>
      <c r="C77" s="23" t="s">
        <v>39</v>
      </c>
      <c r="D77" s="9"/>
      <c r="E77" s="31">
        <v>15.6</v>
      </c>
      <c r="F77" s="51">
        <f>SUM(E77)</f>
        <v>15.6</v>
      </c>
      <c r="G77" s="51">
        <v>45.4</v>
      </c>
      <c r="H77" s="69">
        <f t="shared" si="43"/>
        <v>0.70823999999999998</v>
      </c>
      <c r="I77" s="34">
        <v>0</v>
      </c>
      <c r="J77" s="34">
        <v>0</v>
      </c>
      <c r="K77" s="34">
        <v>0</v>
      </c>
      <c r="L77" s="34">
        <v>0</v>
      </c>
      <c r="M77" s="34">
        <f>F77*G77</f>
        <v>708.24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f t="shared" si="42"/>
        <v>708.24</v>
      </c>
    </row>
    <row r="78" spans="1:21" ht="25.5">
      <c r="A78" s="23" t="s">
        <v>45</v>
      </c>
      <c r="B78" s="18" t="s">
        <v>139</v>
      </c>
      <c r="C78" s="23" t="s">
        <v>39</v>
      </c>
      <c r="D78" s="9"/>
      <c r="E78" s="31">
        <v>15.6</v>
      </c>
      <c r="F78" s="51">
        <f>SUM(E78)</f>
        <v>15.6</v>
      </c>
      <c r="G78" s="51">
        <v>42.35</v>
      </c>
      <c r="H78" s="69">
        <f t="shared" si="43"/>
        <v>0.66065999999999991</v>
      </c>
      <c r="I78" s="34">
        <v>0</v>
      </c>
      <c r="J78" s="34">
        <v>0</v>
      </c>
      <c r="K78" s="34">
        <v>0</v>
      </c>
      <c r="L78" s="34">
        <v>0</v>
      </c>
      <c r="M78" s="34">
        <f>F78*G78</f>
        <v>660.66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f t="shared" si="42"/>
        <v>660.66</v>
      </c>
    </row>
    <row r="79" spans="1:21">
      <c r="A79" s="23" t="s">
        <v>243</v>
      </c>
      <c r="B79" s="9" t="s">
        <v>103</v>
      </c>
      <c r="C79" s="23" t="s">
        <v>104</v>
      </c>
      <c r="D79" s="9" t="s">
        <v>34</v>
      </c>
      <c r="E79" s="68">
        <v>4</v>
      </c>
      <c r="F79" s="32">
        <f>SUM(E79)</f>
        <v>4</v>
      </c>
      <c r="G79" s="51">
        <v>56.74</v>
      </c>
      <c r="H79" s="69">
        <f t="shared" si="43"/>
        <v>0.22696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f>G79*4</f>
        <v>226.96</v>
      </c>
      <c r="R79" s="34">
        <v>0</v>
      </c>
      <c r="S79" s="34">
        <v>0</v>
      </c>
      <c r="T79" s="34">
        <v>0</v>
      </c>
      <c r="U79" s="34">
        <f t="shared" si="42"/>
        <v>226.96</v>
      </c>
    </row>
    <row r="80" spans="1:21" ht="12.75" customHeight="1">
      <c r="A80" s="23"/>
      <c r="B80" s="9" t="s">
        <v>140</v>
      </c>
      <c r="C80" s="23" t="s">
        <v>104</v>
      </c>
      <c r="D80" s="9" t="s">
        <v>131</v>
      </c>
      <c r="E80" s="68">
        <v>1</v>
      </c>
      <c r="F80" s="61">
        <v>12</v>
      </c>
      <c r="G80" s="51">
        <v>756.5</v>
      </c>
      <c r="H80" s="69">
        <f t="shared" si="43"/>
        <v>9.0779999999999994</v>
      </c>
      <c r="I80" s="34">
        <f>G80</f>
        <v>756.5</v>
      </c>
      <c r="J80" s="34">
        <f>G80</f>
        <v>756.5</v>
      </c>
      <c r="K80" s="34">
        <f>G80</f>
        <v>756.5</v>
      </c>
      <c r="L80" s="34">
        <f>G80</f>
        <v>756.5</v>
      </c>
      <c r="M80" s="34">
        <f>G80</f>
        <v>756.5</v>
      </c>
      <c r="N80" s="34">
        <f>G80</f>
        <v>756.5</v>
      </c>
      <c r="O80" s="34">
        <f>G80</f>
        <v>756.5</v>
      </c>
      <c r="P80" s="34">
        <f>G80</f>
        <v>756.5</v>
      </c>
      <c r="Q80" s="34">
        <f>G80</f>
        <v>756.5</v>
      </c>
      <c r="R80" s="34">
        <f>G80</f>
        <v>756.5</v>
      </c>
      <c r="S80" s="34">
        <f>G80</f>
        <v>756.5</v>
      </c>
      <c r="T80" s="34">
        <f>G80</f>
        <v>756.5</v>
      </c>
      <c r="U80" s="34">
        <f t="shared" si="42"/>
        <v>9078</v>
      </c>
    </row>
    <row r="81" spans="1:21" s="20" customFormat="1">
      <c r="A81" s="94" t="s">
        <v>170</v>
      </c>
      <c r="B81" s="158"/>
      <c r="C81" s="95"/>
      <c r="D81" s="158"/>
      <c r="E81" s="159"/>
      <c r="F81" s="97"/>
      <c r="G81" s="97"/>
      <c r="H81" s="42">
        <f>SUM(H72:H80)</f>
        <v>88.531563320000018</v>
      </c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0">
        <f>SUM(U60:U80)</f>
        <v>122447.25421000003</v>
      </c>
    </row>
    <row r="82" spans="1:21">
      <c r="A82" s="23"/>
      <c r="B82" s="19" t="s">
        <v>105</v>
      </c>
      <c r="C82" s="23"/>
      <c r="D82" s="9"/>
      <c r="E82" s="68"/>
      <c r="F82" s="51"/>
      <c r="G82" s="51"/>
      <c r="H82" s="69" t="s">
        <v>45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34"/>
    </row>
    <row r="83" spans="1:21" ht="12.75" customHeight="1">
      <c r="A83" s="23" t="s">
        <v>244</v>
      </c>
      <c r="B83" s="9" t="s">
        <v>154</v>
      </c>
      <c r="C83" s="23" t="s">
        <v>36</v>
      </c>
      <c r="D83" s="9" t="s">
        <v>41</v>
      </c>
      <c r="E83" s="68">
        <v>2</v>
      </c>
      <c r="F83" s="51">
        <v>2</v>
      </c>
      <c r="G83" s="51">
        <v>892.5</v>
      </c>
      <c r="H83" s="69">
        <f>G83*F83/1000</f>
        <v>1.7849999999999999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f t="shared" ref="U83:U90" si="44">SUM(I83:T83)</f>
        <v>0</v>
      </c>
    </row>
    <row r="84" spans="1:21">
      <c r="A84" s="23" t="s">
        <v>155</v>
      </c>
      <c r="B84" s="9" t="s">
        <v>156</v>
      </c>
      <c r="C84" s="23" t="s">
        <v>157</v>
      </c>
      <c r="D84" s="9"/>
      <c r="E84" s="68">
        <v>1</v>
      </c>
      <c r="F84" s="51">
        <v>1</v>
      </c>
      <c r="G84" s="51">
        <v>750</v>
      </c>
      <c r="H84" s="69">
        <f>G84*F84/1000</f>
        <v>0.75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f t="shared" si="44"/>
        <v>0</v>
      </c>
    </row>
    <row r="85" spans="1:21">
      <c r="A85" s="23" t="s">
        <v>245</v>
      </c>
      <c r="B85" s="9" t="s">
        <v>106</v>
      </c>
      <c r="C85" s="23" t="s">
        <v>107</v>
      </c>
      <c r="D85" s="9"/>
      <c r="E85" s="68">
        <v>2</v>
      </c>
      <c r="F85" s="51">
        <v>0.2</v>
      </c>
      <c r="G85" s="51">
        <v>570.54</v>
      </c>
      <c r="H85" s="69">
        <f t="shared" si="43"/>
        <v>0.114108</v>
      </c>
      <c r="I85" s="34">
        <v>0</v>
      </c>
      <c r="J85" s="34">
        <v>0</v>
      </c>
      <c r="K85" s="34">
        <f>G85*0.7</f>
        <v>399.37799999999993</v>
      </c>
      <c r="L85" s="34">
        <v>0</v>
      </c>
      <c r="M85" s="34">
        <f>G85*0.6</f>
        <v>342.32399999999996</v>
      </c>
      <c r="N85" s="34">
        <f>G85*0.2</f>
        <v>114.108</v>
      </c>
      <c r="O85" s="34">
        <v>0</v>
      </c>
      <c r="P85" s="34">
        <f>G85*0.2</f>
        <v>114.108</v>
      </c>
      <c r="Q85" s="34">
        <v>0</v>
      </c>
      <c r="R85" s="34">
        <v>0</v>
      </c>
      <c r="S85" s="34">
        <v>0</v>
      </c>
      <c r="T85" s="34">
        <v>0</v>
      </c>
      <c r="U85" s="34">
        <f t="shared" si="44"/>
        <v>969.91799999999989</v>
      </c>
    </row>
    <row r="86" spans="1:21">
      <c r="A86" s="23" t="s">
        <v>246</v>
      </c>
      <c r="B86" s="9" t="s">
        <v>158</v>
      </c>
      <c r="C86" s="23" t="s">
        <v>36</v>
      </c>
      <c r="D86" s="9"/>
      <c r="E86" s="68">
        <v>1</v>
      </c>
      <c r="F86" s="61">
        <v>1</v>
      </c>
      <c r="G86" s="51">
        <v>970.21</v>
      </c>
      <c r="H86" s="69">
        <f t="shared" si="43"/>
        <v>0.97021000000000002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f t="shared" si="44"/>
        <v>0</v>
      </c>
    </row>
    <row r="87" spans="1:21">
      <c r="A87" s="23" t="s">
        <v>263</v>
      </c>
      <c r="B87" s="9" t="s">
        <v>108</v>
      </c>
      <c r="C87" s="23" t="s">
        <v>69</v>
      </c>
      <c r="D87" s="9"/>
      <c r="E87" s="68">
        <v>1</v>
      </c>
      <c r="F87" s="32">
        <f>SUM(E87)</f>
        <v>1</v>
      </c>
      <c r="G87" s="51">
        <v>407.79</v>
      </c>
      <c r="H87" s="69">
        <f t="shared" si="43"/>
        <v>0.40779000000000004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f>G87</f>
        <v>407.79</v>
      </c>
      <c r="T87" s="34">
        <v>0</v>
      </c>
      <c r="U87" s="34">
        <f t="shared" si="44"/>
        <v>407.79</v>
      </c>
    </row>
    <row r="88" spans="1:21">
      <c r="A88" s="23"/>
      <c r="B88" s="71" t="s">
        <v>109</v>
      </c>
      <c r="C88" s="23"/>
      <c r="D88" s="9"/>
      <c r="E88" s="68"/>
      <c r="F88" s="51"/>
      <c r="G88" s="51" t="s">
        <v>45</v>
      </c>
      <c r="H88" s="69" t="s">
        <v>45</v>
      </c>
      <c r="I88" s="43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1:21" s="2" customFormat="1">
      <c r="A89" s="70" t="s">
        <v>110</v>
      </c>
      <c r="B89" s="72" t="s">
        <v>111</v>
      </c>
      <c r="C89" s="70" t="s">
        <v>102</v>
      </c>
      <c r="D89" s="17"/>
      <c r="E89" s="73"/>
      <c r="F89" s="52">
        <v>0.6</v>
      </c>
      <c r="G89" s="52">
        <v>3138.65</v>
      </c>
      <c r="H89" s="69">
        <f t="shared" si="43"/>
        <v>1.8831900000000001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34">
        <f t="shared" si="44"/>
        <v>0</v>
      </c>
    </row>
    <row r="90" spans="1:21" s="2" customFormat="1">
      <c r="A90" s="192" t="s">
        <v>163</v>
      </c>
      <c r="B90" s="11" t="s">
        <v>164</v>
      </c>
      <c r="C90" s="80"/>
      <c r="D90" s="81"/>
      <c r="E90" s="150"/>
      <c r="F90" s="82">
        <v>1</v>
      </c>
      <c r="G90" s="83">
        <v>22696</v>
      </c>
      <c r="H90" s="69">
        <f>G90*F90/1000</f>
        <v>22.696000000000002</v>
      </c>
      <c r="I90" s="34">
        <v>0</v>
      </c>
      <c r="J90" s="34">
        <v>0</v>
      </c>
      <c r="K90" s="34">
        <v>0</v>
      </c>
      <c r="L90" s="34">
        <v>0</v>
      </c>
      <c r="M90" s="35">
        <v>0</v>
      </c>
      <c r="N90" s="34">
        <v>0</v>
      </c>
      <c r="O90" s="34">
        <v>0</v>
      </c>
      <c r="P90" s="34">
        <v>4969</v>
      </c>
      <c r="Q90" s="34">
        <v>0</v>
      </c>
      <c r="R90" s="34">
        <v>0</v>
      </c>
      <c r="S90" s="34">
        <v>0</v>
      </c>
      <c r="T90" s="34">
        <v>0</v>
      </c>
      <c r="U90" s="34">
        <f t="shared" si="44"/>
        <v>4969</v>
      </c>
    </row>
    <row r="91" spans="1:21" s="22" customFormat="1">
      <c r="A91" s="74"/>
      <c r="B91" s="21" t="s">
        <v>28</v>
      </c>
      <c r="C91" s="75"/>
      <c r="D91" s="76"/>
      <c r="E91" s="77"/>
      <c r="F91" s="78"/>
      <c r="G91" s="78"/>
      <c r="H91" s="79">
        <f>SUM(H83:H90)</f>
        <v>28.606298000000002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78">
        <f>SUM(U83:U90)</f>
        <v>6346.7079999999996</v>
      </c>
    </row>
    <row r="92" spans="1:21" s="165" customFormat="1">
      <c r="A92" s="70"/>
      <c r="B92" s="166" t="s">
        <v>171</v>
      </c>
      <c r="C92" s="160"/>
      <c r="D92" s="161"/>
      <c r="E92" s="162"/>
      <c r="F92" s="163"/>
      <c r="G92" s="163"/>
      <c r="H92" s="164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3"/>
    </row>
    <row r="93" spans="1:21" s="165" customFormat="1" ht="25.5">
      <c r="A93" s="70" t="s">
        <v>252</v>
      </c>
      <c r="B93" s="167" t="s">
        <v>172</v>
      </c>
      <c r="C93" s="70" t="s">
        <v>185</v>
      </c>
      <c r="D93" s="17" t="s">
        <v>41</v>
      </c>
      <c r="E93" s="73">
        <v>10</v>
      </c>
      <c r="F93" s="52">
        <v>10</v>
      </c>
      <c r="G93" s="52">
        <v>271.88</v>
      </c>
      <c r="H93" s="169">
        <f t="shared" ref="H93:H106" si="45">F93*G93/1000</f>
        <v>2.7188000000000003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34">
        <f t="shared" ref="U93:U108" si="46">SUM(I93:T93)</f>
        <v>0</v>
      </c>
    </row>
    <row r="94" spans="1:21" s="165" customFormat="1" ht="12.75" customHeight="1">
      <c r="A94" s="70" t="s">
        <v>253</v>
      </c>
      <c r="B94" s="167" t="s">
        <v>173</v>
      </c>
      <c r="C94" s="70" t="s">
        <v>186</v>
      </c>
      <c r="D94" s="17" t="s">
        <v>41</v>
      </c>
      <c r="E94" s="73">
        <v>100</v>
      </c>
      <c r="F94" s="52">
        <v>100</v>
      </c>
      <c r="G94" s="52">
        <v>111.84</v>
      </c>
      <c r="H94" s="169">
        <f t="shared" si="45"/>
        <v>11.183999999999999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34">
        <f t="shared" si="46"/>
        <v>0</v>
      </c>
    </row>
    <row r="95" spans="1:21" s="165" customFormat="1" ht="12.75" customHeight="1">
      <c r="A95" s="70" t="s">
        <v>247</v>
      </c>
      <c r="B95" s="167" t="s">
        <v>174</v>
      </c>
      <c r="C95" s="70" t="s">
        <v>187</v>
      </c>
      <c r="D95" s="17" t="s">
        <v>41</v>
      </c>
      <c r="E95" s="73">
        <v>30</v>
      </c>
      <c r="F95" s="52">
        <v>10</v>
      </c>
      <c r="G95" s="52">
        <v>972.09</v>
      </c>
      <c r="H95" s="169">
        <f t="shared" si="45"/>
        <v>9.7209000000000003</v>
      </c>
      <c r="I95" s="50">
        <v>0</v>
      </c>
      <c r="J95" s="50">
        <v>0</v>
      </c>
      <c r="K95" s="50">
        <v>0</v>
      </c>
      <c r="L95" s="50">
        <f>G95*(10/3)</f>
        <v>3240.3</v>
      </c>
      <c r="M95" s="50">
        <f>G95</f>
        <v>972.09</v>
      </c>
      <c r="N95" s="50">
        <f>G95</f>
        <v>972.09</v>
      </c>
      <c r="O95" s="50">
        <v>0</v>
      </c>
      <c r="P95" s="50">
        <f>G95*((10+10)/3)</f>
        <v>6480.6</v>
      </c>
      <c r="Q95" s="50">
        <f>G95</f>
        <v>972.09</v>
      </c>
      <c r="R95" s="50">
        <f>G95*(15/3)</f>
        <v>4860.45</v>
      </c>
      <c r="S95" s="50">
        <f>G95*((15+15)/3)</f>
        <v>9720.9</v>
      </c>
      <c r="T95" s="50">
        <f>G95*((10+10+12)/3)</f>
        <v>10368.959999999999</v>
      </c>
      <c r="U95" s="34">
        <f t="shared" si="46"/>
        <v>37587.480000000003</v>
      </c>
    </row>
    <row r="96" spans="1:21" s="165" customFormat="1" ht="12.75" customHeight="1">
      <c r="A96" s="70" t="s">
        <v>254</v>
      </c>
      <c r="B96" s="167" t="s">
        <v>175</v>
      </c>
      <c r="C96" s="70" t="s">
        <v>24</v>
      </c>
      <c r="D96" s="17" t="s">
        <v>41</v>
      </c>
      <c r="E96" s="73">
        <v>100</v>
      </c>
      <c r="F96" s="52">
        <v>1</v>
      </c>
      <c r="G96" s="52">
        <v>1829.52</v>
      </c>
      <c r="H96" s="169">
        <f t="shared" si="45"/>
        <v>1.82952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34">
        <f t="shared" si="46"/>
        <v>0</v>
      </c>
    </row>
    <row r="97" spans="1:21" s="165" customFormat="1" ht="25.5">
      <c r="A97" s="70" t="s">
        <v>255</v>
      </c>
      <c r="B97" s="167" t="s">
        <v>176</v>
      </c>
      <c r="C97" s="70" t="s">
        <v>188</v>
      </c>
      <c r="D97" s="17" t="s">
        <v>41</v>
      </c>
      <c r="E97" s="73">
        <v>40</v>
      </c>
      <c r="F97" s="52">
        <v>4</v>
      </c>
      <c r="G97" s="52">
        <v>272.39</v>
      </c>
      <c r="H97" s="169">
        <f t="shared" si="45"/>
        <v>1.0895599999999999</v>
      </c>
      <c r="I97" s="50">
        <f>G97*((4+4+4+3+3+4)/10)</f>
        <v>599.25800000000004</v>
      </c>
      <c r="J97" s="50">
        <v>0</v>
      </c>
      <c r="K97" s="50">
        <v>0</v>
      </c>
      <c r="L97" s="50">
        <f>G97*((4+4+4)/10)</f>
        <v>326.86799999999999</v>
      </c>
      <c r="M97" s="50">
        <f>G97*((4+8+4)/10)</f>
        <v>435.82400000000001</v>
      </c>
      <c r="N97" s="50">
        <v>0</v>
      </c>
      <c r="O97" s="50">
        <v>0</v>
      </c>
      <c r="P97" s="50">
        <f>G97*(4/10)</f>
        <v>108.956</v>
      </c>
      <c r="Q97" s="50">
        <f>G97*((4+4)/10)</f>
        <v>217.91200000000001</v>
      </c>
      <c r="R97" s="50">
        <v>0</v>
      </c>
      <c r="S97" s="50">
        <v>0</v>
      </c>
      <c r="T97" s="50">
        <f>G97*(4/10)</f>
        <v>108.956</v>
      </c>
      <c r="U97" s="34">
        <f t="shared" si="46"/>
        <v>1797.7739999999999</v>
      </c>
    </row>
    <row r="98" spans="1:21" s="165" customFormat="1" ht="38.25">
      <c r="A98" s="70" t="s">
        <v>248</v>
      </c>
      <c r="B98" s="167" t="s">
        <v>177</v>
      </c>
      <c r="C98" s="70" t="s">
        <v>186</v>
      </c>
      <c r="D98" s="17" t="s">
        <v>41</v>
      </c>
      <c r="E98" s="73">
        <v>15</v>
      </c>
      <c r="F98" s="52">
        <v>15</v>
      </c>
      <c r="G98" s="52">
        <v>1430.02</v>
      </c>
      <c r="H98" s="169">
        <f t="shared" si="45"/>
        <v>21.450299999999999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34">
        <f t="shared" si="46"/>
        <v>0</v>
      </c>
    </row>
    <row r="99" spans="1:21" s="165" customFormat="1" ht="38.25">
      <c r="A99" s="70" t="s">
        <v>249</v>
      </c>
      <c r="B99" s="167" t="s">
        <v>178</v>
      </c>
      <c r="C99" s="70" t="s">
        <v>186</v>
      </c>
      <c r="D99" s="17" t="s">
        <v>41</v>
      </c>
      <c r="E99" s="73">
        <v>10</v>
      </c>
      <c r="F99" s="52">
        <v>10</v>
      </c>
      <c r="G99" s="52">
        <v>1743.04</v>
      </c>
      <c r="H99" s="169">
        <f t="shared" si="45"/>
        <v>17.430400000000002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34">
        <f t="shared" si="46"/>
        <v>0</v>
      </c>
    </row>
    <row r="100" spans="1:21" s="165" customFormat="1" ht="25.5" customHeight="1">
      <c r="A100" s="70" t="s">
        <v>256</v>
      </c>
      <c r="B100" s="167" t="s">
        <v>179</v>
      </c>
      <c r="C100" s="70" t="s">
        <v>186</v>
      </c>
      <c r="D100" s="17" t="s">
        <v>41</v>
      </c>
      <c r="E100" s="73">
        <v>20</v>
      </c>
      <c r="F100" s="52">
        <v>20</v>
      </c>
      <c r="G100" s="52">
        <v>607.27</v>
      </c>
      <c r="H100" s="169">
        <f t="shared" si="45"/>
        <v>12.1454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34">
        <f t="shared" si="46"/>
        <v>0</v>
      </c>
    </row>
    <row r="101" spans="1:21" s="165" customFormat="1" ht="25.5" customHeight="1">
      <c r="A101" s="70" t="s">
        <v>257</v>
      </c>
      <c r="B101" s="167" t="s">
        <v>189</v>
      </c>
      <c r="C101" s="70" t="s">
        <v>186</v>
      </c>
      <c r="D101" s="17" t="s">
        <v>41</v>
      </c>
      <c r="E101" s="73">
        <v>30</v>
      </c>
      <c r="F101" s="52">
        <v>30</v>
      </c>
      <c r="G101" s="52">
        <v>711.93</v>
      </c>
      <c r="H101" s="169">
        <f t="shared" si="45"/>
        <v>21.357899999999997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34">
        <f t="shared" si="46"/>
        <v>0</v>
      </c>
    </row>
    <row r="102" spans="1:21" s="165" customFormat="1" ht="25.5">
      <c r="A102" s="70" t="s">
        <v>250</v>
      </c>
      <c r="B102" s="167" t="s">
        <v>180</v>
      </c>
      <c r="C102" s="70" t="s">
        <v>36</v>
      </c>
      <c r="D102" s="17" t="s">
        <v>41</v>
      </c>
      <c r="E102" s="73">
        <v>10</v>
      </c>
      <c r="F102" s="52">
        <v>10</v>
      </c>
      <c r="G102" s="52">
        <v>455.31</v>
      </c>
      <c r="H102" s="169">
        <f t="shared" si="45"/>
        <v>4.5531000000000006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34">
        <f t="shared" si="46"/>
        <v>0</v>
      </c>
    </row>
    <row r="103" spans="1:21" s="165" customFormat="1" ht="38.25">
      <c r="A103" s="70" t="s">
        <v>251</v>
      </c>
      <c r="B103" s="167" t="s">
        <v>181</v>
      </c>
      <c r="C103" s="70" t="s">
        <v>186</v>
      </c>
      <c r="D103" s="17" t="s">
        <v>41</v>
      </c>
      <c r="E103" s="73">
        <v>30</v>
      </c>
      <c r="F103" s="52">
        <v>30</v>
      </c>
      <c r="G103" s="52">
        <v>1155.7</v>
      </c>
      <c r="H103" s="169">
        <f t="shared" si="45"/>
        <v>34.670999999999999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34">
        <f t="shared" si="46"/>
        <v>0</v>
      </c>
    </row>
    <row r="104" spans="1:21" s="165" customFormat="1" ht="25.5">
      <c r="A104" s="23" t="s">
        <v>191</v>
      </c>
      <c r="B104" s="167" t="s">
        <v>182</v>
      </c>
      <c r="C104" s="70" t="s">
        <v>50</v>
      </c>
      <c r="D104" s="17" t="s">
        <v>54</v>
      </c>
      <c r="E104" s="73">
        <v>1040.4000000000001</v>
      </c>
      <c r="F104" s="52">
        <f>E104*2/1000</f>
        <v>2.0808</v>
      </c>
      <c r="G104" s="52">
        <v>1560.98</v>
      </c>
      <c r="H104" s="169">
        <f t="shared" si="45"/>
        <v>3.2480871840000001</v>
      </c>
      <c r="I104" s="50">
        <v>0</v>
      </c>
      <c r="J104" s="50">
        <v>0</v>
      </c>
      <c r="K104" s="50">
        <v>0</v>
      </c>
      <c r="L104" s="50">
        <v>0</v>
      </c>
      <c r="M104" s="50">
        <f>F104/2*G104</f>
        <v>1624.043592</v>
      </c>
      <c r="N104" s="50">
        <v>0</v>
      </c>
      <c r="O104" s="50">
        <v>0</v>
      </c>
      <c r="P104" s="50">
        <v>0</v>
      </c>
      <c r="Q104" s="50">
        <f>F104/2*G104</f>
        <v>1624.043592</v>
      </c>
      <c r="R104" s="50">
        <v>0</v>
      </c>
      <c r="S104" s="50">
        <v>0</v>
      </c>
      <c r="T104" s="50">
        <v>0</v>
      </c>
      <c r="U104" s="34">
        <f t="shared" si="46"/>
        <v>3248.087184</v>
      </c>
    </row>
    <row r="105" spans="1:21" s="165" customFormat="1" ht="50.25" customHeight="1">
      <c r="A105" s="23" t="s">
        <v>193</v>
      </c>
      <c r="B105" s="167" t="s">
        <v>183</v>
      </c>
      <c r="C105" s="168" t="s">
        <v>190</v>
      </c>
      <c r="D105" s="17" t="s">
        <v>41</v>
      </c>
      <c r="E105" s="73">
        <v>100</v>
      </c>
      <c r="F105" s="52">
        <v>1</v>
      </c>
      <c r="G105" s="52">
        <v>12859.93</v>
      </c>
      <c r="H105" s="169">
        <f t="shared" si="45"/>
        <v>12.85993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34">
        <f t="shared" si="46"/>
        <v>0</v>
      </c>
    </row>
    <row r="106" spans="1:21" s="165" customFormat="1" ht="25.5">
      <c r="A106" s="70" t="s">
        <v>192</v>
      </c>
      <c r="B106" s="167" t="s">
        <v>184</v>
      </c>
      <c r="C106" s="70" t="s">
        <v>50</v>
      </c>
      <c r="D106" s="17" t="s">
        <v>54</v>
      </c>
      <c r="E106" s="73">
        <v>1040.4000000000001</v>
      </c>
      <c r="F106" s="52">
        <v>2.08</v>
      </c>
      <c r="G106" s="52">
        <v>1453.29</v>
      </c>
      <c r="H106" s="169">
        <f t="shared" si="45"/>
        <v>3.0228432000000001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34">
        <f t="shared" si="46"/>
        <v>0</v>
      </c>
    </row>
    <row r="107" spans="1:21" s="22" customFormat="1">
      <c r="A107" s="74"/>
      <c r="B107" s="21" t="s">
        <v>28</v>
      </c>
      <c r="C107" s="75"/>
      <c r="D107" s="76"/>
      <c r="E107" s="77"/>
      <c r="F107" s="78"/>
      <c r="G107" s="78"/>
      <c r="H107" s="79">
        <f>SUM(H93:H106)</f>
        <v>157.28174038400002</v>
      </c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78">
        <f>SUM(U93:U106)</f>
        <v>42633.341184000004</v>
      </c>
    </row>
    <row r="108" spans="1:21" ht="12.75" customHeight="1">
      <c r="A108" s="104"/>
      <c r="B108" s="166" t="s">
        <v>112</v>
      </c>
      <c r="C108" s="23" t="s">
        <v>113</v>
      </c>
      <c r="D108" s="84"/>
      <c r="E108" s="51">
        <v>3455.3</v>
      </c>
      <c r="F108" s="51">
        <v>41463.599999999999</v>
      </c>
      <c r="G108" s="85">
        <v>2.7</v>
      </c>
      <c r="H108" s="69">
        <f>SUM(F108*G108/1000)</f>
        <v>111.95171999999999</v>
      </c>
      <c r="I108" s="34">
        <f>F108/12*G108</f>
        <v>9329.31</v>
      </c>
      <c r="J108" s="34">
        <f>F108/12*G108</f>
        <v>9329.31</v>
      </c>
      <c r="K108" s="34">
        <f>F108/12*G108</f>
        <v>9329.31</v>
      </c>
      <c r="L108" s="34">
        <f>F108/12*G108</f>
        <v>9329.31</v>
      </c>
      <c r="M108" s="34">
        <f>F108/12*G108</f>
        <v>9329.31</v>
      </c>
      <c r="N108" s="34">
        <f>F108/12*G108</f>
        <v>9329.31</v>
      </c>
      <c r="O108" s="34">
        <f>F108/12*G108</f>
        <v>9329.31</v>
      </c>
      <c r="P108" s="34">
        <f>F108/12*G108</f>
        <v>9329.31</v>
      </c>
      <c r="Q108" s="34">
        <f>F108/12*G108</f>
        <v>9329.31</v>
      </c>
      <c r="R108" s="34">
        <f>F108/12*G108</f>
        <v>9329.31</v>
      </c>
      <c r="S108" s="34">
        <f>F108/12*G108</f>
        <v>9329.31</v>
      </c>
      <c r="T108" s="34">
        <f>F108/12*G108</f>
        <v>9329.31</v>
      </c>
      <c r="U108" s="34">
        <f t="shared" si="46"/>
        <v>111951.71999999999</v>
      </c>
    </row>
    <row r="109" spans="1:21" hidden="1">
      <c r="A109" s="23" t="s">
        <v>114</v>
      </c>
      <c r="B109" s="9" t="s">
        <v>115</v>
      </c>
      <c r="C109" s="63" t="s">
        <v>13</v>
      </c>
      <c r="D109" s="9"/>
      <c r="E109" s="68">
        <v>30</v>
      </c>
      <c r="F109" s="51">
        <f>E109/100</f>
        <v>0.3</v>
      </c>
      <c r="G109" s="51">
        <v>0</v>
      </c>
      <c r="H109" s="69">
        <f>F109*G109/1000</f>
        <v>0</v>
      </c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34">
        <f t="shared" ref="T109:T111" si="47">F109/12*G109</f>
        <v>0</v>
      </c>
      <c r="U109" s="34"/>
    </row>
    <row r="110" spans="1:21" s="20" customFormat="1">
      <c r="A110" s="86"/>
      <c r="B110" s="21" t="s">
        <v>28</v>
      </c>
      <c r="C110" s="87"/>
      <c r="D110" s="88"/>
      <c r="E110" s="89"/>
      <c r="F110" s="90"/>
      <c r="G110" s="91"/>
      <c r="H110" s="42">
        <f>SUM(H108:H109)</f>
        <v>111.95171999999999</v>
      </c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90">
        <f>SUM(U108:U109)</f>
        <v>111951.71999999999</v>
      </c>
    </row>
    <row r="111" spans="1:21" ht="25.5" customHeight="1">
      <c r="A111" s="24"/>
      <c r="B111" s="9" t="s">
        <v>116</v>
      </c>
      <c r="C111" s="23"/>
      <c r="D111" s="92"/>
      <c r="E111" s="31">
        <f>E108</f>
        <v>3455.3</v>
      </c>
      <c r="F111" s="51">
        <f>E111*12</f>
        <v>41463.600000000006</v>
      </c>
      <c r="G111" s="51">
        <v>3.05</v>
      </c>
      <c r="H111" s="69">
        <f>F111*G111/1000</f>
        <v>126.46398000000001</v>
      </c>
      <c r="I111" s="34">
        <f>F111/12*G111</f>
        <v>10538.665000000001</v>
      </c>
      <c r="J111" s="34">
        <f>F111/12*G111</f>
        <v>10538.665000000001</v>
      </c>
      <c r="K111" s="34">
        <f>F111/12*G111</f>
        <v>10538.665000000001</v>
      </c>
      <c r="L111" s="34">
        <f>F111/12*G111</f>
        <v>10538.665000000001</v>
      </c>
      <c r="M111" s="34">
        <f>F111/12*G111</f>
        <v>10538.665000000001</v>
      </c>
      <c r="N111" s="34">
        <f>F111/12*G111</f>
        <v>10538.665000000001</v>
      </c>
      <c r="O111" s="34">
        <f>F111/12*G111</f>
        <v>10538.665000000001</v>
      </c>
      <c r="P111" s="34">
        <f>F111/12*G111</f>
        <v>10538.665000000001</v>
      </c>
      <c r="Q111" s="34">
        <f>F111/12*G111</f>
        <v>10538.665000000001</v>
      </c>
      <c r="R111" s="34">
        <f>F111/12*G111</f>
        <v>10538.665000000001</v>
      </c>
      <c r="S111" s="34">
        <f>F111/12*G111</f>
        <v>10538.665000000001</v>
      </c>
      <c r="T111" s="34">
        <f t="shared" si="47"/>
        <v>10538.665000000001</v>
      </c>
      <c r="U111" s="34">
        <f t="shared" ref="U111" si="48">SUM(I111:T111)</f>
        <v>126463.98000000004</v>
      </c>
    </row>
    <row r="112" spans="1:21" s="20" customFormat="1">
      <c r="A112" s="86"/>
      <c r="B112" s="93" t="s">
        <v>117</v>
      </c>
      <c r="C112" s="94"/>
      <c r="D112" s="93"/>
      <c r="E112" s="90"/>
      <c r="F112" s="90"/>
      <c r="G112" s="90"/>
      <c r="H112" s="79">
        <f>SUM(H111)</f>
        <v>126.46398000000001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151">
        <f>SUM(U111)</f>
        <v>126463.98000000004</v>
      </c>
    </row>
    <row r="113" spans="1:25" s="20" customFormat="1">
      <c r="A113" s="86"/>
      <c r="B113" s="93" t="s">
        <v>118</v>
      </c>
      <c r="C113" s="95"/>
      <c r="D113" s="96"/>
      <c r="E113" s="97"/>
      <c r="F113" s="97"/>
      <c r="G113" s="97"/>
      <c r="H113" s="79">
        <f>SUM(H112+H110+H91+H57+H43+H33)</f>
        <v>621.74662436466667</v>
      </c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151">
        <f>SUM(U22+U33+U43+U57+U81+U91+U107+U110+U112)</f>
        <v>862880.91061266675</v>
      </c>
    </row>
    <row r="114" spans="1:25">
      <c r="A114" s="24"/>
      <c r="B114" s="92" t="s">
        <v>119</v>
      </c>
      <c r="C114" s="23"/>
      <c r="D114" s="92"/>
      <c r="E114" s="51"/>
      <c r="F114" s="51"/>
      <c r="G114" s="51" t="s">
        <v>120</v>
      </c>
      <c r="H114" s="99">
        <f>E111</f>
        <v>3455.3</v>
      </c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34"/>
    </row>
    <row r="115" spans="1:25" s="20" customFormat="1">
      <c r="A115" s="86"/>
      <c r="B115" s="96" t="s">
        <v>121</v>
      </c>
      <c r="C115" s="95"/>
      <c r="D115" s="96"/>
      <c r="E115" s="97"/>
      <c r="F115" s="97"/>
      <c r="G115" s="97"/>
      <c r="H115" s="100">
        <f>SUM(H113/H114/12*1000)</f>
        <v>14.994998609977587</v>
      </c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152"/>
    </row>
    <row r="116" spans="1:25">
      <c r="A116" s="24"/>
      <c r="B116" s="92"/>
      <c r="C116" s="23"/>
      <c r="D116" s="92"/>
      <c r="E116" s="51"/>
      <c r="F116" s="51"/>
      <c r="G116" s="51"/>
      <c r="H116" s="101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153"/>
    </row>
    <row r="117" spans="1:25">
      <c r="A117" s="24"/>
      <c r="B117" s="71" t="s">
        <v>122</v>
      </c>
      <c r="C117" s="23"/>
      <c r="D117" s="92"/>
      <c r="E117" s="51"/>
      <c r="F117" s="51"/>
      <c r="G117" s="51"/>
      <c r="H117" s="51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34"/>
    </row>
    <row r="118" spans="1:25" ht="26.25" customHeight="1">
      <c r="A118" s="194" t="s">
        <v>258</v>
      </c>
      <c r="B118" s="175" t="s">
        <v>169</v>
      </c>
      <c r="C118" s="174" t="s">
        <v>69</v>
      </c>
      <c r="D118" s="92"/>
      <c r="E118" s="51"/>
      <c r="F118" s="51">
        <v>5</v>
      </c>
      <c r="G118" s="51">
        <v>83.36</v>
      </c>
      <c r="H118" s="69">
        <f t="shared" ref="H118:H153" si="49">G118*F118/1000</f>
        <v>0.4168</v>
      </c>
      <c r="I118" s="34">
        <f>G118*2</f>
        <v>166.72</v>
      </c>
      <c r="J118" s="34">
        <f>G118*2</f>
        <v>166.72</v>
      </c>
      <c r="K118" s="34">
        <v>0</v>
      </c>
      <c r="L118" s="34">
        <v>0</v>
      </c>
      <c r="M118" s="34">
        <f>G118</f>
        <v>83.36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f t="shared" ref="U118:U156" si="50">SUM(I118:T118)</f>
        <v>416.8</v>
      </c>
    </row>
    <row r="119" spans="1:25" ht="26.25" customHeight="1">
      <c r="A119" s="155" t="s">
        <v>276</v>
      </c>
      <c r="B119" s="156" t="s">
        <v>275</v>
      </c>
      <c r="C119" s="157" t="s">
        <v>69</v>
      </c>
      <c r="D119" s="92"/>
      <c r="E119" s="51"/>
      <c r="F119" s="51">
        <v>1</v>
      </c>
      <c r="G119" s="51">
        <v>3107.36</v>
      </c>
      <c r="H119" s="69">
        <f t="shared" si="49"/>
        <v>3.1073600000000003</v>
      </c>
      <c r="I119" s="34">
        <f>G119</f>
        <v>3107.36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f t="shared" si="50"/>
        <v>3107.36</v>
      </c>
    </row>
    <row r="120" spans="1:25" ht="12.75" customHeight="1">
      <c r="A120" s="157" t="s">
        <v>278</v>
      </c>
      <c r="B120" s="156" t="s">
        <v>277</v>
      </c>
      <c r="C120" s="157" t="s">
        <v>69</v>
      </c>
      <c r="D120" s="92"/>
      <c r="E120" s="51"/>
      <c r="F120" s="51">
        <v>1</v>
      </c>
      <c r="G120" s="51">
        <v>613.35</v>
      </c>
      <c r="H120" s="69">
        <f t="shared" si="49"/>
        <v>0.61335000000000006</v>
      </c>
      <c r="I120" s="34">
        <f>G120</f>
        <v>613.35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f t="shared" si="50"/>
        <v>613.35</v>
      </c>
    </row>
    <row r="121" spans="1:25" ht="25.5" customHeight="1">
      <c r="A121" s="174" t="s">
        <v>233</v>
      </c>
      <c r="B121" s="175" t="s">
        <v>195</v>
      </c>
      <c r="C121" s="174" t="s">
        <v>64</v>
      </c>
      <c r="D121" s="92"/>
      <c r="E121" s="51"/>
      <c r="F121" s="51">
        <v>0.03</v>
      </c>
      <c r="G121" s="51">
        <v>3581.13</v>
      </c>
      <c r="H121" s="69">
        <f t="shared" si="49"/>
        <v>0.1074339</v>
      </c>
      <c r="I121" s="34">
        <f>G121*0.01</f>
        <v>35.811300000000003</v>
      </c>
      <c r="J121" s="34">
        <f>G121*0.01</f>
        <v>35.811300000000003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f>G121*0.01</f>
        <v>35.811300000000003</v>
      </c>
      <c r="U121" s="34">
        <f t="shared" si="50"/>
        <v>107.43390000000001</v>
      </c>
    </row>
    <row r="122" spans="1:25">
      <c r="A122" s="195" t="s">
        <v>160</v>
      </c>
      <c r="B122" s="171" t="s">
        <v>161</v>
      </c>
      <c r="C122" s="196" t="s">
        <v>162</v>
      </c>
      <c r="D122" s="171"/>
      <c r="E122" s="51"/>
      <c r="F122" s="51">
        <v>7.5</v>
      </c>
      <c r="G122" s="51">
        <v>1582</v>
      </c>
      <c r="H122" s="69">
        <f t="shared" si="49"/>
        <v>11.865</v>
      </c>
      <c r="I122" s="34">
        <f>G122</f>
        <v>1582</v>
      </c>
      <c r="J122" s="34">
        <f>G122*(1.5+1)</f>
        <v>3955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f>G122*2</f>
        <v>3164</v>
      </c>
      <c r="S122" s="34">
        <v>0</v>
      </c>
      <c r="T122" s="34">
        <f>G122*2</f>
        <v>3164</v>
      </c>
      <c r="U122" s="34">
        <f t="shared" si="50"/>
        <v>11865</v>
      </c>
    </row>
    <row r="123" spans="1:25">
      <c r="A123" s="197" t="s">
        <v>271</v>
      </c>
      <c r="B123" s="183" t="s">
        <v>272</v>
      </c>
      <c r="C123" s="182" t="s">
        <v>69</v>
      </c>
      <c r="D123" s="92"/>
      <c r="E123" s="51"/>
      <c r="F123" s="51">
        <v>2</v>
      </c>
      <c r="G123" s="51">
        <v>86.15</v>
      </c>
      <c r="H123" s="69">
        <f t="shared" si="49"/>
        <v>0.17230000000000001</v>
      </c>
      <c r="I123" s="34">
        <f>G123</f>
        <v>86.15</v>
      </c>
      <c r="J123" s="34">
        <v>0</v>
      </c>
      <c r="K123" s="34">
        <v>0</v>
      </c>
      <c r="L123" s="34">
        <f>G123</f>
        <v>86.15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f t="shared" si="50"/>
        <v>172.3</v>
      </c>
    </row>
    <row r="124" spans="1:25" ht="25.5">
      <c r="A124" s="196" t="s">
        <v>196</v>
      </c>
      <c r="B124" s="175" t="s">
        <v>283</v>
      </c>
      <c r="C124" s="196" t="s">
        <v>186</v>
      </c>
      <c r="D124" s="92"/>
      <c r="E124" s="51"/>
      <c r="F124" s="51">
        <v>4</v>
      </c>
      <c r="G124" s="51">
        <v>2057</v>
      </c>
      <c r="H124" s="69">
        <f t="shared" si="49"/>
        <v>8.2279999999999998</v>
      </c>
      <c r="I124" s="34">
        <v>0</v>
      </c>
      <c r="J124" s="34">
        <f>G124*4</f>
        <v>8228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f t="shared" si="50"/>
        <v>8228</v>
      </c>
    </row>
    <row r="125" spans="1:25" ht="25.5">
      <c r="A125" s="174" t="s">
        <v>285</v>
      </c>
      <c r="B125" s="175" t="s">
        <v>284</v>
      </c>
      <c r="C125" s="174" t="s">
        <v>269</v>
      </c>
      <c r="D125" s="9"/>
      <c r="E125" s="68"/>
      <c r="F125" s="51">
        <v>1</v>
      </c>
      <c r="G125" s="52">
        <v>206.54</v>
      </c>
      <c r="H125" s="69">
        <f t="shared" si="49"/>
        <v>0.20654</v>
      </c>
      <c r="I125" s="34">
        <v>0</v>
      </c>
      <c r="J125" s="34">
        <f>G125</f>
        <v>206.54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f t="shared" si="50"/>
        <v>206.54</v>
      </c>
    </row>
    <row r="126" spans="1:25" ht="25.5" customHeight="1">
      <c r="A126" s="198" t="s">
        <v>286</v>
      </c>
      <c r="B126" s="156" t="s">
        <v>287</v>
      </c>
      <c r="C126" s="157" t="s">
        <v>288</v>
      </c>
      <c r="D126" s="92"/>
      <c r="E126" s="51"/>
      <c r="F126" s="51">
        <f>2/10</f>
        <v>0.2</v>
      </c>
      <c r="G126" s="51">
        <v>9833.11</v>
      </c>
      <c r="H126" s="69">
        <f t="shared" si="49"/>
        <v>1.9666220000000003</v>
      </c>
      <c r="I126" s="199">
        <v>0</v>
      </c>
      <c r="J126" s="199">
        <f>G126*F126</f>
        <v>1966.6220000000003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f t="shared" si="50"/>
        <v>1966.6220000000003</v>
      </c>
      <c r="V126" s="200"/>
      <c r="W126" s="200"/>
      <c r="X126" s="200"/>
      <c r="Y126" s="200"/>
    </row>
    <row r="127" spans="1:25" ht="25.5">
      <c r="A127" s="196" t="s">
        <v>196</v>
      </c>
      <c r="B127" s="175" t="s">
        <v>289</v>
      </c>
      <c r="C127" s="196" t="s">
        <v>186</v>
      </c>
      <c r="D127" s="92"/>
      <c r="E127" s="51"/>
      <c r="F127" s="51">
        <v>5</v>
      </c>
      <c r="G127" s="51">
        <v>2121</v>
      </c>
      <c r="H127" s="69">
        <f t="shared" si="49"/>
        <v>10.605</v>
      </c>
      <c r="I127" s="34">
        <v>0</v>
      </c>
      <c r="J127" s="34">
        <v>0</v>
      </c>
      <c r="K127" s="34">
        <f>G127*5</f>
        <v>10605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f t="shared" si="50"/>
        <v>10605</v>
      </c>
    </row>
    <row r="128" spans="1:25" ht="25.5">
      <c r="A128" s="174" t="s">
        <v>290</v>
      </c>
      <c r="B128" s="175" t="s">
        <v>291</v>
      </c>
      <c r="C128" s="174" t="s">
        <v>186</v>
      </c>
      <c r="D128" s="92"/>
      <c r="E128" s="51"/>
      <c r="F128" s="51">
        <v>9</v>
      </c>
      <c r="G128" s="51">
        <v>2459.75</v>
      </c>
      <c r="H128" s="69">
        <f t="shared" si="49"/>
        <v>22.13775</v>
      </c>
      <c r="I128" s="34">
        <v>0</v>
      </c>
      <c r="J128" s="34">
        <v>0</v>
      </c>
      <c r="K128" s="34">
        <f>G128*9</f>
        <v>22137.75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f t="shared" si="50"/>
        <v>22137.75</v>
      </c>
    </row>
    <row r="129" spans="1:21" s="178" customFormat="1" ht="12.75" customHeight="1">
      <c r="A129" s="155" t="s">
        <v>298</v>
      </c>
      <c r="B129" s="156" t="s">
        <v>299</v>
      </c>
      <c r="C129" s="157" t="s">
        <v>300</v>
      </c>
      <c r="D129" s="171"/>
      <c r="E129" s="177"/>
      <c r="F129" s="177">
        <v>10</v>
      </c>
      <c r="G129" s="177">
        <v>88.14</v>
      </c>
      <c r="H129" s="69">
        <f t="shared" si="49"/>
        <v>0.88139999999999996</v>
      </c>
      <c r="I129" s="34">
        <v>0</v>
      </c>
      <c r="J129" s="34">
        <v>0</v>
      </c>
      <c r="K129" s="34">
        <f>G129*10</f>
        <v>881.4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34">
        <v>0</v>
      </c>
      <c r="S129" s="34">
        <v>0</v>
      </c>
      <c r="T129" s="34">
        <v>0</v>
      </c>
      <c r="U129" s="34">
        <f t="shared" si="50"/>
        <v>881.4</v>
      </c>
    </row>
    <row r="130" spans="1:21" s="178" customFormat="1">
      <c r="A130" s="194" t="s">
        <v>301</v>
      </c>
      <c r="B130" s="175" t="s">
        <v>302</v>
      </c>
      <c r="C130" s="174" t="s">
        <v>69</v>
      </c>
      <c r="D130" s="171"/>
      <c r="E130" s="177"/>
      <c r="F130" s="177">
        <v>1</v>
      </c>
      <c r="G130" s="177">
        <v>157.72999999999999</v>
      </c>
      <c r="H130" s="69">
        <f t="shared" si="49"/>
        <v>0.15772999999999998</v>
      </c>
      <c r="I130" s="34">
        <v>0</v>
      </c>
      <c r="J130" s="34">
        <v>0</v>
      </c>
      <c r="K130" s="34">
        <f>G130</f>
        <v>157.72999999999999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f t="shared" si="50"/>
        <v>157.72999999999999</v>
      </c>
    </row>
    <row r="131" spans="1:21" ht="25.5">
      <c r="A131" s="174" t="s">
        <v>261</v>
      </c>
      <c r="B131" s="175" t="s">
        <v>262</v>
      </c>
      <c r="C131" s="174" t="s">
        <v>69</v>
      </c>
      <c r="D131" s="171"/>
      <c r="E131" s="177"/>
      <c r="F131" s="177">
        <v>19</v>
      </c>
      <c r="G131" s="177">
        <v>189.88</v>
      </c>
      <c r="H131" s="69">
        <f t="shared" si="49"/>
        <v>3.6077199999999996</v>
      </c>
      <c r="I131" s="34">
        <v>0</v>
      </c>
      <c r="J131" s="34">
        <v>0</v>
      </c>
      <c r="K131" s="34">
        <f>G131*3</f>
        <v>569.64</v>
      </c>
      <c r="L131" s="34">
        <f>G131</f>
        <v>189.88</v>
      </c>
      <c r="M131" s="34">
        <f>G131*3</f>
        <v>569.64</v>
      </c>
      <c r="N131" s="34">
        <v>0</v>
      </c>
      <c r="O131" s="34">
        <f>G131</f>
        <v>189.88</v>
      </c>
      <c r="P131" s="34">
        <f>G131*2</f>
        <v>379.76</v>
      </c>
      <c r="Q131" s="34">
        <f>G131</f>
        <v>189.88</v>
      </c>
      <c r="R131" s="34">
        <f>G131</f>
        <v>189.88</v>
      </c>
      <c r="S131" s="34">
        <f>G131*2</f>
        <v>379.76</v>
      </c>
      <c r="T131" s="34">
        <f>G131*5</f>
        <v>949.4</v>
      </c>
      <c r="U131" s="34">
        <f t="shared" si="50"/>
        <v>3607.72</v>
      </c>
    </row>
    <row r="132" spans="1:21" ht="25.5" customHeight="1">
      <c r="A132" s="157" t="s">
        <v>232</v>
      </c>
      <c r="B132" s="156" t="s">
        <v>303</v>
      </c>
      <c r="C132" s="157" t="s">
        <v>50</v>
      </c>
      <c r="D132" s="171"/>
      <c r="E132" s="177"/>
      <c r="F132" s="204">
        <v>1E-3</v>
      </c>
      <c r="G132" s="177">
        <v>1591.6</v>
      </c>
      <c r="H132" s="205">
        <f t="shared" si="49"/>
        <v>1.5915999999999999E-3</v>
      </c>
      <c r="I132" s="34">
        <v>0</v>
      </c>
      <c r="J132" s="34">
        <v>0</v>
      </c>
      <c r="K132" s="34">
        <f>G132*0.001</f>
        <v>1.5915999999999999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f t="shared" si="50"/>
        <v>1.5915999999999999</v>
      </c>
    </row>
    <row r="133" spans="1:21" ht="12.75" customHeight="1">
      <c r="A133" s="198" t="s">
        <v>260</v>
      </c>
      <c r="B133" s="206" t="s">
        <v>306</v>
      </c>
      <c r="C133" s="207" t="s">
        <v>20</v>
      </c>
      <c r="D133" s="171"/>
      <c r="E133" s="177"/>
      <c r="F133" s="177">
        <f>1/10</f>
        <v>0.1</v>
      </c>
      <c r="G133" s="177">
        <v>3282.12</v>
      </c>
      <c r="H133" s="69">
        <f t="shared" si="49"/>
        <v>0.328212</v>
      </c>
      <c r="I133" s="34">
        <v>0</v>
      </c>
      <c r="J133" s="34">
        <v>0</v>
      </c>
      <c r="K133" s="34">
        <f>G133*0.1</f>
        <v>328.21199999999999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f t="shared" si="50"/>
        <v>328.21199999999999</v>
      </c>
    </row>
    <row r="134" spans="1:21" ht="25.5">
      <c r="A134" s="194" t="s">
        <v>294</v>
      </c>
      <c r="B134" s="175" t="s">
        <v>292</v>
      </c>
      <c r="C134" s="174" t="s">
        <v>293</v>
      </c>
      <c r="D134" s="92"/>
      <c r="E134" s="51"/>
      <c r="F134" s="51">
        <v>3</v>
      </c>
      <c r="G134" s="51">
        <v>589.84</v>
      </c>
      <c r="H134" s="69">
        <f t="shared" si="49"/>
        <v>1.76952</v>
      </c>
      <c r="I134" s="34">
        <v>0</v>
      </c>
      <c r="J134" s="34">
        <v>0</v>
      </c>
      <c r="K134" s="34">
        <v>0</v>
      </c>
      <c r="L134" s="34">
        <f>G134*2</f>
        <v>1179.68</v>
      </c>
      <c r="M134" s="34">
        <f>G134</f>
        <v>589.84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f t="shared" si="50"/>
        <v>1769.52</v>
      </c>
    </row>
    <row r="135" spans="1:21">
      <c r="A135" s="201"/>
      <c r="B135" s="202" t="s">
        <v>295</v>
      </c>
      <c r="C135" s="203" t="s">
        <v>69</v>
      </c>
      <c r="D135" s="171"/>
      <c r="E135" s="177"/>
      <c r="F135" s="177">
        <v>13</v>
      </c>
      <c r="G135" s="177">
        <v>470</v>
      </c>
      <c r="H135" s="69">
        <f t="shared" si="49"/>
        <v>6.11</v>
      </c>
      <c r="I135" s="34">
        <v>0</v>
      </c>
      <c r="J135" s="34">
        <v>0</v>
      </c>
      <c r="K135" s="34">
        <v>0</v>
      </c>
      <c r="L135" s="34">
        <f>G135*2</f>
        <v>940</v>
      </c>
      <c r="M135" s="34">
        <v>0</v>
      </c>
      <c r="N135" s="34">
        <f>G135*(1+10)</f>
        <v>5170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f t="shared" si="50"/>
        <v>6110</v>
      </c>
    </row>
    <row r="136" spans="1:21" ht="51">
      <c r="A136" s="157" t="s">
        <v>307</v>
      </c>
      <c r="B136" s="156" t="s">
        <v>308</v>
      </c>
      <c r="C136" s="157" t="s">
        <v>288</v>
      </c>
      <c r="D136" s="171"/>
      <c r="E136" s="177"/>
      <c r="F136" s="177">
        <f>30/10</f>
        <v>3</v>
      </c>
      <c r="G136" s="177">
        <v>2166.5300000000002</v>
      </c>
      <c r="H136" s="69">
        <f t="shared" si="49"/>
        <v>6.4995900000000004</v>
      </c>
      <c r="I136" s="34">
        <v>0</v>
      </c>
      <c r="J136" s="34">
        <v>0</v>
      </c>
      <c r="K136" s="34">
        <v>0</v>
      </c>
      <c r="L136" s="34">
        <f>G136</f>
        <v>2166.5300000000002</v>
      </c>
      <c r="M136" s="34">
        <v>0</v>
      </c>
      <c r="N136" s="34">
        <f>G136*2</f>
        <v>4333.0600000000004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f t="shared" si="50"/>
        <v>6499.59</v>
      </c>
    </row>
    <row r="137" spans="1:21">
      <c r="A137" s="157" t="s">
        <v>160</v>
      </c>
      <c r="B137" s="156" t="s">
        <v>309</v>
      </c>
      <c r="C137" s="157" t="s">
        <v>162</v>
      </c>
      <c r="D137" s="171"/>
      <c r="E137" s="177"/>
      <c r="F137" s="177">
        <v>1</v>
      </c>
      <c r="G137" s="177">
        <v>1725</v>
      </c>
      <c r="H137" s="69">
        <f t="shared" si="49"/>
        <v>1.7250000000000001</v>
      </c>
      <c r="I137" s="34">
        <v>0</v>
      </c>
      <c r="J137" s="34">
        <v>0</v>
      </c>
      <c r="K137" s="34">
        <v>0</v>
      </c>
      <c r="L137" s="34">
        <f>G137</f>
        <v>1725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f t="shared" si="50"/>
        <v>1725</v>
      </c>
    </row>
    <row r="138" spans="1:21">
      <c r="A138" s="157" t="s">
        <v>296</v>
      </c>
      <c r="B138" s="156" t="s">
        <v>297</v>
      </c>
      <c r="C138" s="157" t="s">
        <v>293</v>
      </c>
      <c r="D138" s="171"/>
      <c r="E138" s="177"/>
      <c r="F138" s="177">
        <v>1</v>
      </c>
      <c r="G138" s="177">
        <v>264.57</v>
      </c>
      <c r="H138" s="69">
        <f t="shared" si="49"/>
        <v>0.26456999999999997</v>
      </c>
      <c r="I138" s="34">
        <v>0</v>
      </c>
      <c r="J138" s="34">
        <v>0</v>
      </c>
      <c r="K138" s="34">
        <v>0</v>
      </c>
      <c r="L138" s="34">
        <v>0</v>
      </c>
      <c r="M138" s="34">
        <f>G138</f>
        <v>264.57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f t="shared" si="50"/>
        <v>264.57</v>
      </c>
    </row>
    <row r="139" spans="1:21" ht="25.5">
      <c r="A139" s="155" t="s">
        <v>305</v>
      </c>
      <c r="B139" s="156" t="s">
        <v>304</v>
      </c>
      <c r="C139" s="157" t="s">
        <v>69</v>
      </c>
      <c r="D139" s="171"/>
      <c r="E139" s="177"/>
      <c r="F139" s="177">
        <v>1</v>
      </c>
      <c r="G139" s="177">
        <v>2297.02</v>
      </c>
      <c r="H139" s="69">
        <f t="shared" si="49"/>
        <v>2.2970199999999998</v>
      </c>
      <c r="I139" s="34">
        <v>0</v>
      </c>
      <c r="J139" s="34">
        <v>0</v>
      </c>
      <c r="K139" s="34">
        <v>0</v>
      </c>
      <c r="L139" s="34">
        <v>0</v>
      </c>
      <c r="M139" s="34">
        <f>G139</f>
        <v>2297.02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f t="shared" si="50"/>
        <v>2297.02</v>
      </c>
    </row>
    <row r="140" spans="1:21" ht="12.75" customHeight="1">
      <c r="A140" s="201" t="s">
        <v>259</v>
      </c>
      <c r="B140" s="208" t="s">
        <v>194</v>
      </c>
      <c r="C140" s="174" t="s">
        <v>69</v>
      </c>
      <c r="D140" s="171"/>
      <c r="E140" s="177"/>
      <c r="F140" s="177">
        <v>2</v>
      </c>
      <c r="G140" s="177">
        <v>189.67</v>
      </c>
      <c r="H140" s="69">
        <f t="shared" si="49"/>
        <v>0.37933999999999996</v>
      </c>
      <c r="I140" s="34">
        <v>0</v>
      </c>
      <c r="J140" s="34">
        <v>0</v>
      </c>
      <c r="K140" s="34">
        <v>0</v>
      </c>
      <c r="L140" s="34">
        <v>0</v>
      </c>
      <c r="M140" s="34">
        <f>G140*2</f>
        <v>379.34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f t="shared" si="50"/>
        <v>379.34</v>
      </c>
    </row>
    <row r="141" spans="1:21" ht="12.75" customHeight="1">
      <c r="A141" s="194" t="s">
        <v>311</v>
      </c>
      <c r="B141" s="175" t="s">
        <v>310</v>
      </c>
      <c r="C141" s="174" t="s">
        <v>293</v>
      </c>
      <c r="D141" s="171"/>
      <c r="E141" s="177"/>
      <c r="F141" s="177">
        <v>1</v>
      </c>
      <c r="G141" s="177">
        <v>5450.56</v>
      </c>
      <c r="H141" s="69">
        <f t="shared" si="49"/>
        <v>5.4505600000000003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f>G141</f>
        <v>5450.56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0</v>
      </c>
      <c r="U141" s="34">
        <f t="shared" si="50"/>
        <v>5450.56</v>
      </c>
    </row>
    <row r="142" spans="1:21" ht="25.5">
      <c r="A142" s="174" t="s">
        <v>196</v>
      </c>
      <c r="B142" s="175" t="s">
        <v>270</v>
      </c>
      <c r="C142" s="174" t="s">
        <v>186</v>
      </c>
      <c r="D142" s="92"/>
      <c r="E142" s="51"/>
      <c r="F142" s="51">
        <v>9</v>
      </c>
      <c r="G142" s="51">
        <v>1272</v>
      </c>
      <c r="H142" s="69">
        <f t="shared" si="49"/>
        <v>11.448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f>G142</f>
        <v>1272</v>
      </c>
      <c r="O142" s="34">
        <v>0</v>
      </c>
      <c r="P142" s="34">
        <v>0</v>
      </c>
      <c r="Q142" s="34">
        <f>G142*8</f>
        <v>10176</v>
      </c>
      <c r="R142" s="34">
        <v>0</v>
      </c>
      <c r="S142" s="34">
        <v>0</v>
      </c>
      <c r="T142" s="34">
        <v>0</v>
      </c>
      <c r="U142" s="34">
        <f t="shared" si="50"/>
        <v>11448</v>
      </c>
    </row>
    <row r="143" spans="1:21">
      <c r="A143" s="194" t="s">
        <v>312</v>
      </c>
      <c r="B143" s="175" t="s">
        <v>313</v>
      </c>
      <c r="C143" s="174" t="s">
        <v>293</v>
      </c>
      <c r="D143" s="92"/>
      <c r="E143" s="51"/>
      <c r="F143" s="51">
        <v>1</v>
      </c>
      <c r="G143" s="51">
        <v>860.88</v>
      </c>
      <c r="H143" s="69">
        <f t="shared" si="49"/>
        <v>0.86087999999999998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f>G143</f>
        <v>860.88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f t="shared" si="50"/>
        <v>860.88</v>
      </c>
    </row>
    <row r="144" spans="1:21">
      <c r="A144" s="174" t="s">
        <v>160</v>
      </c>
      <c r="B144" s="175" t="s">
        <v>335</v>
      </c>
      <c r="C144" s="174" t="s">
        <v>39</v>
      </c>
      <c r="D144" s="9"/>
      <c r="E144" s="68"/>
      <c r="F144" s="51">
        <f>(103.91+190.5+159.76+94.59+118.29)-(7.07*6)</f>
        <v>624.63</v>
      </c>
      <c r="G144" s="51">
        <v>42.61</v>
      </c>
      <c r="H144" s="51">
        <f t="shared" si="49"/>
        <v>26.615484299999999</v>
      </c>
      <c r="I144" s="199">
        <v>0</v>
      </c>
      <c r="J144" s="199">
        <v>0</v>
      </c>
      <c r="K144" s="199">
        <v>0</v>
      </c>
      <c r="L144" s="199">
        <v>0</v>
      </c>
      <c r="M144" s="199">
        <v>0</v>
      </c>
      <c r="N144" s="34">
        <f>G144*F144</f>
        <v>26615.4843</v>
      </c>
      <c r="O144" s="34">
        <v>0</v>
      </c>
      <c r="P144" s="34">
        <v>0</v>
      </c>
      <c r="Q144" s="34">
        <v>0</v>
      </c>
      <c r="R144" s="34">
        <v>0</v>
      </c>
      <c r="S144" s="34">
        <v>0</v>
      </c>
      <c r="T144" s="34">
        <v>0</v>
      </c>
      <c r="U144" s="34">
        <f t="shared" si="50"/>
        <v>26615.4843</v>
      </c>
    </row>
    <row r="145" spans="1:21" ht="38.25">
      <c r="A145" s="174" t="s">
        <v>267</v>
      </c>
      <c r="B145" s="175" t="s">
        <v>265</v>
      </c>
      <c r="C145" s="174" t="s">
        <v>266</v>
      </c>
      <c r="D145" s="171"/>
      <c r="E145" s="177"/>
      <c r="F145" s="177">
        <v>4</v>
      </c>
      <c r="G145" s="177">
        <v>54.17</v>
      </c>
      <c r="H145" s="69">
        <f t="shared" si="49"/>
        <v>0.21668000000000001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f>G145</f>
        <v>54.17</v>
      </c>
      <c r="P145" s="34">
        <v>0</v>
      </c>
      <c r="Q145" s="34">
        <f>G145</f>
        <v>54.17</v>
      </c>
      <c r="R145" s="34">
        <v>0</v>
      </c>
      <c r="S145" s="34">
        <v>0</v>
      </c>
      <c r="T145" s="34">
        <f>G145*2</f>
        <v>108.34</v>
      </c>
      <c r="U145" s="34">
        <f t="shared" si="50"/>
        <v>216.68</v>
      </c>
    </row>
    <row r="146" spans="1:21">
      <c r="A146" s="155" t="s">
        <v>314</v>
      </c>
      <c r="B146" s="156" t="s">
        <v>315</v>
      </c>
      <c r="C146" s="157" t="s">
        <v>90</v>
      </c>
      <c r="D146" s="171"/>
      <c r="E146" s="177"/>
      <c r="F146" s="177">
        <f>1/10</f>
        <v>0.1</v>
      </c>
      <c r="G146" s="177">
        <v>976.72</v>
      </c>
      <c r="H146" s="69">
        <f t="shared" si="49"/>
        <v>9.7672000000000009E-2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f>G146*0.1</f>
        <v>97.672000000000011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f t="shared" si="50"/>
        <v>97.672000000000011</v>
      </c>
    </row>
    <row r="147" spans="1:21">
      <c r="A147" s="155" t="s">
        <v>318</v>
      </c>
      <c r="B147" s="156" t="s">
        <v>316</v>
      </c>
      <c r="C147" s="157" t="s">
        <v>317</v>
      </c>
      <c r="D147" s="171"/>
      <c r="E147" s="177"/>
      <c r="F147" s="177">
        <f>46/10</f>
        <v>4.5999999999999996</v>
      </c>
      <c r="G147" s="177">
        <v>313.93</v>
      </c>
      <c r="H147" s="69">
        <f t="shared" si="49"/>
        <v>1.444078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f>G147*F147</f>
        <v>1444.078</v>
      </c>
      <c r="Q147" s="34">
        <v>0</v>
      </c>
      <c r="R147" s="34">
        <v>0</v>
      </c>
      <c r="S147" s="34">
        <v>0</v>
      </c>
      <c r="T147" s="34">
        <v>0</v>
      </c>
      <c r="U147" s="34">
        <f t="shared" si="50"/>
        <v>1444.078</v>
      </c>
    </row>
    <row r="148" spans="1:21" s="170" customFormat="1" ht="25.5" customHeight="1">
      <c r="A148" s="174" t="s">
        <v>268</v>
      </c>
      <c r="B148" s="175" t="s">
        <v>319</v>
      </c>
      <c r="C148" s="174" t="s">
        <v>69</v>
      </c>
      <c r="D148" s="92"/>
      <c r="E148" s="51"/>
      <c r="F148" s="51">
        <v>1</v>
      </c>
      <c r="G148" s="51">
        <v>3575.4</v>
      </c>
      <c r="H148" s="69">
        <f t="shared" si="49"/>
        <v>3.5754000000000001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f>G148</f>
        <v>3575.4</v>
      </c>
      <c r="Q148" s="34">
        <v>0</v>
      </c>
      <c r="R148" s="34">
        <v>0</v>
      </c>
      <c r="S148" s="34">
        <v>0</v>
      </c>
      <c r="T148" s="34">
        <v>0</v>
      </c>
      <c r="U148" s="34">
        <f t="shared" si="50"/>
        <v>3575.4</v>
      </c>
    </row>
    <row r="149" spans="1:21" s="170" customFormat="1" ht="25.5" customHeight="1">
      <c r="A149" s="174" t="s">
        <v>268</v>
      </c>
      <c r="B149" s="175" t="s">
        <v>320</v>
      </c>
      <c r="C149" s="174" t="s">
        <v>69</v>
      </c>
      <c r="D149" s="92"/>
      <c r="E149" s="51"/>
      <c r="F149" s="51">
        <v>2</v>
      </c>
      <c r="G149" s="51">
        <v>5363.1</v>
      </c>
      <c r="H149" s="69">
        <f t="shared" si="49"/>
        <v>10.7262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f>G149*2</f>
        <v>10726.2</v>
      </c>
      <c r="Q149" s="34">
        <v>0</v>
      </c>
      <c r="R149" s="34">
        <v>0</v>
      </c>
      <c r="S149" s="34">
        <v>0</v>
      </c>
      <c r="T149" s="34">
        <v>0</v>
      </c>
      <c r="U149" s="34">
        <f t="shared" si="50"/>
        <v>10726.2</v>
      </c>
    </row>
    <row r="150" spans="1:21" ht="25.5">
      <c r="A150" s="174" t="s">
        <v>196</v>
      </c>
      <c r="B150" s="175" t="s">
        <v>264</v>
      </c>
      <c r="C150" s="174" t="s">
        <v>186</v>
      </c>
      <c r="D150" s="92"/>
      <c r="E150" s="51"/>
      <c r="F150" s="51">
        <v>4</v>
      </c>
      <c r="G150" s="51">
        <v>1187</v>
      </c>
      <c r="H150" s="69">
        <f t="shared" si="49"/>
        <v>4.7480000000000002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f>G150*4</f>
        <v>4748</v>
      </c>
      <c r="R150" s="34">
        <v>0</v>
      </c>
      <c r="S150" s="34">
        <v>0</v>
      </c>
      <c r="T150" s="34">
        <v>0</v>
      </c>
      <c r="U150" s="34">
        <f t="shared" si="50"/>
        <v>4748</v>
      </c>
    </row>
    <row r="151" spans="1:21" ht="25.5">
      <c r="A151" s="157" t="s">
        <v>323</v>
      </c>
      <c r="B151" s="156" t="s">
        <v>321</v>
      </c>
      <c r="C151" s="155" t="s">
        <v>322</v>
      </c>
      <c r="D151" s="92"/>
      <c r="E151" s="51"/>
      <c r="F151" s="51">
        <v>1</v>
      </c>
      <c r="G151" s="51">
        <v>140.36000000000001</v>
      </c>
      <c r="H151" s="69">
        <f t="shared" si="49"/>
        <v>0.14036000000000001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f>G151</f>
        <v>140.36000000000001</v>
      </c>
      <c r="R151" s="34">
        <v>0</v>
      </c>
      <c r="S151" s="34">
        <v>0</v>
      </c>
      <c r="T151" s="34">
        <v>0</v>
      </c>
      <c r="U151" s="34">
        <f t="shared" si="50"/>
        <v>140.36000000000001</v>
      </c>
    </row>
    <row r="152" spans="1:21" s="170" customFormat="1" ht="12.75" customHeight="1">
      <c r="A152" s="155" t="s">
        <v>326</v>
      </c>
      <c r="B152" s="156" t="s">
        <v>327</v>
      </c>
      <c r="C152" s="157" t="s">
        <v>69</v>
      </c>
      <c r="D152" s="92"/>
      <c r="E152" s="51"/>
      <c r="F152" s="51">
        <v>1</v>
      </c>
      <c r="G152" s="51">
        <v>1037.95</v>
      </c>
      <c r="H152" s="69">
        <f t="shared" si="49"/>
        <v>1.0379500000000002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f>G152</f>
        <v>1037.95</v>
      </c>
      <c r="R152" s="34">
        <v>0</v>
      </c>
      <c r="S152" s="34">
        <v>0</v>
      </c>
      <c r="T152" s="34">
        <v>0</v>
      </c>
      <c r="U152" s="34">
        <f t="shared" si="50"/>
        <v>1037.95</v>
      </c>
    </row>
    <row r="153" spans="1:21">
      <c r="A153" s="201" t="s">
        <v>324</v>
      </c>
      <c r="B153" s="208" t="s">
        <v>325</v>
      </c>
      <c r="C153" s="194" t="s">
        <v>69</v>
      </c>
      <c r="D153" s="171"/>
      <c r="E153" s="51"/>
      <c r="F153" s="51">
        <v>1</v>
      </c>
      <c r="G153" s="51">
        <v>170.63</v>
      </c>
      <c r="H153" s="69">
        <f t="shared" si="49"/>
        <v>0.17063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f>G153</f>
        <v>170.63</v>
      </c>
      <c r="R153" s="34">
        <v>0</v>
      </c>
      <c r="S153" s="34">
        <v>0</v>
      </c>
      <c r="T153" s="34">
        <v>0</v>
      </c>
      <c r="U153" s="34">
        <f t="shared" si="50"/>
        <v>170.63</v>
      </c>
    </row>
    <row r="154" spans="1:21">
      <c r="A154" s="198" t="s">
        <v>328</v>
      </c>
      <c r="B154" s="156" t="s">
        <v>329</v>
      </c>
      <c r="C154" s="157" t="s">
        <v>288</v>
      </c>
      <c r="D154" s="9"/>
      <c r="E154" s="68"/>
      <c r="F154" s="51">
        <f>1.5/10</f>
        <v>0.15</v>
      </c>
      <c r="G154" s="51">
        <v>10276.98</v>
      </c>
      <c r="H154" s="69">
        <f>G154*F154/1000</f>
        <v>1.5415469999999998</v>
      </c>
      <c r="I154" s="199">
        <v>0</v>
      </c>
      <c r="J154" s="199">
        <v>0</v>
      </c>
      <c r="K154" s="199">
        <v>0</v>
      </c>
      <c r="L154" s="199">
        <v>0</v>
      </c>
      <c r="M154" s="199">
        <v>0</v>
      </c>
      <c r="N154" s="199">
        <v>0</v>
      </c>
      <c r="O154" s="199">
        <v>0</v>
      </c>
      <c r="P154" s="199">
        <v>0</v>
      </c>
      <c r="Q154" s="199">
        <v>0</v>
      </c>
      <c r="R154" s="199">
        <f>G154*F154</f>
        <v>1541.5469999999998</v>
      </c>
      <c r="S154" s="34">
        <v>0</v>
      </c>
      <c r="T154" s="34">
        <v>0</v>
      </c>
      <c r="U154" s="34">
        <f t="shared" si="50"/>
        <v>1541.5469999999998</v>
      </c>
    </row>
    <row r="155" spans="1:21">
      <c r="A155" s="198" t="s">
        <v>196</v>
      </c>
      <c r="B155" s="156" t="s">
        <v>330</v>
      </c>
      <c r="C155" s="157" t="s">
        <v>333</v>
      </c>
      <c r="D155" s="9"/>
      <c r="E155" s="68"/>
      <c r="F155" s="51">
        <v>1</v>
      </c>
      <c r="G155" s="51">
        <v>369053.1</v>
      </c>
      <c r="H155" s="69">
        <f>G155*F155/1000</f>
        <v>369.05309999999997</v>
      </c>
      <c r="I155" s="199">
        <v>0</v>
      </c>
      <c r="J155" s="199">
        <v>0</v>
      </c>
      <c r="K155" s="199">
        <v>0</v>
      </c>
      <c r="L155" s="199">
        <v>0</v>
      </c>
      <c r="M155" s="199">
        <v>0</v>
      </c>
      <c r="N155" s="199">
        <v>0</v>
      </c>
      <c r="O155" s="199">
        <v>0</v>
      </c>
      <c r="P155" s="199">
        <v>0</v>
      </c>
      <c r="Q155" s="199">
        <v>0</v>
      </c>
      <c r="R155" s="199">
        <v>0</v>
      </c>
      <c r="S155" s="34">
        <v>0</v>
      </c>
      <c r="T155" s="34">
        <f>G155</f>
        <v>369053.1</v>
      </c>
      <c r="U155" s="34">
        <f t="shared" si="50"/>
        <v>369053.1</v>
      </c>
    </row>
    <row r="156" spans="1:21">
      <c r="A156" s="174" t="s">
        <v>160</v>
      </c>
      <c r="B156" s="175" t="s">
        <v>336</v>
      </c>
      <c r="C156" s="174" t="s">
        <v>39</v>
      </c>
      <c r="D156" s="9"/>
      <c r="E156" s="68"/>
      <c r="F156" s="51">
        <f>(217.35+78.37+26+32.34+226.88+101.14)-(7.07*6)</f>
        <v>639.66000000000008</v>
      </c>
      <c r="G156" s="51">
        <v>44.31</v>
      </c>
      <c r="H156" s="51">
        <f t="shared" ref="H156" si="51">G156*F156/1000</f>
        <v>28.343334600000006</v>
      </c>
      <c r="I156" s="199">
        <v>0</v>
      </c>
      <c r="J156" s="199">
        <v>0</v>
      </c>
      <c r="K156" s="199">
        <v>0</v>
      </c>
      <c r="L156" s="199">
        <v>0</v>
      </c>
      <c r="M156" s="199">
        <v>0</v>
      </c>
      <c r="N156" s="199">
        <v>0</v>
      </c>
      <c r="O156" s="34">
        <v>0</v>
      </c>
      <c r="P156" s="34">
        <v>0</v>
      </c>
      <c r="Q156" s="34">
        <v>0</v>
      </c>
      <c r="R156" s="34">
        <v>0</v>
      </c>
      <c r="S156" s="34">
        <v>0</v>
      </c>
      <c r="T156" s="34">
        <f>G156*F156</f>
        <v>28343.334600000006</v>
      </c>
      <c r="U156" s="34">
        <f t="shared" si="50"/>
        <v>28343.334600000006</v>
      </c>
    </row>
    <row r="157" spans="1:21" s="20" customFormat="1">
      <c r="A157" s="102"/>
      <c r="B157" s="103" t="s">
        <v>123</v>
      </c>
      <c r="C157" s="102"/>
      <c r="D157" s="102"/>
      <c r="E157" s="98"/>
      <c r="F157" s="98"/>
      <c r="G157" s="98"/>
      <c r="H157" s="42">
        <f>SUM(H117:H156)</f>
        <v>548.91772539999999</v>
      </c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0">
        <f>SUM(U117:U156)</f>
        <v>548917.7254</v>
      </c>
    </row>
    <row r="158" spans="1:21">
      <c r="A158" s="104"/>
      <c r="B158" s="105"/>
      <c r="C158" s="104"/>
      <c r="D158" s="104"/>
      <c r="E158" s="106"/>
      <c r="F158" s="106"/>
      <c r="G158" s="106"/>
      <c r="H158" s="107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154"/>
    </row>
    <row r="159" spans="1:21" ht="12" customHeight="1">
      <c r="A159" s="24"/>
      <c r="B159" s="19" t="s">
        <v>124</v>
      </c>
      <c r="C159" s="23"/>
      <c r="D159" s="92"/>
      <c r="E159" s="51"/>
      <c r="F159" s="51"/>
      <c r="G159" s="51"/>
      <c r="H159" s="108">
        <f>H157/E160/12*1000</f>
        <v>13.236246356472504</v>
      </c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154"/>
    </row>
    <row r="160" spans="1:21" s="20" customFormat="1">
      <c r="A160" s="109"/>
      <c r="B160" s="110" t="s">
        <v>125</v>
      </c>
      <c r="C160" s="111"/>
      <c r="D160" s="110"/>
      <c r="E160" s="193">
        <v>3455.9</v>
      </c>
      <c r="F160" s="112">
        <f>SUM(E160*12)</f>
        <v>41470.800000000003</v>
      </c>
      <c r="G160" s="113">
        <f>H115+H159</f>
        <v>28.231244966450092</v>
      </c>
      <c r="H160" s="114">
        <f>SUM(F160*G160/1000)</f>
        <v>1170.7723137546584</v>
      </c>
      <c r="I160" s="97">
        <f t="shared" ref="I160:Q160" si="52">SUM(I11:I159)</f>
        <v>83408.688549333325</v>
      </c>
      <c r="J160" s="97">
        <f t="shared" si="52"/>
        <v>74673.612549333324</v>
      </c>
      <c r="K160" s="97">
        <f t="shared" si="52"/>
        <v>93851.898253333304</v>
      </c>
      <c r="L160" s="97">
        <f t="shared" si="52"/>
        <v>67802.436453333328</v>
      </c>
      <c r="M160" s="97">
        <f t="shared" si="52"/>
        <v>166091.79554111106</v>
      </c>
      <c r="N160" s="97">
        <f t="shared" si="52"/>
        <v>94815.734591111119</v>
      </c>
      <c r="O160" s="97">
        <f t="shared" si="52"/>
        <v>52509.260815111113</v>
      </c>
      <c r="P160" s="97">
        <f t="shared" si="52"/>
        <v>77825.654291111117</v>
      </c>
      <c r="Q160" s="97">
        <f t="shared" si="52"/>
        <v>97083.175851111111</v>
      </c>
      <c r="R160" s="97">
        <f>SUM(R11:R159)</f>
        <v>64264.344015111106</v>
      </c>
      <c r="S160" s="97">
        <f>SUM(S11:S159)</f>
        <v>67984.093953333315</v>
      </c>
      <c r="T160" s="97">
        <f>SUM(T11:T159)</f>
        <v>471487.94114933332</v>
      </c>
      <c r="U160" s="90">
        <f>U113+U157</f>
        <v>1411798.6360126669</v>
      </c>
    </row>
    <row r="161" spans="1:21" hidden="1">
      <c r="A161" s="115"/>
      <c r="B161" s="116"/>
      <c r="C161" s="116"/>
      <c r="D161" s="116"/>
      <c r="E161" s="117"/>
      <c r="F161" s="118"/>
      <c r="G161" s="119"/>
      <c r="H161" s="119"/>
      <c r="I161" s="120"/>
      <c r="J161" s="120"/>
      <c r="K161" s="120"/>
      <c r="L161" s="120"/>
      <c r="M161" s="120"/>
      <c r="N161" s="121"/>
      <c r="O161" s="121"/>
      <c r="P161" s="121"/>
      <c r="Q161" s="121"/>
      <c r="R161" s="121"/>
      <c r="S161" s="121"/>
      <c r="T161" s="121"/>
      <c r="U161" s="121"/>
    </row>
    <row r="162" spans="1:21" hidden="1">
      <c r="A162" s="122"/>
      <c r="B162" s="123"/>
      <c r="C162" s="124"/>
      <c r="D162" s="125"/>
      <c r="E162" s="126"/>
      <c r="F162" s="127"/>
      <c r="G162" s="127"/>
      <c r="H162" s="128"/>
      <c r="I162" s="120"/>
      <c r="J162" s="120"/>
      <c r="K162" s="120"/>
      <c r="L162" s="120"/>
      <c r="M162" s="120"/>
      <c r="N162" s="121"/>
      <c r="O162" s="121"/>
      <c r="P162" s="121"/>
      <c r="Q162" s="121"/>
      <c r="R162" s="121"/>
      <c r="S162" s="121"/>
      <c r="T162" s="121"/>
      <c r="U162" s="121"/>
    </row>
    <row r="163" spans="1:21" hidden="1">
      <c r="A163" s="122"/>
      <c r="B163" s="129" t="s">
        <v>126</v>
      </c>
      <c r="C163" s="129" t="s">
        <v>69</v>
      </c>
      <c r="D163" s="129" t="s">
        <v>127</v>
      </c>
      <c r="E163" s="130">
        <v>64</v>
      </c>
      <c r="F163" s="130">
        <v>64</v>
      </c>
      <c r="G163" s="131">
        <v>11.41</v>
      </c>
      <c r="H163" s="131">
        <f>G163*12*F163/1000</f>
        <v>8.7628800000000009</v>
      </c>
      <c r="I163" s="120"/>
      <c r="J163" s="120"/>
      <c r="K163" s="120"/>
      <c r="L163" s="120"/>
      <c r="M163" s="120"/>
      <c r="N163" s="121"/>
      <c r="O163" s="121"/>
      <c r="P163" s="121"/>
      <c r="Q163" s="121"/>
      <c r="R163" s="121"/>
      <c r="S163" s="121"/>
      <c r="T163" s="121"/>
      <c r="U163" s="121"/>
    </row>
    <row r="164" spans="1:21" hidden="1">
      <c r="A164" s="122"/>
      <c r="B164" s="129" t="s">
        <v>126</v>
      </c>
      <c r="C164" s="129" t="s">
        <v>69</v>
      </c>
      <c r="D164" s="129" t="s">
        <v>128</v>
      </c>
      <c r="E164" s="130">
        <v>64</v>
      </c>
      <c r="F164" s="130">
        <v>64</v>
      </c>
      <c r="G164" s="131">
        <v>18.98</v>
      </c>
      <c r="H164" s="131">
        <f>G164*12*F164/1000</f>
        <v>14.576639999999999</v>
      </c>
      <c r="I164" s="120"/>
      <c r="J164" s="120"/>
      <c r="K164" s="120"/>
      <c r="L164" s="120"/>
      <c r="M164" s="120"/>
      <c r="N164" s="121"/>
      <c r="O164" s="121"/>
      <c r="P164" s="121"/>
      <c r="Q164" s="121"/>
      <c r="R164" s="121"/>
      <c r="S164" s="121"/>
      <c r="T164" s="121"/>
      <c r="U164" s="121"/>
    </row>
    <row r="165" spans="1:21" hidden="1">
      <c r="A165" s="122"/>
      <c r="B165" s="132"/>
      <c r="C165" s="133"/>
      <c r="D165" s="134"/>
      <c r="E165" s="135"/>
      <c r="F165" s="136"/>
      <c r="G165" s="137"/>
      <c r="H165" s="138"/>
      <c r="I165" s="120"/>
      <c r="J165" s="120"/>
      <c r="K165" s="120"/>
      <c r="L165" s="120"/>
      <c r="M165" s="120"/>
      <c r="N165" s="121"/>
      <c r="O165" s="121"/>
      <c r="P165" s="121"/>
      <c r="Q165" s="121"/>
      <c r="R165" s="121"/>
      <c r="S165" s="121"/>
      <c r="T165" s="121"/>
      <c r="U165" s="121"/>
    </row>
    <row r="166" spans="1:21" hidden="1">
      <c r="A166" s="122"/>
      <c r="B166" s="132"/>
      <c r="C166" s="133"/>
      <c r="D166" s="134"/>
      <c r="E166" s="135"/>
      <c r="F166" s="136"/>
      <c r="G166" s="137"/>
      <c r="H166" s="138"/>
      <c r="I166" s="120"/>
      <c r="J166" s="120"/>
      <c r="K166" s="120"/>
      <c r="L166" s="120"/>
      <c r="M166" s="120"/>
      <c r="N166" s="121"/>
      <c r="O166" s="121"/>
      <c r="P166" s="121"/>
      <c r="Q166" s="121"/>
      <c r="R166" s="121"/>
      <c r="S166" s="121"/>
      <c r="T166" s="121"/>
      <c r="U166" s="121"/>
    </row>
    <row r="167" spans="1:21" hidden="1">
      <c r="A167" s="122"/>
      <c r="B167" s="132"/>
      <c r="C167" s="133"/>
      <c r="D167" s="134"/>
      <c r="E167" s="135"/>
      <c r="F167" s="136"/>
      <c r="G167" s="137"/>
      <c r="H167" s="138"/>
      <c r="I167" s="120"/>
      <c r="J167" s="120"/>
      <c r="K167" s="120"/>
      <c r="L167" s="120"/>
      <c r="M167" s="120"/>
      <c r="N167" s="121"/>
      <c r="O167" s="121"/>
      <c r="P167" s="121"/>
      <c r="Q167" s="121"/>
      <c r="R167" s="121"/>
      <c r="S167" s="121"/>
      <c r="T167" s="121"/>
      <c r="U167" s="121"/>
    </row>
    <row r="168" spans="1:21">
      <c r="A168" s="121"/>
      <c r="B168" s="121"/>
      <c r="C168" s="121"/>
      <c r="D168" s="121"/>
      <c r="E168" s="120"/>
      <c r="F168" s="120"/>
      <c r="G168" s="120"/>
      <c r="H168" s="120"/>
      <c r="I168" s="120"/>
      <c r="J168" s="120"/>
      <c r="K168" s="120"/>
      <c r="L168" s="120"/>
      <c r="M168" s="121"/>
      <c r="N168" s="120"/>
      <c r="O168" s="121"/>
      <c r="P168" s="121"/>
      <c r="Q168" s="121"/>
      <c r="R168" s="121"/>
      <c r="S168" s="121"/>
      <c r="T168" s="121"/>
      <c r="U168" s="121"/>
    </row>
    <row r="169" spans="1:21">
      <c r="A169" s="121"/>
      <c r="B169" s="121"/>
      <c r="C169" s="121"/>
      <c r="D169" s="121"/>
      <c r="E169" s="120"/>
      <c r="F169" s="120"/>
      <c r="G169" s="120"/>
      <c r="H169" s="120"/>
      <c r="I169" s="120"/>
      <c r="J169" s="139"/>
      <c r="K169" s="140"/>
      <c r="L169" s="139"/>
      <c r="M169" s="120"/>
      <c r="N169" s="121"/>
      <c r="O169" s="121"/>
      <c r="P169" s="121"/>
      <c r="Q169" s="121"/>
      <c r="R169" s="121"/>
      <c r="S169" s="121"/>
      <c r="T169" s="121"/>
      <c r="U169" s="121"/>
    </row>
    <row r="170" spans="1:21" ht="45">
      <c r="A170" s="121"/>
      <c r="B170" s="145" t="s">
        <v>273</v>
      </c>
      <c r="C170" s="212">
        <v>296282.7</v>
      </c>
      <c r="D170" s="213"/>
      <c r="E170" s="213"/>
      <c r="F170" s="214"/>
      <c r="G170" s="120"/>
      <c r="H170" s="120"/>
      <c r="I170" s="120"/>
      <c r="J170" s="139"/>
      <c r="K170" s="140"/>
      <c r="L170" s="139"/>
      <c r="M170" s="120"/>
      <c r="N170" s="121"/>
      <c r="O170" s="121"/>
      <c r="P170" s="121"/>
      <c r="Q170" s="121"/>
      <c r="R170" s="121"/>
      <c r="S170" s="121"/>
      <c r="T170" s="121"/>
      <c r="U170" s="121"/>
    </row>
    <row r="171" spans="1:21" ht="30">
      <c r="A171" s="121"/>
      <c r="B171" s="145" t="s">
        <v>279</v>
      </c>
      <c r="C171" s="212">
        <f>(63677.98*2)+(78733.04*10)</f>
        <v>914686.35999999987</v>
      </c>
      <c r="D171" s="213"/>
      <c r="E171" s="213"/>
      <c r="F171" s="214"/>
      <c r="G171" s="120"/>
      <c r="H171" s="120"/>
      <c r="I171" s="120"/>
      <c r="J171" s="139"/>
      <c r="K171" s="140"/>
      <c r="L171" s="139"/>
      <c r="M171" s="120"/>
      <c r="N171" s="121"/>
      <c r="O171" s="121"/>
      <c r="P171" s="121"/>
      <c r="Q171" s="121"/>
      <c r="R171" s="121"/>
      <c r="S171" s="121"/>
      <c r="T171" s="121"/>
      <c r="U171" s="121"/>
    </row>
    <row r="172" spans="1:21" ht="30">
      <c r="A172" s="121"/>
      <c r="B172" s="145" t="s">
        <v>280</v>
      </c>
      <c r="C172" s="212">
        <f>SUM(U160-U157)</f>
        <v>862880.91061266686</v>
      </c>
      <c r="D172" s="213"/>
      <c r="E172" s="213"/>
      <c r="F172" s="214"/>
      <c r="G172" s="120"/>
      <c r="H172" s="120"/>
      <c r="I172" s="120"/>
      <c r="J172" s="139"/>
      <c r="K172" s="140"/>
      <c r="L172" s="139"/>
      <c r="M172" s="120"/>
      <c r="N172" s="121"/>
      <c r="O172" s="121"/>
      <c r="P172" s="121"/>
      <c r="Q172" s="121"/>
      <c r="R172" s="121"/>
      <c r="S172" s="121"/>
      <c r="T172" s="121"/>
      <c r="U172" s="121"/>
    </row>
    <row r="173" spans="1:21" ht="30">
      <c r="A173" s="121"/>
      <c r="B173" s="145" t="s">
        <v>281</v>
      </c>
      <c r="C173" s="212">
        <f>SUM(U157)</f>
        <v>548917.7254</v>
      </c>
      <c r="D173" s="213"/>
      <c r="E173" s="213"/>
      <c r="F173" s="214"/>
      <c r="G173" s="120"/>
      <c r="H173" s="120"/>
      <c r="I173" s="120"/>
      <c r="J173" s="139"/>
      <c r="K173" s="140"/>
      <c r="L173" s="139"/>
      <c r="M173" s="120"/>
      <c r="N173" s="121"/>
      <c r="O173" s="121"/>
      <c r="P173" s="121"/>
      <c r="Q173" s="121"/>
      <c r="R173" s="121"/>
      <c r="S173" s="121"/>
      <c r="T173" s="121"/>
      <c r="U173" s="121"/>
    </row>
    <row r="174" spans="1:21" ht="18">
      <c r="A174" s="121"/>
      <c r="B174" s="146" t="s">
        <v>282</v>
      </c>
      <c r="C174" s="212">
        <f>107022.02+52070.06+65998.28+70759.71+74951.14+66488.84+72742.34+58435.53+81926.14+95982.45+69985.67+71015.24</f>
        <v>887377.42</v>
      </c>
      <c r="D174" s="213"/>
      <c r="E174" s="213"/>
      <c r="F174" s="214"/>
      <c r="G174" s="121"/>
      <c r="I174" s="141" t="s">
        <v>129</v>
      </c>
      <c r="J174" s="142"/>
      <c r="K174" s="143"/>
      <c r="L174" s="144"/>
      <c r="M174" s="141"/>
      <c r="N174" s="141"/>
      <c r="O174" s="121"/>
      <c r="P174" s="121"/>
      <c r="Q174" s="121"/>
      <c r="R174" s="121"/>
      <c r="S174" s="121"/>
      <c r="T174" s="121"/>
      <c r="U174" s="121"/>
    </row>
    <row r="175" spans="1:21" ht="78.75">
      <c r="A175" s="121"/>
      <c r="B175" s="176" t="s">
        <v>331</v>
      </c>
      <c r="C175" s="215">
        <v>198104.44</v>
      </c>
      <c r="D175" s="216"/>
      <c r="E175" s="216"/>
      <c r="F175" s="217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</row>
    <row r="176" spans="1:21" ht="45">
      <c r="A176" s="121"/>
      <c r="B176" s="145" t="s">
        <v>332</v>
      </c>
      <c r="C176" s="209">
        <f>SUM(C172+C173-C171)+C170</f>
        <v>793394.97601266694</v>
      </c>
      <c r="D176" s="210"/>
      <c r="E176" s="210"/>
      <c r="F176" s="21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</row>
    <row r="178" spans="7:13">
      <c r="J178" s="4"/>
      <c r="K178" s="5"/>
      <c r="L178" s="5"/>
      <c r="M178" s="3"/>
    </row>
    <row r="179" spans="7:13">
      <c r="G179" s="6"/>
      <c r="H179" s="6"/>
    </row>
    <row r="180" spans="7:13">
      <c r="G180" s="7"/>
    </row>
  </sheetData>
  <mergeCells count="11">
    <mergeCell ref="B3:L3"/>
    <mergeCell ref="B4:L4"/>
    <mergeCell ref="B5:L5"/>
    <mergeCell ref="B6:L6"/>
    <mergeCell ref="C170:F170"/>
    <mergeCell ref="C176:F176"/>
    <mergeCell ref="C171:F171"/>
    <mergeCell ref="C172:F172"/>
    <mergeCell ref="C173:F173"/>
    <mergeCell ref="C174:F174"/>
    <mergeCell ref="C175:F175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  <ignoredErrors>
    <ignoredError sqref="H91 H1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Сов.,41</vt:lpstr>
      <vt:lpstr>'Сов.,41'!Область_печати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2018-11-13T05:55:49Z</cp:lastPrinted>
  <dcterms:created xsi:type="dcterms:W3CDTF">2014-02-05T12:20:20Z</dcterms:created>
  <dcterms:modified xsi:type="dcterms:W3CDTF">2018-11-13T06:03:19Z</dcterms:modified>
</cp:coreProperties>
</file>