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8" r:id="rId1"/>
    <sheet name="02.20" sheetId="9" r:id="rId2"/>
    <sheet name="03.20" sheetId="10" r:id="rId3"/>
    <sheet name="04.20" sheetId="11" r:id="rId4"/>
    <sheet name="05.20" sheetId="12" r:id="rId5"/>
    <sheet name="06.20" sheetId="13" r:id="rId6"/>
    <sheet name="07.20" sheetId="14" r:id="rId7"/>
    <sheet name="08.20" sheetId="15" r:id="rId8"/>
    <sheet name="09.20" sheetId="16" r:id="rId9"/>
    <sheet name="10.20" sheetId="17" r:id="rId10"/>
    <sheet name="11.20" sheetId="18" r:id="rId11"/>
    <sheet name="12.20" sheetId="19" r:id="rId12"/>
  </sheets>
  <definedNames>
    <definedName name="_xlnm._FilterDatabase" localSheetId="0" hidden="1">'01.20'!$I$12:$I$65</definedName>
    <definedName name="_xlnm._FilterDatabase" localSheetId="1" hidden="1">'02.20'!$I$12:$I$65</definedName>
    <definedName name="_xlnm._FilterDatabase" localSheetId="2" hidden="1">'03.20'!$I$12:$I$64</definedName>
    <definedName name="_xlnm._FilterDatabase" localSheetId="3" hidden="1">'04.20'!$I$12:$I$58</definedName>
    <definedName name="_xlnm._FilterDatabase" localSheetId="4" hidden="1">'05.20'!$I$12:$I$64</definedName>
    <definedName name="_xlnm._FilterDatabase" localSheetId="5" hidden="1">'06.20'!$I$12:$I$65</definedName>
    <definedName name="_xlnm._FilterDatabase" localSheetId="6" hidden="1">'07.20'!$I$12:$I$65</definedName>
    <definedName name="_xlnm._FilterDatabase" localSheetId="7" hidden="1">'08.20'!$I$12:$I$64</definedName>
    <definedName name="_xlnm._FilterDatabase" localSheetId="8" hidden="1">'09.20'!$I$12:$I$64</definedName>
    <definedName name="_xlnm._FilterDatabase" localSheetId="9" hidden="1">'10.20'!$I$12:$I$65</definedName>
    <definedName name="_xlnm._FilterDatabase" localSheetId="10" hidden="1">'11.20'!$I$12:$I$65</definedName>
    <definedName name="_xlnm._FilterDatabase" localSheetId="11" hidden="1">'12.20'!$I$12:$I$66</definedName>
    <definedName name="_xlnm.Print_Area" localSheetId="0">'01.20'!$A$1:$I$114</definedName>
    <definedName name="_xlnm.Print_Area" localSheetId="1">'02.20'!$A$1:$I$122</definedName>
    <definedName name="_xlnm.Print_Area" localSheetId="2">'03.20'!$A$1:$I$112</definedName>
    <definedName name="_xlnm.Print_Area" localSheetId="3">'04.20'!$A$1:$I$115</definedName>
    <definedName name="_xlnm.Print_Area" localSheetId="4">'05.20'!$A$1:$I$118</definedName>
    <definedName name="_xlnm.Print_Area" localSheetId="5">'06.20'!$A$1:$I$132</definedName>
    <definedName name="_xlnm.Print_Area" localSheetId="6">'07.20'!$A$1:$I$128</definedName>
    <definedName name="_xlnm.Print_Area" localSheetId="7">'08.20'!$A$1:$I$125</definedName>
    <definedName name="_xlnm.Print_Area" localSheetId="8">'09.20'!$A$1:$I$120</definedName>
    <definedName name="_xlnm.Print_Area" localSheetId="9">'10.20'!$A$1:$I$123</definedName>
    <definedName name="_xlnm.Print_Area" localSheetId="10">'11.20'!$A$1:$I$120</definedName>
    <definedName name="_xlnm.Print_Area" localSheetId="11">'12.20'!$A$1:$I$119</definedName>
  </definedNames>
  <calcPr calcId="124519"/>
</workbook>
</file>

<file path=xl/calcChain.xml><?xml version="1.0" encoding="utf-8"?>
<calcChain xmlns="http://schemas.openxmlformats.org/spreadsheetml/2006/main">
  <c r="I90" i="19"/>
  <c r="I96"/>
  <c r="I94"/>
  <c r="I92"/>
  <c r="I58"/>
  <c r="I44"/>
  <c r="I38"/>
  <c r="I97" i="18"/>
  <c r="I96"/>
  <c r="I89" l="1"/>
  <c r="I94"/>
  <c r="I93"/>
  <c r="I92"/>
  <c r="I77"/>
  <c r="F77"/>
  <c r="I43"/>
  <c r="I91" i="17" l="1"/>
  <c r="I100"/>
  <c r="I99"/>
  <c r="I97"/>
  <c r="I96"/>
  <c r="I95"/>
  <c r="I94"/>
  <c r="I93"/>
  <c r="I77"/>
  <c r="F77"/>
  <c r="I105" i="14" l="1"/>
  <c r="I88"/>
  <c r="I64"/>
  <c r="I104"/>
  <c r="I103"/>
  <c r="I102"/>
  <c r="I101"/>
  <c r="I63" i="15"/>
  <c r="I87" i="16" l="1"/>
  <c r="I97"/>
  <c r="I95"/>
  <c r="I94"/>
  <c r="I93"/>
  <c r="I92"/>
  <c r="I91"/>
  <c r="I90"/>
  <c r="I89"/>
  <c r="I63"/>
  <c r="I18" i="15" l="1"/>
  <c r="I102" l="1"/>
  <c r="I101"/>
  <c r="I87"/>
  <c r="I100" l="1"/>
  <c r="I99" l="1"/>
  <c r="I97"/>
  <c r="I96"/>
  <c r="I95"/>
  <c r="I94"/>
  <c r="I93"/>
  <c r="I92"/>
  <c r="I91"/>
  <c r="I89"/>
  <c r="I99" i="14" l="1"/>
  <c r="I109" i="13"/>
  <c r="I108"/>
  <c r="I107"/>
  <c r="F26"/>
  <c r="F24"/>
  <c r="F23"/>
  <c r="F22"/>
  <c r="F19"/>
  <c r="I19" s="1"/>
  <c r="I105"/>
  <c r="I104"/>
  <c r="I103"/>
  <c r="I101"/>
  <c r="I100"/>
  <c r="I99"/>
  <c r="I98"/>
  <c r="I97"/>
  <c r="I96"/>
  <c r="I95"/>
  <c r="I94"/>
  <c r="I93"/>
  <c r="I92"/>
  <c r="I91"/>
  <c r="I59"/>
  <c r="I64"/>
  <c r="H64"/>
  <c r="I18"/>
  <c r="I63" i="12" l="1"/>
  <c r="I87" s="1"/>
  <c r="I18"/>
  <c r="I95"/>
  <c r="I94"/>
  <c r="I93"/>
  <c r="I92"/>
  <c r="I91"/>
  <c r="I90"/>
  <c r="I89"/>
  <c r="I76"/>
  <c r="F27"/>
  <c r="H27" s="1"/>
  <c r="F26"/>
  <c r="H26" s="1"/>
  <c r="H25"/>
  <c r="F24"/>
  <c r="H24" s="1"/>
  <c r="H23"/>
  <c r="F23"/>
  <c r="H22"/>
  <c r="F22"/>
  <c r="F21"/>
  <c r="H21" s="1"/>
  <c r="F20"/>
  <c r="I20" s="1"/>
  <c r="F19"/>
  <c r="H19" s="1"/>
  <c r="E18"/>
  <c r="F18" s="1"/>
  <c r="H18" s="1"/>
  <c r="F17"/>
  <c r="H17" s="1"/>
  <c r="F16"/>
  <c r="I16" s="1"/>
  <c r="I92" i="11"/>
  <c r="I91"/>
  <c r="I90"/>
  <c r="I89"/>
  <c r="I88"/>
  <c r="I87"/>
  <c r="H16" i="12" l="1"/>
  <c r="H20"/>
  <c r="I17"/>
  <c r="I21"/>
  <c r="I27"/>
  <c r="I18" i="11"/>
  <c r="I83"/>
  <c r="I86"/>
  <c r="I89" i="10" l="1"/>
  <c r="I88"/>
  <c r="I87" l="1"/>
  <c r="I84" l="1"/>
  <c r="I57"/>
  <c r="I37"/>
  <c r="I89" i="9"/>
  <c r="I57"/>
  <c r="I97"/>
  <c r="I95"/>
  <c r="I94"/>
  <c r="I93"/>
  <c r="I92"/>
  <c r="I77"/>
  <c r="F77"/>
  <c r="I78"/>
  <c r="I42"/>
  <c r="I37"/>
  <c r="I88" i="8"/>
  <c r="I77"/>
  <c r="I57"/>
  <c r="I65" i="19" l="1"/>
  <c r="I60"/>
  <c r="I78"/>
  <c r="F78"/>
  <c r="I79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3" i="18"/>
  <c r="F83"/>
  <c r="F73"/>
  <c r="I73" s="1"/>
  <c r="F88"/>
  <c r="H88" s="1"/>
  <c r="F87"/>
  <c r="I87" s="1"/>
  <c r="I64"/>
  <c r="F64"/>
  <c r="F58"/>
  <c r="I44"/>
  <c r="I38"/>
  <c r="F42"/>
  <c r="I42" s="1"/>
  <c r="F41"/>
  <c r="I41" s="1"/>
  <c r="F40"/>
  <c r="F39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18" i="19" l="1"/>
  <c r="I18"/>
  <c r="H18" i="18"/>
  <c r="I18"/>
  <c r="H19" i="19"/>
  <c r="H23"/>
  <c r="H16"/>
  <c r="H21"/>
  <c r="H26"/>
  <c r="I17"/>
  <c r="I20"/>
  <c r="I22"/>
  <c r="I24"/>
  <c r="I27"/>
  <c r="H87" i="18"/>
  <c r="I88"/>
  <c r="H19"/>
  <c r="H23"/>
  <c r="H16"/>
  <c r="H21"/>
  <c r="H26"/>
  <c r="I17"/>
  <c r="I20"/>
  <c r="I22"/>
  <c r="I24"/>
  <c r="I27"/>
  <c r="I44" i="17" l="1"/>
  <c r="I64" l="1"/>
  <c r="I33"/>
  <c r="I78"/>
  <c r="F78"/>
  <c r="F90"/>
  <c r="H90" s="1"/>
  <c r="F89"/>
  <c r="I89" s="1"/>
  <c r="I83"/>
  <c r="F83"/>
  <c r="F75"/>
  <c r="I75" s="1"/>
  <c r="F64"/>
  <c r="F31"/>
  <c r="H31" s="1"/>
  <c r="F30"/>
  <c r="I30" s="1"/>
  <c r="F27"/>
  <c r="H27" s="1"/>
  <c r="F26"/>
  <c r="I26" s="1"/>
  <c r="I25"/>
  <c r="H25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H22" l="1"/>
  <c r="H89"/>
  <c r="I90"/>
  <c r="H17"/>
  <c r="H20"/>
  <c r="H24"/>
  <c r="H30"/>
  <c r="I31"/>
  <c r="H18"/>
  <c r="H16"/>
  <c r="H19"/>
  <c r="H21"/>
  <c r="H23"/>
  <c r="H26"/>
  <c r="I27"/>
  <c r="F53" i="16"/>
  <c r="F86"/>
  <c r="H86" s="1"/>
  <c r="F85"/>
  <c r="I85" s="1"/>
  <c r="F81"/>
  <c r="I81" s="1"/>
  <c r="I79"/>
  <c r="F79"/>
  <c r="F70"/>
  <c r="F63"/>
  <c r="F51"/>
  <c r="F50"/>
  <c r="F49"/>
  <c r="F48"/>
  <c r="F47"/>
  <c r="F46"/>
  <c r="F45"/>
  <c r="F31"/>
  <c r="H31" s="1"/>
  <c r="F30"/>
  <c r="I30" s="1"/>
  <c r="F27"/>
  <c r="H27" s="1"/>
  <c r="F26"/>
  <c r="I26" s="1"/>
  <c r="I25"/>
  <c r="H25"/>
  <c r="F24"/>
  <c r="I24" s="1"/>
  <c r="F23"/>
  <c r="I23" s="1"/>
  <c r="F22"/>
  <c r="H22" s="1"/>
  <c r="F21"/>
  <c r="I21" s="1"/>
  <c r="F20"/>
  <c r="H20" s="1"/>
  <c r="F19"/>
  <c r="I19" s="1"/>
  <c r="E18"/>
  <c r="F18" s="1"/>
  <c r="I18" s="1"/>
  <c r="F17"/>
  <c r="I17" s="1"/>
  <c r="F16"/>
  <c r="I16" s="1"/>
  <c r="F81" i="15"/>
  <c r="I81" s="1"/>
  <c r="F86"/>
  <c r="H86" s="1"/>
  <c r="F85"/>
  <c r="I85" s="1"/>
  <c r="F74"/>
  <c r="I74" s="1"/>
  <c r="F63"/>
  <c r="F31"/>
  <c r="H31" s="1"/>
  <c r="F30"/>
  <c r="I30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59" i="14"/>
  <c r="H64"/>
  <c r="H85" i="16" l="1"/>
  <c r="I86"/>
  <c r="H17"/>
  <c r="H24"/>
  <c r="H30"/>
  <c r="I31"/>
  <c r="H18"/>
  <c r="H16"/>
  <c r="H19"/>
  <c r="I20"/>
  <c r="H21"/>
  <c r="I22"/>
  <c r="H23"/>
  <c r="H26"/>
  <c r="I27"/>
  <c r="H85" i="15"/>
  <c r="I86"/>
  <c r="H30"/>
  <c r="I31"/>
  <c r="H18"/>
  <c r="H16"/>
  <c r="I17"/>
  <c r="H19"/>
  <c r="I20"/>
  <c r="H21"/>
  <c r="I22"/>
  <c r="H23"/>
  <c r="I24"/>
  <c r="H26"/>
  <c r="I27"/>
  <c r="I34" i="13"/>
  <c r="F70" i="14" l="1"/>
  <c r="F69"/>
  <c r="F68"/>
  <c r="F67"/>
  <c r="F66"/>
  <c r="F87"/>
  <c r="I87" s="1"/>
  <c r="F86"/>
  <c r="I86" s="1"/>
  <c r="F82"/>
  <c r="I82" s="1"/>
  <c r="I77"/>
  <c r="F77"/>
  <c r="F73"/>
  <c r="I73" s="1"/>
  <c r="F31"/>
  <c r="H31" s="1"/>
  <c r="F30"/>
  <c r="I30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21" i="13"/>
  <c r="H21" s="1"/>
  <c r="F20"/>
  <c r="I20" s="1"/>
  <c r="F27"/>
  <c r="H27" s="1"/>
  <c r="F27" i="11"/>
  <c r="H27" s="1"/>
  <c r="F27" i="10"/>
  <c r="H27" s="1"/>
  <c r="F27" i="9"/>
  <c r="H27" s="1"/>
  <c r="F27" i="8"/>
  <c r="H18" i="14" l="1"/>
  <c r="I18"/>
  <c r="H87"/>
  <c r="H86"/>
  <c r="H21"/>
  <c r="H30"/>
  <c r="I31"/>
  <c r="H19"/>
  <c r="H16"/>
  <c r="I17"/>
  <c r="I20"/>
  <c r="I22"/>
  <c r="H23"/>
  <c r="I24"/>
  <c r="H26"/>
  <c r="I27"/>
  <c r="H20" i="13"/>
  <c r="I21"/>
  <c r="I27"/>
  <c r="I27" i="11"/>
  <c r="I27" i="10"/>
  <c r="I27" i="9"/>
  <c r="I77" i="13" l="1"/>
  <c r="F88"/>
  <c r="F87"/>
  <c r="F83"/>
  <c r="I83" s="1"/>
  <c r="I78"/>
  <c r="F78"/>
  <c r="F77"/>
  <c r="F73"/>
  <c r="I73" s="1"/>
  <c r="F62"/>
  <c r="F32"/>
  <c r="F31"/>
  <c r="F30"/>
  <c r="E18"/>
  <c r="F18" s="1"/>
  <c r="F17"/>
  <c r="F16"/>
  <c r="F86" i="12" l="1"/>
  <c r="H86" s="1"/>
  <c r="F85"/>
  <c r="I85" s="1"/>
  <c r="I81"/>
  <c r="F81"/>
  <c r="F72"/>
  <c r="I72" s="1"/>
  <c r="F69"/>
  <c r="F68"/>
  <c r="F67"/>
  <c r="F66"/>
  <c r="F65"/>
  <c r="F53"/>
  <c r="F51"/>
  <c r="F50"/>
  <c r="F49"/>
  <c r="F48"/>
  <c r="F47"/>
  <c r="F46"/>
  <c r="F45"/>
  <c r="F32"/>
  <c r="F31"/>
  <c r="F30"/>
  <c r="H85" l="1"/>
  <c r="I86"/>
  <c r="F82" i="11" l="1"/>
  <c r="H82" s="1"/>
  <c r="F81"/>
  <c r="I81" s="1"/>
  <c r="I79"/>
  <c r="F79"/>
  <c r="F66"/>
  <c r="I66" s="1"/>
  <c r="I52"/>
  <c r="I37"/>
  <c r="F53"/>
  <c r="H53" s="1"/>
  <c r="F52"/>
  <c r="I44"/>
  <c r="H44"/>
  <c r="F42"/>
  <c r="I42" s="1"/>
  <c r="F41"/>
  <c r="F39"/>
  <c r="F38"/>
  <c r="F26"/>
  <c r="H26" s="1"/>
  <c r="H25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F83" i="10"/>
  <c r="H83" s="1"/>
  <c r="F82"/>
  <c r="I82" s="1"/>
  <c r="F71"/>
  <c r="I71" s="1"/>
  <c r="I78"/>
  <c r="F78"/>
  <c r="I75"/>
  <c r="F75"/>
  <c r="F58"/>
  <c r="F57"/>
  <c r="I54"/>
  <c r="H54"/>
  <c r="F42"/>
  <c r="F41"/>
  <c r="F39"/>
  <c r="F38"/>
  <c r="F26"/>
  <c r="F24"/>
  <c r="F23"/>
  <c r="F22"/>
  <c r="F21"/>
  <c r="I21" s="1"/>
  <c r="F20"/>
  <c r="I20" s="1"/>
  <c r="F19"/>
  <c r="E18"/>
  <c r="F18" s="1"/>
  <c r="I18" s="1"/>
  <c r="F17"/>
  <c r="F16"/>
  <c r="H17" i="11" l="1"/>
  <c r="H81"/>
  <c r="I82"/>
  <c r="I53"/>
  <c r="H18"/>
  <c r="H16"/>
  <c r="H20"/>
  <c r="I21"/>
  <c r="H82" i="10"/>
  <c r="I83"/>
  <c r="I43" i="9" l="1"/>
  <c r="F41"/>
  <c r="I41" s="1"/>
  <c r="F40"/>
  <c r="I40" s="1"/>
  <c r="F39"/>
  <c r="H39" s="1"/>
  <c r="F38"/>
  <c r="H95"/>
  <c r="H94"/>
  <c r="H93"/>
  <c r="H92"/>
  <c r="H91"/>
  <c r="F88"/>
  <c r="H88" s="1"/>
  <c r="F87"/>
  <c r="I87" s="1"/>
  <c r="H85"/>
  <c r="I83"/>
  <c r="F83"/>
  <c r="F82"/>
  <c r="H82" s="1"/>
  <c r="I81"/>
  <c r="H81"/>
  <c r="H80"/>
  <c r="H79"/>
  <c r="H78"/>
  <c r="H75"/>
  <c r="F73"/>
  <c r="I73" s="1"/>
  <c r="H71"/>
  <c r="F70"/>
  <c r="H70" s="1"/>
  <c r="F69"/>
  <c r="H69" s="1"/>
  <c r="F68"/>
  <c r="H68" s="1"/>
  <c r="F67"/>
  <c r="H67" s="1"/>
  <c r="F66"/>
  <c r="H66" s="1"/>
  <c r="H65"/>
  <c r="I64"/>
  <c r="F64"/>
  <c r="H64" s="1"/>
  <c r="F62"/>
  <c r="H62" s="1"/>
  <c r="H61"/>
  <c r="H59"/>
  <c r="F58"/>
  <c r="I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H43"/>
  <c r="H42"/>
  <c r="H40"/>
  <c r="I38"/>
  <c r="H37"/>
  <c r="H35"/>
  <c r="H34"/>
  <c r="F33"/>
  <c r="H33" s="1"/>
  <c r="F32"/>
  <c r="I32" s="1"/>
  <c r="F31"/>
  <c r="H31" s="1"/>
  <c r="F30"/>
  <c r="I30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I18" s="1"/>
  <c r="F17"/>
  <c r="I17" s="1"/>
  <c r="F16"/>
  <c r="I16" s="1"/>
  <c r="H17" l="1"/>
  <c r="H87"/>
  <c r="H18"/>
  <c r="H16"/>
  <c r="H19"/>
  <c r="I20"/>
  <c r="H21"/>
  <c r="I22"/>
  <c r="H23"/>
  <c r="I24"/>
  <c r="H26"/>
  <c r="H30"/>
  <c r="I31"/>
  <c r="H32"/>
  <c r="I33"/>
  <c r="H38"/>
  <c r="I39"/>
  <c r="H41"/>
  <c r="H50"/>
  <c r="H58"/>
  <c r="I62"/>
  <c r="I88"/>
  <c r="I99" l="1"/>
  <c r="I37" i="8" l="1"/>
  <c r="F50"/>
  <c r="I43"/>
  <c r="F42"/>
  <c r="I42" s="1"/>
  <c r="I91"/>
  <c r="F87"/>
  <c r="F86"/>
  <c r="I82"/>
  <c r="F82"/>
  <c r="I80"/>
  <c r="F73"/>
  <c r="I73" s="1"/>
  <c r="I64"/>
  <c r="F64"/>
  <c r="F58"/>
  <c r="F57"/>
  <c r="I44"/>
  <c r="H44"/>
  <c r="H43"/>
  <c r="F41"/>
  <c r="I41" s="1"/>
  <c r="F40"/>
  <c r="H40" s="1"/>
  <c r="F39"/>
  <c r="H39" s="1"/>
  <c r="F38"/>
  <c r="I38" s="1"/>
  <c r="H37"/>
  <c r="H27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I18" s="1"/>
  <c r="F17"/>
  <c r="H17" s="1"/>
  <c r="F16"/>
  <c r="I16" s="1"/>
  <c r="F30"/>
  <c r="H30" s="1"/>
  <c r="F31"/>
  <c r="H31" s="1"/>
  <c r="F32"/>
  <c r="H32" s="1"/>
  <c r="F33"/>
  <c r="H33" s="1"/>
  <c r="H34"/>
  <c r="H35"/>
  <c r="I74" i="19"/>
  <c r="I84"/>
  <c r="F89"/>
  <c r="F88"/>
  <c r="F84"/>
  <c r="F79"/>
  <c r="F74"/>
  <c r="F65"/>
  <c r="F63"/>
  <c r="F59"/>
  <c r="F58"/>
  <c r="F51"/>
  <c r="F43"/>
  <c r="I43" s="1"/>
  <c r="F42"/>
  <c r="F41"/>
  <c r="F40"/>
  <c r="F39"/>
  <c r="H42" i="8" l="1"/>
  <c r="H41"/>
  <c r="H38"/>
  <c r="I39"/>
  <c r="I33"/>
  <c r="I32"/>
  <c r="I31"/>
  <c r="I30"/>
  <c r="H26"/>
  <c r="H18"/>
  <c r="H16"/>
  <c r="I17"/>
  <c r="H19"/>
  <c r="I20"/>
  <c r="H21"/>
  <c r="I22"/>
  <c r="H23"/>
  <c r="I24"/>
  <c r="I27"/>
  <c r="F34" i="19"/>
  <c r="F33"/>
  <c r="F32"/>
  <c r="F31"/>
  <c r="F30"/>
  <c r="I78" i="18" l="1"/>
  <c r="I57"/>
  <c r="I57" i="17"/>
  <c r="I74" i="16" l="1"/>
  <c r="I76" i="15" l="1"/>
  <c r="I71" i="13" l="1"/>
  <c r="I61" i="12"/>
  <c r="I49" i="11"/>
  <c r="I48"/>
  <c r="I47"/>
  <c r="I57" l="1"/>
  <c r="I78"/>
  <c r="F61" i="10" l="1"/>
  <c r="H61" s="1"/>
  <c r="I43"/>
  <c r="I61" l="1"/>
  <c r="H90" i="8" l="1"/>
  <c r="F62"/>
  <c r="H62" s="1"/>
  <c r="I89" i="19" l="1"/>
  <c r="I88"/>
  <c r="H86"/>
  <c r="I83"/>
  <c r="F83"/>
  <c r="H83" s="1"/>
  <c r="I82"/>
  <c r="H82"/>
  <c r="H81"/>
  <c r="H80"/>
  <c r="H79"/>
  <c r="I76"/>
  <c r="H76"/>
  <c r="I72"/>
  <c r="H72"/>
  <c r="F71"/>
  <c r="H71" s="1"/>
  <c r="F70"/>
  <c r="I70" s="1"/>
  <c r="F69"/>
  <c r="H69" s="1"/>
  <c r="F68"/>
  <c r="I68" s="1"/>
  <c r="F67"/>
  <c r="H67" s="1"/>
  <c r="H66"/>
  <c r="H65"/>
  <c r="H63"/>
  <c r="H62"/>
  <c r="I59"/>
  <c r="H59"/>
  <c r="I55"/>
  <c r="F55"/>
  <c r="H55" s="1"/>
  <c r="I54"/>
  <c r="H54"/>
  <c r="F53"/>
  <c r="I53" s="1"/>
  <c r="F52"/>
  <c r="H52" s="1"/>
  <c r="I51"/>
  <c r="F50"/>
  <c r="H50" s="1"/>
  <c r="F49"/>
  <c r="I49" s="1"/>
  <c r="F48"/>
  <c r="H48" s="1"/>
  <c r="F47"/>
  <c r="I47" s="1"/>
  <c r="I45"/>
  <c r="H45"/>
  <c r="H44"/>
  <c r="H42"/>
  <c r="H41"/>
  <c r="I40"/>
  <c r="H40"/>
  <c r="H39"/>
  <c r="H38"/>
  <c r="H35"/>
  <c r="H34"/>
  <c r="I33"/>
  <c r="H32"/>
  <c r="I31"/>
  <c r="H30"/>
  <c r="H85" i="18"/>
  <c r="I82"/>
  <c r="F82"/>
  <c r="H82" s="1"/>
  <c r="I81"/>
  <c r="H81"/>
  <c r="H80"/>
  <c r="H79"/>
  <c r="H78"/>
  <c r="I75"/>
  <c r="H75"/>
  <c r="I71"/>
  <c r="H71"/>
  <c r="F70"/>
  <c r="H70" s="1"/>
  <c r="F69"/>
  <c r="I69" s="1"/>
  <c r="F68"/>
  <c r="H68" s="1"/>
  <c r="F67"/>
  <c r="I67" s="1"/>
  <c r="F66"/>
  <c r="H66" s="1"/>
  <c r="H65"/>
  <c r="H64"/>
  <c r="H62"/>
  <c r="H61"/>
  <c r="H59"/>
  <c r="I58"/>
  <c r="H58"/>
  <c r="F57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H42"/>
  <c r="H41"/>
  <c r="I40"/>
  <c r="H40"/>
  <c r="H39"/>
  <c r="H38"/>
  <c r="H36"/>
  <c r="H35"/>
  <c r="F34"/>
  <c r="I34" s="1"/>
  <c r="F33"/>
  <c r="H33" s="1"/>
  <c r="F32"/>
  <c r="I32" s="1"/>
  <c r="F31"/>
  <c r="H31" s="1"/>
  <c r="F28"/>
  <c r="I28" s="1"/>
  <c r="H89" i="19" l="1"/>
  <c r="H44" i="18"/>
  <c r="I30" i="19"/>
  <c r="H31"/>
  <c r="I32"/>
  <c r="H33"/>
  <c r="I39"/>
  <c r="I42"/>
  <c r="H43"/>
  <c r="H47"/>
  <c r="I48"/>
  <c r="H49"/>
  <c r="I50"/>
  <c r="H51"/>
  <c r="I52"/>
  <c r="H53"/>
  <c r="H58"/>
  <c r="I63"/>
  <c r="I67"/>
  <c r="H68"/>
  <c r="I69"/>
  <c r="H70"/>
  <c r="I71"/>
  <c r="H88"/>
  <c r="H28" i="18"/>
  <c r="I31"/>
  <c r="H32"/>
  <c r="I33"/>
  <c r="H34"/>
  <c r="I39"/>
  <c r="H43"/>
  <c r="H46"/>
  <c r="I47"/>
  <c r="H48"/>
  <c r="I49"/>
  <c r="H50"/>
  <c r="I51"/>
  <c r="H52"/>
  <c r="H57"/>
  <c r="I62"/>
  <c r="I66"/>
  <c r="H67"/>
  <c r="I68"/>
  <c r="H69"/>
  <c r="I70"/>
  <c r="I98" i="19" l="1"/>
  <c r="I99" i="18"/>
  <c r="H93" i="17" l="1"/>
  <c r="H86" l="1"/>
  <c r="I82"/>
  <c r="F82"/>
  <c r="H82" s="1"/>
  <c r="I81"/>
  <c r="H81"/>
  <c r="H80"/>
  <c r="H79"/>
  <c r="H78"/>
  <c r="I73"/>
  <c r="H73"/>
  <c r="I71"/>
  <c r="H71"/>
  <c r="F70"/>
  <c r="H70" s="1"/>
  <c r="F69"/>
  <c r="I69" s="1"/>
  <c r="F68"/>
  <c r="H68" s="1"/>
  <c r="F67"/>
  <c r="I67" s="1"/>
  <c r="F66"/>
  <c r="H66" s="1"/>
  <c r="H65"/>
  <c r="H64"/>
  <c r="I62"/>
  <c r="H61"/>
  <c r="H59"/>
  <c r="I58"/>
  <c r="H58"/>
  <c r="F57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3"/>
  <c r="H43"/>
  <c r="F42"/>
  <c r="H42" s="1"/>
  <c r="F41"/>
  <c r="I41" s="1"/>
  <c r="F40"/>
  <c r="H40" s="1"/>
  <c r="H39"/>
  <c r="I38"/>
  <c r="H38"/>
  <c r="F37"/>
  <c r="H37" s="1"/>
  <c r="I36"/>
  <c r="H36"/>
  <c r="H34"/>
  <c r="H33"/>
  <c r="F32"/>
  <c r="H32" s="1"/>
  <c r="I70" i="16"/>
  <c r="H89"/>
  <c r="H83"/>
  <c r="I78"/>
  <c r="F78"/>
  <c r="H78" s="1"/>
  <c r="I77"/>
  <c r="H77"/>
  <c r="H76"/>
  <c r="H75"/>
  <c r="H74"/>
  <c r="I72"/>
  <c r="H72"/>
  <c r="H70"/>
  <c r="F69"/>
  <c r="I69" s="1"/>
  <c r="F68"/>
  <c r="H68" s="1"/>
  <c r="F67"/>
  <c r="I67" s="1"/>
  <c r="F66"/>
  <c r="H66" s="1"/>
  <c r="F65"/>
  <c r="I65" s="1"/>
  <c r="H64"/>
  <c r="H63"/>
  <c r="I61"/>
  <c r="H60"/>
  <c r="H58"/>
  <c r="I57"/>
  <c r="H57"/>
  <c r="F56"/>
  <c r="H56" s="1"/>
  <c r="I53"/>
  <c r="H53"/>
  <c r="I52"/>
  <c r="H52"/>
  <c r="H51"/>
  <c r="I50"/>
  <c r="H49"/>
  <c r="I48"/>
  <c r="H47"/>
  <c r="I46"/>
  <c r="H45"/>
  <c r="I43"/>
  <c r="H43"/>
  <c r="F42"/>
  <c r="I42" s="1"/>
  <c r="F41"/>
  <c r="H41" s="1"/>
  <c r="F40"/>
  <c r="I40" s="1"/>
  <c r="H39"/>
  <c r="I38"/>
  <c r="H38"/>
  <c r="F37"/>
  <c r="I37" s="1"/>
  <c r="I36"/>
  <c r="H36"/>
  <c r="H34"/>
  <c r="H33"/>
  <c r="F32"/>
  <c r="I32" s="1"/>
  <c r="H62" i="17" l="1"/>
  <c r="I32"/>
  <c r="I37"/>
  <c r="I40"/>
  <c r="H41"/>
  <c r="I42"/>
  <c r="H46"/>
  <c r="I47"/>
  <c r="H48"/>
  <c r="I49"/>
  <c r="H50"/>
  <c r="I51"/>
  <c r="H52"/>
  <c r="H57"/>
  <c r="I66"/>
  <c r="H67"/>
  <c r="I68"/>
  <c r="H69"/>
  <c r="I70"/>
  <c r="H61" i="16"/>
  <c r="H32"/>
  <c r="H37"/>
  <c r="H40"/>
  <c r="I41"/>
  <c r="H42"/>
  <c r="I45"/>
  <c r="H46"/>
  <c r="I47"/>
  <c r="H48"/>
  <c r="I49"/>
  <c r="H50"/>
  <c r="I51"/>
  <c r="I56"/>
  <c r="H65"/>
  <c r="I66"/>
  <c r="H67"/>
  <c r="I68"/>
  <c r="H69"/>
  <c r="I102" i="17" l="1"/>
  <c r="I99" i="16"/>
  <c r="H91" i="15" l="1"/>
  <c r="H90"/>
  <c r="I80"/>
  <c r="H89"/>
  <c r="H83"/>
  <c r="F80"/>
  <c r="H80" s="1"/>
  <c r="I79"/>
  <c r="H79"/>
  <c r="H78"/>
  <c r="H77"/>
  <c r="H76"/>
  <c r="I72"/>
  <c r="H72"/>
  <c r="H70"/>
  <c r="F69"/>
  <c r="H69" s="1"/>
  <c r="F68"/>
  <c r="I68" s="1"/>
  <c r="F67"/>
  <c r="H67" s="1"/>
  <c r="F66"/>
  <c r="I66" s="1"/>
  <c r="F65"/>
  <c r="H65" s="1"/>
  <c r="H64"/>
  <c r="H63"/>
  <c r="H61"/>
  <c r="H60"/>
  <c r="H58"/>
  <c r="I57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I38"/>
  <c r="H38"/>
  <c r="F37"/>
  <c r="H37" s="1"/>
  <c r="I36"/>
  <c r="H36"/>
  <c r="H34"/>
  <c r="H33"/>
  <c r="F32"/>
  <c r="H32" s="1"/>
  <c r="I32" l="1"/>
  <c r="I37"/>
  <c r="I40"/>
  <c r="H41"/>
  <c r="I42"/>
  <c r="H45"/>
  <c r="I46"/>
  <c r="H47"/>
  <c r="I48"/>
  <c r="H49"/>
  <c r="I50"/>
  <c r="H51"/>
  <c r="H56"/>
  <c r="I61"/>
  <c r="I65"/>
  <c r="H66"/>
  <c r="I67"/>
  <c r="H68"/>
  <c r="I69"/>
  <c r="I104" l="1"/>
  <c r="H97" i="14" l="1"/>
  <c r="H96"/>
  <c r="H95"/>
  <c r="H94"/>
  <c r="H93"/>
  <c r="H92"/>
  <c r="H91"/>
  <c r="I75"/>
  <c r="H90"/>
  <c r="H84"/>
  <c r="F81"/>
  <c r="H81" s="1"/>
  <c r="I80"/>
  <c r="H80"/>
  <c r="H79"/>
  <c r="H78"/>
  <c r="H77"/>
  <c r="H75"/>
  <c r="H71"/>
  <c r="H70"/>
  <c r="I69"/>
  <c r="H68"/>
  <c r="I67"/>
  <c r="H66"/>
  <c r="H65"/>
  <c r="H62"/>
  <c r="H61"/>
  <c r="H58"/>
  <c r="I57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I38"/>
  <c r="H38"/>
  <c r="F37"/>
  <c r="H37" s="1"/>
  <c r="I36"/>
  <c r="H36"/>
  <c r="H34"/>
  <c r="H33"/>
  <c r="F32"/>
  <c r="H32" s="1"/>
  <c r="H93" i="13"/>
  <c r="H92"/>
  <c r="H88"/>
  <c r="I87"/>
  <c r="H85"/>
  <c r="F82"/>
  <c r="H82" s="1"/>
  <c r="I81"/>
  <c r="H81"/>
  <c r="H80"/>
  <c r="H79"/>
  <c r="H78"/>
  <c r="H75"/>
  <c r="H71"/>
  <c r="F70"/>
  <c r="I70" s="1"/>
  <c r="F69"/>
  <c r="H69" s="1"/>
  <c r="F68"/>
  <c r="I68" s="1"/>
  <c r="F67"/>
  <c r="H67" s="1"/>
  <c r="F66"/>
  <c r="I66" s="1"/>
  <c r="H65"/>
  <c r="I62"/>
  <c r="H61"/>
  <c r="H58"/>
  <c r="I57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H39"/>
  <c r="I38"/>
  <c r="H38"/>
  <c r="F37"/>
  <c r="I37" s="1"/>
  <c r="I36"/>
  <c r="H36"/>
  <c r="H34"/>
  <c r="H33"/>
  <c r="I32"/>
  <c r="H31"/>
  <c r="I30"/>
  <c r="H26"/>
  <c r="I25"/>
  <c r="H25"/>
  <c r="I24"/>
  <c r="H23"/>
  <c r="I22"/>
  <c r="H19"/>
  <c r="I17"/>
  <c r="H16"/>
  <c r="H89" i="12"/>
  <c r="H83"/>
  <c r="F80"/>
  <c r="H80" s="1"/>
  <c r="I79"/>
  <c r="H79"/>
  <c r="H78"/>
  <c r="H77"/>
  <c r="H76"/>
  <c r="H74"/>
  <c r="H70"/>
  <c r="H69"/>
  <c r="H68"/>
  <c r="H67"/>
  <c r="H66"/>
  <c r="H65"/>
  <c r="H64"/>
  <c r="H63"/>
  <c r="F61"/>
  <c r="H60"/>
  <c r="H58"/>
  <c r="I57"/>
  <c r="H57"/>
  <c r="F56"/>
  <c r="H56" s="1"/>
  <c r="I53"/>
  <c r="H53"/>
  <c r="I52"/>
  <c r="H52"/>
  <c r="H51"/>
  <c r="I50"/>
  <c r="H49"/>
  <c r="H48"/>
  <c r="H47"/>
  <c r="H46"/>
  <c r="H45"/>
  <c r="I43"/>
  <c r="H43"/>
  <c r="F42"/>
  <c r="I42" s="1"/>
  <c r="F41"/>
  <c r="H41" s="1"/>
  <c r="F40"/>
  <c r="I40" s="1"/>
  <c r="H39"/>
  <c r="I38"/>
  <c r="H38"/>
  <c r="F37"/>
  <c r="I37" s="1"/>
  <c r="I36"/>
  <c r="H36"/>
  <c r="H34"/>
  <c r="H33"/>
  <c r="I32"/>
  <c r="H31"/>
  <c r="I30"/>
  <c r="H76" i="11"/>
  <c r="F74"/>
  <c r="H74" s="1"/>
  <c r="I73"/>
  <c r="H73"/>
  <c r="H72"/>
  <c r="H71"/>
  <c r="I70"/>
  <c r="H70"/>
  <c r="H68"/>
  <c r="H64"/>
  <c r="F63"/>
  <c r="H63" s="1"/>
  <c r="F62"/>
  <c r="H62" s="1"/>
  <c r="F61"/>
  <c r="H61" s="1"/>
  <c r="F60"/>
  <c r="H60" s="1"/>
  <c r="F59"/>
  <c r="H59" s="1"/>
  <c r="H58"/>
  <c r="F57"/>
  <c r="H57" s="1"/>
  <c r="H56"/>
  <c r="H54"/>
  <c r="I45"/>
  <c r="F45"/>
  <c r="H45" s="1"/>
  <c r="I43"/>
  <c r="H42"/>
  <c r="I41"/>
  <c r="H40"/>
  <c r="I39"/>
  <c r="H39"/>
  <c r="I38"/>
  <c r="H37"/>
  <c r="H35"/>
  <c r="H34"/>
  <c r="F33"/>
  <c r="H33" s="1"/>
  <c r="F32"/>
  <c r="I32" s="1"/>
  <c r="F31"/>
  <c r="H31" s="1"/>
  <c r="F30"/>
  <c r="I30" s="1"/>
  <c r="H80" i="10"/>
  <c r="H77"/>
  <c r="H76"/>
  <c r="H75"/>
  <c r="H73"/>
  <c r="F69"/>
  <c r="H69" s="1"/>
  <c r="F68"/>
  <c r="H68" s="1"/>
  <c r="F67"/>
  <c r="H67" s="1"/>
  <c r="F66"/>
  <c r="H66" s="1"/>
  <c r="F65"/>
  <c r="H65" s="1"/>
  <c r="H64"/>
  <c r="I63"/>
  <c r="H63"/>
  <c r="H60"/>
  <c r="I58"/>
  <c r="H58"/>
  <c r="H57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I41"/>
  <c r="H40"/>
  <c r="I39"/>
  <c r="H39"/>
  <c r="H38"/>
  <c r="H37"/>
  <c r="H35"/>
  <c r="H34"/>
  <c r="F33"/>
  <c r="I33" s="1"/>
  <c r="F32"/>
  <c r="H32" s="1"/>
  <c r="F31"/>
  <c r="I31" s="1"/>
  <c r="F30"/>
  <c r="H30" s="1"/>
  <c r="H26"/>
  <c r="H25"/>
  <c r="H24"/>
  <c r="H23"/>
  <c r="H22"/>
  <c r="H21"/>
  <c r="H20"/>
  <c r="H19"/>
  <c r="H17"/>
  <c r="I16"/>
  <c r="H87" i="8"/>
  <c r="H86"/>
  <c r="H84"/>
  <c r="F81"/>
  <c r="H81" s="1"/>
  <c r="H80"/>
  <c r="H79"/>
  <c r="H78"/>
  <c r="H77"/>
  <c r="H75"/>
  <c r="H71"/>
  <c r="F70"/>
  <c r="H70" s="1"/>
  <c r="F69"/>
  <c r="H69" s="1"/>
  <c r="F68"/>
  <c r="H68" s="1"/>
  <c r="F67"/>
  <c r="H67" s="1"/>
  <c r="F66"/>
  <c r="H66" s="1"/>
  <c r="H65"/>
  <c r="H64"/>
  <c r="H61"/>
  <c r="H42" i="10" l="1"/>
  <c r="I42"/>
  <c r="I32" i="14"/>
  <c r="I37"/>
  <c r="I40"/>
  <c r="H41"/>
  <c r="I42"/>
  <c r="H45"/>
  <c r="I46"/>
  <c r="H47"/>
  <c r="I48"/>
  <c r="H49"/>
  <c r="I50"/>
  <c r="H51"/>
  <c r="H56"/>
  <c r="I62"/>
  <c r="I66"/>
  <c r="H67"/>
  <c r="I68"/>
  <c r="H69"/>
  <c r="I70"/>
  <c r="H18" i="13"/>
  <c r="I16"/>
  <c r="H17"/>
  <c r="H22"/>
  <c r="I23"/>
  <c r="H24"/>
  <c r="I26"/>
  <c r="H30"/>
  <c r="I31"/>
  <c r="H32"/>
  <c r="H37"/>
  <c r="H40"/>
  <c r="I41"/>
  <c r="H42"/>
  <c r="I45"/>
  <c r="H46"/>
  <c r="I47"/>
  <c r="H48"/>
  <c r="I49"/>
  <c r="H50"/>
  <c r="I51"/>
  <c r="I56"/>
  <c r="H62"/>
  <c r="H66"/>
  <c r="I67"/>
  <c r="H68"/>
  <c r="I69"/>
  <c r="H70"/>
  <c r="H87"/>
  <c r="I88"/>
  <c r="I48" i="12"/>
  <c r="I46"/>
  <c r="I69"/>
  <c r="I67"/>
  <c r="I47"/>
  <c r="I45"/>
  <c r="I65"/>
  <c r="I68"/>
  <c r="I66"/>
  <c r="H30"/>
  <c r="I31"/>
  <c r="H32"/>
  <c r="H37"/>
  <c r="H40"/>
  <c r="I41"/>
  <c r="H42"/>
  <c r="I49"/>
  <c r="H50"/>
  <c r="I51"/>
  <c r="I56"/>
  <c r="H61"/>
  <c r="H30" i="11"/>
  <c r="I31"/>
  <c r="H32"/>
  <c r="I33"/>
  <c r="H38"/>
  <c r="H41"/>
  <c r="H43"/>
  <c r="H52"/>
  <c r="H18" i="10"/>
  <c r="H16"/>
  <c r="I17"/>
  <c r="I30"/>
  <c r="H31"/>
  <c r="I32"/>
  <c r="H33"/>
  <c r="I38"/>
  <c r="H41"/>
  <c r="H49"/>
  <c r="I87" i="8"/>
  <c r="I86"/>
  <c r="I62"/>
  <c r="I89" i="13" l="1"/>
  <c r="I111" s="1"/>
  <c r="I97" i="12"/>
  <c r="I91" i="10"/>
  <c r="I107" i="14"/>
  <c r="H59" i="8" l="1"/>
  <c r="I58"/>
  <c r="H58"/>
  <c r="I54"/>
  <c r="F54"/>
  <c r="H54" s="1"/>
  <c r="H53"/>
  <c r="F52"/>
  <c r="H52" s="1"/>
  <c r="F51"/>
  <c r="H51" s="1"/>
  <c r="H50"/>
  <c r="F49"/>
  <c r="H49" s="1"/>
  <c r="F48"/>
  <c r="H48" s="1"/>
  <c r="F47"/>
  <c r="H47" s="1"/>
  <c r="F46"/>
  <c r="H46" s="1"/>
  <c r="H57" l="1"/>
  <c r="I50"/>
  <c r="I93" l="1"/>
  <c r="I94" i="11"/>
</calcChain>
</file>

<file path=xl/sharedStrings.xml><?xml version="1.0" encoding="utf-8"?>
<sst xmlns="http://schemas.openxmlformats.org/spreadsheetml/2006/main" count="2765" uniqueCount="355">
  <si>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</si>
  <si>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</si>
  <si>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</si>
  <si>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</si>
  <si>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</si>
  <si>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</si>
  <si>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</si>
  <si>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</si>
  <si>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</si>
  <si>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</si>
  <si>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</si>
  <si>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</si>
  <si>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</si>
  <si>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</si>
  <si>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</si>
  <si>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</si>
  <si>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</si>
  <si>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</si>
  <si>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</si>
  <si>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</si>
  <si>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</si>
  <si>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</si>
  <si>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</si>
  <si>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</si>
  <si>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</si>
  <si>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</si>
  <si>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</si>
  <si>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</si>
  <si>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</si>
  <si>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</si>
  <si>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</si>
  <si>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</si>
  <si>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</si>
  <si>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</si>
  <si>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</si>
  <si>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</si>
  <si>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</si>
  <si>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</si>
  <si>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</si>
  <si>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</si>
  <si>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</si>
  <si>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</si>
  <si>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</si>
  <si>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</si>
  <si>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</si>
  <si>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</si>
  <si>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</si>
  <si>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</si>
  <si>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</si>
  <si>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</si>
  <si>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</si>
  <si>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</si>
  <si>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</si>
  <si>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</si>
  <si>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</si>
  <si>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</si>
  <si>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</si>
  <si>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</si>
  <si>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</si>
  <si>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</si>
  <si>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</si>
  <si>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</si>
  <si>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</si>
  <si>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</si>
  <si>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</si>
  <si>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</si>
  <si>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</si>
  <si>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</si>
  <si>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</si>
  <si>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</si>
  <si>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</si>
  <si>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</si>
  <si>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</si>
  <si>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</si>
  <si>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</si>
  <si>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</si>
  <si>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</si>
  <si>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</si>
  <si>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</si>
  <si>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</si>
  <si>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</si>
  <si>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</si>
  <si>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</si>
  <si>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Замена ламп ДРЛ</t>
  </si>
  <si>
    <t>генеральный директор Куканов Ю.Л.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</si>
  <si>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</si>
  <si>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</si>
  <si>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</si>
  <si>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</si>
  <si>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100м2</t>
  </si>
  <si>
    <t>Мытье окон</t>
  </si>
  <si>
    <t>10м2</t>
  </si>
  <si>
    <t xml:space="preserve">1 раз в год     </t>
  </si>
  <si>
    <t>Влажная протирка подоконников</t>
  </si>
  <si>
    <t xml:space="preserve">1 раз в год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</si>
  <si>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</si>
  <si>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</si>
  <si>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</si>
  <si>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</si>
  <si>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</si>
  <si>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Влажная протирка шкафов для щитов и слаботочн. 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</si>
  <si>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</si>
  <si>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</si>
  <si>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</si>
  <si>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</si>
  <si>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</si>
  <si>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</si>
  <si>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</si>
  <si>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</si>
  <si>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</si>
  <si>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</si>
  <si>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</si>
  <si>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</si>
  <si>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</si>
  <si>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</si>
  <si>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</si>
  <si>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</si>
  <si>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</si>
  <si>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</si>
  <si>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</si>
  <si>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</si>
  <si>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</si>
  <si>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№2 по ул.Нефтяников пгт.Ярега
</t>
  </si>
  <si>
    <t>Сдвигание снега в дни снегопада (проезды)</t>
  </si>
  <si>
    <t>12 раз за сезон</t>
  </si>
  <si>
    <t>Сдвигание снега в дни снегопада (крыльца, тротуары)</t>
  </si>
  <si>
    <t>1м3</t>
  </si>
  <si>
    <t>24 раза за сезон</t>
  </si>
  <si>
    <t>Осмотр рулонной кровли</t>
  </si>
  <si>
    <t xml:space="preserve">Очистка водостоков от наледи </t>
  </si>
  <si>
    <t>Очистка внутреннего водостока</t>
  </si>
  <si>
    <t>водосток</t>
  </si>
  <si>
    <t>Смена выключателей</t>
  </si>
  <si>
    <t>Смена патронов</t>
  </si>
  <si>
    <t>АКТ №1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</si>
  <si>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д.2</t>
    </r>
  </si>
  <si>
    <t>III. Проведение технических осмотров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</si>
  <si>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</si>
  <si>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</si>
  <si>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</si>
  <si>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</si>
  <si>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Очистка чердака, подвала от мусора</t>
  </si>
  <si>
    <t>Установка хомута диаметром до 50 мм</t>
  </si>
  <si>
    <t>Итого затраты за месяц</t>
  </si>
  <si>
    <t>АКТ №2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</si>
  <si>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</si>
  <si>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</si>
  <si>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№3</t>
  </si>
  <si>
    <t>III. Содержание общего имущества МКД</t>
  </si>
  <si>
    <t>IV. Прочие услуги</t>
  </si>
  <si>
    <t>АКТ №4</t>
  </si>
  <si>
    <t>Смена арматуры - вентилей и клапанов обратных муфтовых диаметром до 20 мм</t>
  </si>
  <si>
    <t>1 шт</t>
  </si>
  <si>
    <t>АКТ №5</t>
  </si>
  <si>
    <t>АКТ №6</t>
  </si>
  <si>
    <t>АКТ №7</t>
  </si>
  <si>
    <t>АКТ №8</t>
  </si>
  <si>
    <t>Смена арматуры - вентилей и клапанов обратных муфтовых диаметром до 32 мм</t>
  </si>
  <si>
    <t>Подключение и отключение сварочного аппарата</t>
  </si>
  <si>
    <t>АКТ №9</t>
  </si>
  <si>
    <t>АКТ №10</t>
  </si>
  <si>
    <t>АКТ №11</t>
  </si>
  <si>
    <t>АКТ №12</t>
  </si>
  <si>
    <t>ООО «Движение»</t>
  </si>
  <si>
    <t>м</t>
  </si>
  <si>
    <t>Работа автовышки</t>
  </si>
  <si>
    <t>маш-час</t>
  </si>
  <si>
    <t>2 раза в неделю 52 раза в сезон</t>
  </si>
  <si>
    <t>52 раза за сезон</t>
  </si>
  <si>
    <t>по мере необходимости</t>
  </si>
  <si>
    <t>Подметание снега с тротуара, крылец, конт. площадок, входных площадок</t>
  </si>
  <si>
    <t>Очистка вручную от снега и наледи люков канализационных и водопроводных колодцев</t>
  </si>
  <si>
    <t>Очистка карниза кровли от наледи, снега и сосулек</t>
  </si>
  <si>
    <t>Водоснабжение, канализация</t>
  </si>
  <si>
    <t>Техническое обслуживание внутренних сетей водопровода и канализации</t>
  </si>
  <si>
    <t>руб/м2 в мес</t>
  </si>
  <si>
    <t>Снятие показаний  с общедомовых приборов учета холодной воды</t>
  </si>
  <si>
    <t>Работы по управлению, начислению, сбору платы за содержание и ремонт, и взысканию задолжностей</t>
  </si>
  <si>
    <t>1м2</t>
  </si>
  <si>
    <t>Смена дверных приборов /замки навесные)</t>
  </si>
  <si>
    <t>Смена плавкой вставки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</si>
  <si>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06.11.2018г.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</si>
  <si>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4 шт</t>
  </si>
  <si>
    <t>Осмотр пластиковых заполнений проемов</t>
  </si>
  <si>
    <t>Смена светодиодного светильника внутреннего освещения ( со стоимостью светильника)</t>
  </si>
  <si>
    <t>100 шт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</si>
  <si>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</si>
  <si>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</si>
  <si>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</si>
  <si>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</si>
  <si>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</si>
  <si>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21 раз</t>
  </si>
  <si>
    <t>5 раз</t>
  </si>
  <si>
    <t>25 раз</t>
  </si>
  <si>
    <t>7 раз</t>
  </si>
  <si>
    <t xml:space="preserve">2 раза </t>
  </si>
  <si>
    <t>1 раз</t>
  </si>
  <si>
    <t>1 м-час</t>
  </si>
  <si>
    <t>3 шт</t>
  </si>
  <si>
    <t>2маш-часа</t>
  </si>
  <si>
    <t>10 м2</t>
  </si>
  <si>
    <t>Пропан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</si>
  <si>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06.08.2018г.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</si>
  <si>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Манжета 110</t>
  </si>
  <si>
    <t>9 раз</t>
  </si>
  <si>
    <t>0,5ч</t>
  </si>
  <si>
    <t>6 раз</t>
  </si>
  <si>
    <t>3 раза</t>
  </si>
  <si>
    <t>10 м</t>
  </si>
  <si>
    <t>под.№8</t>
  </si>
  <si>
    <t>за период с 01.01.2020 г. по 31.01.2020 г.</t>
  </si>
  <si>
    <t xml:space="preserve">Осмотр водопроводов, канализации, отопления </t>
  </si>
  <si>
    <t>подсобное помещение</t>
  </si>
  <si>
    <t>за период с 01.02.2020 г. по 28.02.2020 г.</t>
  </si>
  <si>
    <t>10, 18 и 20 февраля</t>
  </si>
  <si>
    <t>19 февр.</t>
  </si>
  <si>
    <t>1 шт, под.№4 , 4 этаж</t>
  </si>
  <si>
    <t>Внеплановый осмотр рулонных кровель</t>
  </si>
  <si>
    <t>Смена внутренних трубопроводов на полипропиленовые трубы PN 25 Dу 25</t>
  </si>
  <si>
    <t>Радиатор 7 секций</t>
  </si>
  <si>
    <t>Осмотр электросетей, армазуры и электрооборудования на лестничных клетках</t>
  </si>
  <si>
    <t>кв.9</t>
  </si>
  <si>
    <t>кв.80. ГВС</t>
  </si>
  <si>
    <t>за период с 01.03.2020 г. по 31.03.2020 г.</t>
  </si>
  <si>
    <t>3 марта</t>
  </si>
  <si>
    <t>Смена пакетных выключателей ( без материалов)</t>
  </si>
  <si>
    <t>ГВС кв.41</t>
  </si>
  <si>
    <t>за период с 01.04.2020 г. по 30.04.2020 г.</t>
  </si>
  <si>
    <t xml:space="preserve">Очистка канализационной сети внутренеей </t>
  </si>
  <si>
    <t>Работа ротенбергера</t>
  </si>
  <si>
    <t>час</t>
  </si>
  <si>
    <t>ГВС кв.74</t>
  </si>
  <si>
    <t>Смена полипропиленовых канализационных труб ПП Dу 100*1000</t>
  </si>
  <si>
    <t>кв.8</t>
  </si>
  <si>
    <t>Смена дверных приборов - петли</t>
  </si>
  <si>
    <t>под.№1 чердак</t>
  </si>
  <si>
    <t>под.№8 чердак</t>
  </si>
  <si>
    <t>Устройство трапов</t>
  </si>
  <si>
    <t>100 м</t>
  </si>
  <si>
    <t>под.№5</t>
  </si>
  <si>
    <t>за период с 01.05.2020 г. по 31.05.2020 г.</t>
  </si>
  <si>
    <t>Смена внутренних трубопроводов на полипропиленовые трубы PN 25 Dу 32</t>
  </si>
  <si>
    <t>Смена внутренних трубопроводов на полипропиленовые трубы PN 25 Dу 20</t>
  </si>
  <si>
    <t>Замена кран-буксы ( без материалов)</t>
  </si>
  <si>
    <t>Убрали трапы</t>
  </si>
  <si>
    <t>кв.56</t>
  </si>
  <si>
    <t>ГВС. кв.15</t>
  </si>
  <si>
    <t>ГВС 2 м кв.15</t>
  </si>
  <si>
    <t>ГВС подвал</t>
  </si>
  <si>
    <t>4 шт. подвал</t>
  </si>
  <si>
    <t>4 раза</t>
  </si>
  <si>
    <t>2. Всего за период с 01.05.2020 по 31.05.2020 выполнено работ (оказано услуг) на общую сумму: 136578,11 руб.</t>
  </si>
  <si>
    <t>(сто тридцать шесть тысяч пятьсот семьдесят восемь рублей 11 копеек)</t>
  </si>
  <si>
    <t>за период с 01.06.2020 г. по 30.06.2020 г.</t>
  </si>
  <si>
    <t xml:space="preserve">1 раз      </t>
  </si>
  <si>
    <t>2 маш/час</t>
  </si>
  <si>
    <t>Ремонт рулонной кровли</t>
  </si>
  <si>
    <t xml:space="preserve">Гидроизол </t>
  </si>
  <si>
    <t xml:space="preserve">Битум </t>
  </si>
  <si>
    <t>Герметизация межпанельных швов</t>
  </si>
  <si>
    <t>м.п</t>
  </si>
  <si>
    <t>Смена плавкой вставки ( без материалов)</t>
  </si>
  <si>
    <t>Ремонт групповых щитков на лестничной клетке со сменой автоматов</t>
  </si>
  <si>
    <t>Вскрыли шахту для работ ВДИС</t>
  </si>
  <si>
    <t>руб</t>
  </si>
  <si>
    <t xml:space="preserve">1 раз    </t>
  </si>
  <si>
    <t xml:space="preserve">1 раз   </t>
  </si>
  <si>
    <t>кв.104-3м.п.; кв.14- 0,5 м.п</t>
  </si>
  <si>
    <t>1 м ГВС подвал</t>
  </si>
  <si>
    <t>ГВС с 20 кв до подвала</t>
  </si>
  <si>
    <t>кв.17</t>
  </si>
  <si>
    <t>п/с кв.114 - 1 шт.; ГВС подвал 1 шт.; ГВС кв.74 - 1 шт.</t>
  </si>
  <si>
    <t>кв.104-5 м2; кв.89- 60 м2</t>
  </si>
  <si>
    <t>3 шт.</t>
  </si>
  <si>
    <t>за период с 01.07.2020 г. по 31.07.2020 г.</t>
  </si>
  <si>
    <t>Перекрыли стояк ГВС</t>
  </si>
  <si>
    <t>за период с 01.08.2020 г. по 31.08.2020 г.</t>
  </si>
  <si>
    <t>Установка дополнительного отлива</t>
  </si>
  <si>
    <t>Смена полипропиленовых канализационных труб ПП Dу 100*2000</t>
  </si>
  <si>
    <t>Отвод 100*90</t>
  </si>
  <si>
    <t>Переход чугун-пластик 110</t>
  </si>
  <si>
    <t>Смена ламп ДРЛ</t>
  </si>
  <si>
    <t>кв.39 с/о 0,5 м</t>
  </si>
  <si>
    <t>с/о подвал 4 шт.</t>
  </si>
  <si>
    <t>с/о подвал 2 шт.</t>
  </si>
  <si>
    <t>под.№2 и 6</t>
  </si>
  <si>
    <t>подвал под под.№3</t>
  </si>
  <si>
    <t>1 м кв.24/27</t>
  </si>
  <si>
    <t>Усановка скамейки ( под.№7)</t>
  </si>
  <si>
    <t>за период с 01.09.2020 г. по 30.09.2020 г.</t>
  </si>
  <si>
    <t>Смена внутренних трубопроводов на полипропиленовые трубы PN 20 Dу 20</t>
  </si>
  <si>
    <t>Смена радиаторов отопительных 7 секции</t>
  </si>
  <si>
    <t>Замена тройника dу 20</t>
  </si>
  <si>
    <t>Ремонт и регулировка доводчика (без стоимости доводчика)</t>
  </si>
  <si>
    <t>1шт.</t>
  </si>
  <si>
    <t>кв.87</t>
  </si>
  <si>
    <t>1 шт.- ГВС кв.16; ГВС кв.118 -1 шт.</t>
  </si>
  <si>
    <t>8 м ГВС с подвала</t>
  </si>
  <si>
    <t>ГВС кв.58</t>
  </si>
  <si>
    <t>ГВС подвал 1 м</t>
  </si>
  <si>
    <t>4 шт. ГВС подвал</t>
  </si>
  <si>
    <t>3 шт. ГВС подвал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</si>
  <si>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</si>
  <si>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06.08.2018г.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</si>
  <si>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Смена внутренних трубопроводов на полипропиленовые трубы PN 20 Dу 25</t>
  </si>
  <si>
    <t>Ремонт ступеней деревянных</t>
  </si>
  <si>
    <t>10 ступ.</t>
  </si>
  <si>
    <t>1 шт под.№7</t>
  </si>
  <si>
    <t>под.№7 в подвал.</t>
  </si>
  <si>
    <t>15 м ГВС до подвала с кв.91</t>
  </si>
  <si>
    <t>2 м ГВС кв.5; 1 м ХВС кв.91</t>
  </si>
  <si>
    <t>ГВС кв.112</t>
  </si>
  <si>
    <t>1 м подвод к п/с кв.91</t>
  </si>
  <si>
    <t>генеральный директор Кочанова И.Л.</t>
  </si>
  <si>
    <t>за период с 01.11.2020 г. по 30.11.2020 г.</t>
  </si>
  <si>
    <t>Перекрытие стояк ГВС/открытие</t>
  </si>
  <si>
    <t>Смена ламп накаливания ( без материалов)</t>
  </si>
  <si>
    <t>10шт</t>
  </si>
  <si>
    <t>2 м вертикальный</t>
  </si>
  <si>
    <t>1 шт.под.№7</t>
  </si>
  <si>
    <t>ГВС 1 шт. кв.53</t>
  </si>
  <si>
    <t>за период с 01.12.2020 г. по 31.12.2020 г.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</si>
  <si>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06.11.2018г. № 29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</si>
  <si>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Смена арматуры - вентилей и клапанов обратных муфтовых диаметром до 20 мм ( без материалов)</t>
  </si>
  <si>
    <t>Утепление стены тамбура под.№1</t>
  </si>
  <si>
    <t>руб.</t>
  </si>
  <si>
    <t>ГВС кв.81 1 шт.</t>
  </si>
  <si>
    <t>0,8 часа ( 18 и 21 дек.)</t>
  </si>
  <si>
    <t>2. Всего за период с 01.01.2020 по 31.01.2020 выполнено работ (оказано услуг) на общую сумму: 92383,60 руб.</t>
  </si>
  <si>
    <t>(девяносто две тысячи триста восемьдесят три рубля 60 копеек)</t>
  </si>
  <si>
    <t>2. Всего за период с 01.02.2020 по 28.02.2020 выполнено работ (оказано услуг) на общую сумму: 110137,08 руб.</t>
  </si>
  <si>
    <t>(сто десять тысяч сто тридцать семь рублей 08 копеек)</t>
  </si>
  <si>
    <t>2. Всего за период с 01.03.2020 по 31.03.2020 выполнено работ (оказано услуг) на общую сумму: 86369,48 руб.</t>
  </si>
  <si>
    <t>(восемьдесят шесть тысяч триста шестьдесят девять рублей 48 копеек)</t>
  </si>
  <si>
    <t>6 м</t>
  </si>
  <si>
    <t>2. Всего за период с 01.04.2020 по 30.04.2020 выполнено работ (оказано услуг) на общую сумму: 84987,20 руб.</t>
  </si>
  <si>
    <t>(восемьдесят четыре тысячи девятьсот восемьдесят семь рублей 20 копеек)</t>
  </si>
  <si>
    <t>25 м</t>
  </si>
  <si>
    <t>2. Всего за период с 01.06.2020 по 30.06.2020 выполнено работ (оказано услуг) на общую сумму: 144764,23 руб.</t>
  </si>
  <si>
    <t>(сто сорок четыре тысячи семьсот шестьдесят четыре рубля 23 копейки)</t>
  </si>
  <si>
    <t>7 м</t>
  </si>
  <si>
    <t>2. Всего за период с 01.07.2020 по 31.07.2020 выполнено работ (оказано услуг) на общую сумму: 243599,04 руб.</t>
  </si>
  <si>
    <t>(двести сорок три тысячи пятьсот девяносто девять рублей 04 копейки)</t>
  </si>
  <si>
    <t>8 м</t>
  </si>
  <si>
    <t>2. Всего за период с 01.08.2020 по 31.08.2020 выполнено работ (оказано услуг) на общую сумму: 98534,39 руб.</t>
  </si>
  <si>
    <t>(девяносто восемь тысяч пятьсот тридцать четыре рубля 39 копеек)</t>
  </si>
  <si>
    <t>2. Всего за период с 01.09.2020 по 30.09.2020 выполнено работ (оказано услуг) на общую сумму: 147559,81 руб.</t>
  </si>
  <si>
    <t>(сто сорок семь тысяч пятьсот пятьдесят девять рублей 81 копейка)</t>
  </si>
  <si>
    <t>2. Всего за период с 01.10.2020 по 31.10.2020 выполнено работ (оказано услуг) на общую сумму: 112563,79 руб.</t>
  </si>
  <si>
    <t>(сто двенадцать тысяч пятьсот шестьдесят три рубля 79 копеек)</t>
  </si>
  <si>
    <t>4 м</t>
  </si>
  <si>
    <t>2. Всего за период с 01.11.20 по 30.11.2020 выполнено работ (оказано услуг) на общую сумму: 107513,48 руб.</t>
  </si>
  <si>
    <t xml:space="preserve">(сто семь тысяч пятьсот тринадцать рублей 48 копеек)  </t>
  </si>
  <si>
    <t>2. Всего за период с 01.12.2020 по 31.12.2020 выполнено работ (оказано услуг) на общую сумму: 101472,45 руб.</t>
  </si>
  <si>
    <t>(сто одна тысяча четыреста семьдесят два рубля 45 копеек)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</si>
</sst>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u/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3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4" fontId="11" fillId="0" borderId="18" xfId="0" applyNumberFormat="1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 wrapText="1"/>
    </xf>
    <xf numFmtId="4" fontId="20" fillId="2" borderId="7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vertical="center"/>
    </xf>
    <xf numFmtId="0" fontId="22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view="pageBreakPreview" topLeftCell="A82" zoomScale="60" workbookViewId="0">
      <selection activeCell="J100" sqref="J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85546875" hidden="1" customWidth="1"/>
    <col min="6" max="6" width="16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134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210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57"/>
      <c r="C6" s="57"/>
      <c r="D6" s="57"/>
      <c r="E6" s="57"/>
      <c r="F6" s="68"/>
      <c r="G6" s="57"/>
      <c r="H6" s="68"/>
      <c r="I6" s="30">
        <v>43861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181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89.25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7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196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F18/18*G18*1</f>
        <v>4468.7811599999995</v>
      </c>
      <c r="J18" s="22"/>
      <c r="K18" s="8"/>
      <c r="L18" s="8"/>
      <c r="M18" s="8"/>
    </row>
    <row r="19" spans="1:13" ht="19.5" hidden="1" customHeight="1">
      <c r="A19" s="29"/>
      <c r="B19" s="32" t="s">
        <v>90</v>
      </c>
      <c r="C19" s="136" t="s">
        <v>91</v>
      </c>
      <c r="D19" s="32" t="s">
        <v>92</v>
      </c>
      <c r="E19" s="149">
        <v>124.8</v>
      </c>
      <c r="F19" s="137">
        <f>SUM(E19/10)</f>
        <v>12.48</v>
      </c>
      <c r="G19" s="137">
        <v>232.1</v>
      </c>
      <c r="H19" s="86">
        <f t="shared" si="0"/>
        <v>2.8966080000000001</v>
      </c>
      <c r="I19" s="13">
        <f>F19/2*G19</f>
        <v>1448.3040000000001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6" t="s">
        <v>89</v>
      </c>
      <c r="D20" s="32" t="s">
        <v>190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7.25" customHeight="1">
      <c r="A21" s="29">
        <v>5</v>
      </c>
      <c r="B21" s="32" t="s">
        <v>96</v>
      </c>
      <c r="C21" s="136" t="s">
        <v>89</v>
      </c>
      <c r="D21" s="32" t="s">
        <v>190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26.25" hidden="1" customHeight="1">
      <c r="A22" s="29"/>
      <c r="B22" s="32" t="s">
        <v>97</v>
      </c>
      <c r="C22" s="136" t="s">
        <v>51</v>
      </c>
      <c r="D22" s="32" t="s">
        <v>92</v>
      </c>
      <c r="E22" s="149">
        <v>820.5</v>
      </c>
      <c r="F22" s="137">
        <f>SUM(E22/100)</f>
        <v>8.2050000000000001</v>
      </c>
      <c r="G22" s="137">
        <v>367.27</v>
      </c>
      <c r="H22" s="86">
        <f t="shared" si="0"/>
        <v>3.0134503500000003</v>
      </c>
      <c r="I22" s="13">
        <f t="shared" ref="I22:I26" si="1">F22*G22</f>
        <v>3013.4503500000001</v>
      </c>
      <c r="J22" s="22"/>
      <c r="K22" s="8"/>
      <c r="L22" s="8"/>
      <c r="M22" s="8"/>
    </row>
    <row r="23" spans="1:13" ht="29.25" hidden="1" customHeight="1">
      <c r="A23" s="29"/>
      <c r="B23" s="32" t="s">
        <v>98</v>
      </c>
      <c r="C23" s="136" t="s">
        <v>51</v>
      </c>
      <c r="D23" s="32" t="s">
        <v>92</v>
      </c>
      <c r="E23" s="156">
        <v>60.25</v>
      </c>
      <c r="F23" s="137">
        <f>SUM(E23/100)</f>
        <v>0.60250000000000004</v>
      </c>
      <c r="G23" s="137">
        <v>60.41</v>
      </c>
      <c r="H23" s="86">
        <f t="shared" si="0"/>
        <v>3.6397025E-2</v>
      </c>
      <c r="I23" s="13">
        <f t="shared" si="1"/>
        <v>36.397024999999999</v>
      </c>
      <c r="J23" s="22"/>
      <c r="K23" s="8"/>
      <c r="L23" s="8"/>
      <c r="M23" s="8"/>
    </row>
    <row r="24" spans="1:13" ht="24.75" hidden="1" customHeight="1">
      <c r="A24" s="29"/>
      <c r="B24" s="32" t="s">
        <v>93</v>
      </c>
      <c r="C24" s="136" t="s">
        <v>51</v>
      </c>
      <c r="D24" s="32" t="s">
        <v>94</v>
      </c>
      <c r="E24" s="149">
        <v>19.149999999999999</v>
      </c>
      <c r="F24" s="137">
        <f>E24/100</f>
        <v>0.19149999999999998</v>
      </c>
      <c r="G24" s="137">
        <v>531.55999999999995</v>
      </c>
      <c r="H24" s="86">
        <f t="shared" si="0"/>
        <v>0.10179373999999997</v>
      </c>
      <c r="I24" s="13">
        <f t="shared" si="1"/>
        <v>101.79373999999997</v>
      </c>
      <c r="J24" s="22"/>
      <c r="K24" s="8"/>
      <c r="L24" s="8"/>
      <c r="M24" s="8"/>
    </row>
    <row r="25" spans="1:13" ht="26.25" hidden="1" customHeight="1">
      <c r="A25" s="40">
        <v>6</v>
      </c>
      <c r="B25" s="32" t="s">
        <v>100</v>
      </c>
      <c r="C25" s="136" t="s">
        <v>51</v>
      </c>
      <c r="D25" s="32" t="s">
        <v>52</v>
      </c>
      <c r="E25" s="149">
        <v>31.5</v>
      </c>
      <c r="F25" s="137">
        <v>0.32</v>
      </c>
      <c r="G25" s="137">
        <v>294.77999999999997</v>
      </c>
      <c r="H25" s="86">
        <f t="shared" si="0"/>
        <v>9.43296E-2</v>
      </c>
      <c r="I25" s="13">
        <f t="shared" si="1"/>
        <v>94.329599999999999</v>
      </c>
      <c r="J25" s="22"/>
      <c r="K25" s="8"/>
      <c r="L25" s="8"/>
      <c r="M25" s="8"/>
    </row>
    <row r="26" spans="1:13" ht="26.25" hidden="1" customHeight="1">
      <c r="A26" s="40"/>
      <c r="B26" s="32" t="s">
        <v>99</v>
      </c>
      <c r="C26" s="136" t="s">
        <v>51</v>
      </c>
      <c r="D26" s="32" t="s">
        <v>92</v>
      </c>
      <c r="E26" s="149">
        <v>37.5</v>
      </c>
      <c r="F26" s="137">
        <f>SUM(E26/100)</f>
        <v>0.375</v>
      </c>
      <c r="G26" s="137">
        <v>710.37</v>
      </c>
      <c r="H26" s="86">
        <f t="shared" si="0"/>
        <v>0.26638875000000001</v>
      </c>
      <c r="I26" s="13">
        <f t="shared" si="1"/>
        <v>266.38875000000002</v>
      </c>
      <c r="J26" s="22"/>
      <c r="K26" s="8"/>
      <c r="L26" s="8"/>
      <c r="M26" s="8"/>
    </row>
    <row r="27" spans="1:13" ht="15.75" customHeight="1">
      <c r="A27" s="40">
        <v>6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si="0"/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3" t="s">
        <v>81</v>
      </c>
      <c r="B28" s="224"/>
      <c r="C28" s="224"/>
      <c r="D28" s="224"/>
      <c r="E28" s="224"/>
      <c r="F28" s="224"/>
      <c r="G28" s="224"/>
      <c r="H28" s="224"/>
      <c r="I28" s="225"/>
      <c r="J28" s="22"/>
      <c r="K28" s="8"/>
      <c r="L28" s="8"/>
      <c r="M28" s="8"/>
    </row>
    <row r="29" spans="1:13" ht="15.7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82" t="s">
        <v>101</v>
      </c>
      <c r="C30" s="83" t="s">
        <v>102</v>
      </c>
      <c r="D30" s="82" t="s">
        <v>103</v>
      </c>
      <c r="E30" s="85">
        <v>1304.45</v>
      </c>
      <c r="F30" s="85">
        <f>SUM(E30*52/1000)</f>
        <v>67.831400000000002</v>
      </c>
      <c r="G30" s="85">
        <v>155.88999999999999</v>
      </c>
      <c r="H30" s="86">
        <f t="shared" ref="H30:H35" si="2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31.5" hidden="1" customHeight="1">
      <c r="A31" s="40">
        <v>3</v>
      </c>
      <c r="B31" s="82" t="s">
        <v>139</v>
      </c>
      <c r="C31" s="83" t="s">
        <v>102</v>
      </c>
      <c r="D31" s="82" t="s">
        <v>104</v>
      </c>
      <c r="E31" s="85">
        <v>287.83999999999997</v>
      </c>
      <c r="F31" s="85">
        <f>SUM(E31*78/1000)</f>
        <v>22.451519999999995</v>
      </c>
      <c r="G31" s="85">
        <v>258.63</v>
      </c>
      <c r="H31" s="86">
        <f t="shared" si="2"/>
        <v>5.8066366175999979</v>
      </c>
      <c r="I31" s="13">
        <f t="shared" ref="I31:I33" si="3">F31/6*G31</f>
        <v>967.77276959999972</v>
      </c>
      <c r="J31" s="22"/>
      <c r="K31" s="8"/>
      <c r="L31" s="8"/>
      <c r="M31" s="8"/>
    </row>
    <row r="32" spans="1:13" ht="15.75" hidden="1" customHeight="1">
      <c r="A32" s="40">
        <v>4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si="2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82" t="s">
        <v>105</v>
      </c>
      <c r="C33" s="83" t="s">
        <v>31</v>
      </c>
      <c r="D33" s="82" t="s">
        <v>61</v>
      </c>
      <c r="E33" s="89">
        <v>0.33333333333333331</v>
      </c>
      <c r="F33" s="85">
        <f>155/3</f>
        <v>51.666666666666664</v>
      </c>
      <c r="G33" s="85">
        <v>56.69</v>
      </c>
      <c r="H33" s="86">
        <f t="shared" si="2"/>
        <v>2.9289833333333331</v>
      </c>
      <c r="I33" s="13">
        <f t="shared" si="3"/>
        <v>488.16388888888883</v>
      </c>
      <c r="J33" s="23"/>
    </row>
    <row r="34" spans="1:14" ht="15.75" hidden="1" customHeight="1">
      <c r="A34" s="40">
        <v>4</v>
      </c>
      <c r="B34" s="82" t="s">
        <v>63</v>
      </c>
      <c r="C34" s="83" t="s">
        <v>33</v>
      </c>
      <c r="D34" s="82" t="s">
        <v>65</v>
      </c>
      <c r="E34" s="84"/>
      <c r="F34" s="85">
        <v>3</v>
      </c>
      <c r="G34" s="85">
        <v>191.32</v>
      </c>
      <c r="H34" s="86">
        <f t="shared" si="2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82" t="s">
        <v>64</v>
      </c>
      <c r="C35" s="83" t="s">
        <v>32</v>
      </c>
      <c r="D35" s="82" t="s">
        <v>65</v>
      </c>
      <c r="E35" s="84"/>
      <c r="F35" s="85">
        <v>2</v>
      </c>
      <c r="G35" s="85">
        <v>1136.32</v>
      </c>
      <c r="H35" s="86">
        <f t="shared" si="2"/>
        <v>2.27264</v>
      </c>
      <c r="I35" s="13">
        <v>0</v>
      </c>
      <c r="J35" s="23"/>
    </row>
    <row r="36" spans="1:14" ht="15.75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5.75" customHeight="1">
      <c r="A37" s="33">
        <v>7</v>
      </c>
      <c r="B37" s="152" t="s">
        <v>27</v>
      </c>
      <c r="C37" s="136" t="s">
        <v>32</v>
      </c>
      <c r="D37" s="179">
        <v>43839</v>
      </c>
      <c r="E37" s="149"/>
      <c r="F37" s="137">
        <v>8</v>
      </c>
      <c r="G37" s="137">
        <v>2083</v>
      </c>
      <c r="H37" s="86">
        <f t="shared" ref="H37:H44" si="4">SUM(F37*G37/1000)</f>
        <v>16.664000000000001</v>
      </c>
      <c r="I37" s="13">
        <f>G37*0.5</f>
        <v>1041.5</v>
      </c>
      <c r="J37" s="23"/>
    </row>
    <row r="38" spans="1:14" ht="15.75" customHeight="1">
      <c r="A38" s="33">
        <v>8</v>
      </c>
      <c r="B38" s="152" t="s">
        <v>123</v>
      </c>
      <c r="C38" s="153" t="s">
        <v>30</v>
      </c>
      <c r="D38" s="152" t="s">
        <v>192</v>
      </c>
      <c r="E38" s="154">
        <v>287.83999999999997</v>
      </c>
      <c r="F38" s="154">
        <f>SUM(E38*30/1000)</f>
        <v>8.6351999999999993</v>
      </c>
      <c r="G38" s="154">
        <v>2868.09</v>
      </c>
      <c r="H38" s="86">
        <f t="shared" si="4"/>
        <v>24.766530767999999</v>
      </c>
      <c r="I38" s="13">
        <f>F38/6*G38</f>
        <v>4127.7551279999998</v>
      </c>
      <c r="J38" s="23"/>
    </row>
    <row r="39" spans="1:14" ht="15.75" customHeight="1">
      <c r="A39" s="33">
        <v>9</v>
      </c>
      <c r="B39" s="152" t="s">
        <v>170</v>
      </c>
      <c r="C39" s="153" t="s">
        <v>30</v>
      </c>
      <c r="D39" s="32" t="s">
        <v>193</v>
      </c>
      <c r="E39" s="149">
        <v>287.83999999999997</v>
      </c>
      <c r="F39" s="154">
        <f>E39*155/1000</f>
        <v>44.615199999999994</v>
      </c>
      <c r="G39" s="137">
        <v>478.42</v>
      </c>
      <c r="H39" s="86">
        <f>G39*F39/1000</f>
        <v>21.344803983999999</v>
      </c>
      <c r="I39" s="13">
        <f>F39/6*G39</f>
        <v>3557.4673306666664</v>
      </c>
      <c r="J39" s="23"/>
    </row>
    <row r="40" spans="1:14" ht="15.75" hidden="1" customHeight="1">
      <c r="A40" s="33">
        <v>7</v>
      </c>
      <c r="B40" s="152" t="s">
        <v>170</v>
      </c>
      <c r="C40" s="153" t="s">
        <v>30</v>
      </c>
      <c r="D40" s="32" t="s">
        <v>107</v>
      </c>
      <c r="E40" s="149">
        <v>287.83999999999997</v>
      </c>
      <c r="F40" s="154">
        <f>E40*155/1000</f>
        <v>44.615199999999994</v>
      </c>
      <c r="G40" s="137">
        <v>478.42</v>
      </c>
      <c r="H40" s="86">
        <f>G40*F40/1000</f>
        <v>21.344803983999999</v>
      </c>
      <c r="I40" s="13">
        <v>0</v>
      </c>
      <c r="J40" s="23"/>
    </row>
    <row r="41" spans="1:14" ht="33.75" customHeight="1">
      <c r="A41" s="33">
        <v>10</v>
      </c>
      <c r="B41" s="32" t="s">
        <v>79</v>
      </c>
      <c r="C41" s="136" t="s">
        <v>102</v>
      </c>
      <c r="D41" s="32" t="s">
        <v>192</v>
      </c>
      <c r="E41" s="137">
        <v>130.6</v>
      </c>
      <c r="F41" s="154">
        <f>SUM(E41*35/1000)</f>
        <v>4.5709999999999997</v>
      </c>
      <c r="G41" s="137">
        <v>7915.6</v>
      </c>
      <c r="H41" s="86">
        <f t="shared" si="4"/>
        <v>36.182207599999998</v>
      </c>
      <c r="I41" s="13">
        <f>F41/6*G41</f>
        <v>6030.367933333333</v>
      </c>
      <c r="J41" s="23"/>
    </row>
    <row r="42" spans="1:14" ht="17.25" hidden="1" customHeight="1">
      <c r="A42" s="33">
        <v>11</v>
      </c>
      <c r="B42" s="32" t="s">
        <v>108</v>
      </c>
      <c r="C42" s="136" t="s">
        <v>102</v>
      </c>
      <c r="D42" s="32" t="s">
        <v>194</v>
      </c>
      <c r="E42" s="137">
        <v>287.83999999999997</v>
      </c>
      <c r="F42" s="154">
        <f>SUM(E42*45/1000)</f>
        <v>12.9528</v>
      </c>
      <c r="G42" s="137">
        <v>584.74</v>
      </c>
      <c r="H42" s="86">
        <f t="shared" si="4"/>
        <v>7.5740202719999994</v>
      </c>
      <c r="I42" s="13">
        <f>F42/7.5*G42</f>
        <v>1009.8693695999999</v>
      </c>
      <c r="J42" s="23"/>
      <c r="L42" s="19"/>
      <c r="M42" s="20"/>
      <c r="N42" s="21"/>
    </row>
    <row r="43" spans="1:14" ht="15.75" hidden="1" customHeight="1">
      <c r="A43" s="33">
        <v>12</v>
      </c>
      <c r="B43" s="152" t="s">
        <v>68</v>
      </c>
      <c r="C43" s="153" t="s">
        <v>33</v>
      </c>
      <c r="D43" s="152"/>
      <c r="E43" s="155"/>
      <c r="F43" s="154">
        <v>0.9</v>
      </c>
      <c r="G43" s="154">
        <v>800</v>
      </c>
      <c r="H43" s="86">
        <f t="shared" si="4"/>
        <v>0.72</v>
      </c>
      <c r="I43" s="13">
        <f>F43/7.5*G43</f>
        <v>96.000000000000014</v>
      </c>
      <c r="J43" s="23"/>
      <c r="L43" s="19"/>
      <c r="M43" s="20"/>
      <c r="N43" s="21"/>
    </row>
    <row r="44" spans="1:14" ht="30.75" customHeight="1">
      <c r="A44" s="144">
        <v>11</v>
      </c>
      <c r="B44" s="152" t="s">
        <v>171</v>
      </c>
      <c r="C44" s="153" t="s">
        <v>102</v>
      </c>
      <c r="D44" s="152" t="s">
        <v>195</v>
      </c>
      <c r="E44" s="155">
        <v>0.6</v>
      </c>
      <c r="F44" s="154">
        <v>0.01</v>
      </c>
      <c r="G44" s="154">
        <v>18798.34</v>
      </c>
      <c r="H44" s="98">
        <f t="shared" si="4"/>
        <v>0.18798340000000002</v>
      </c>
      <c r="I44" s="117">
        <f>F44/6*G44</f>
        <v>31.33056666666667</v>
      </c>
      <c r="J44" s="23"/>
      <c r="L44" s="19"/>
      <c r="M44" s="20"/>
      <c r="N44" s="21"/>
    </row>
    <row r="45" spans="1:14" ht="15.75" customHeight="1">
      <c r="A45" s="226" t="s">
        <v>136</v>
      </c>
      <c r="B45" s="227"/>
      <c r="C45" s="227"/>
      <c r="D45" s="227"/>
      <c r="E45" s="227"/>
      <c r="F45" s="227"/>
      <c r="G45" s="227"/>
      <c r="H45" s="227"/>
      <c r="I45" s="228"/>
      <c r="J45" s="23"/>
      <c r="L45" s="19"/>
      <c r="M45" s="20"/>
      <c r="N45" s="21"/>
    </row>
    <row r="46" spans="1:14" ht="15.75" hidden="1" customHeight="1">
      <c r="A46" s="40">
        <v>15</v>
      </c>
      <c r="B46" s="82" t="s">
        <v>128</v>
      </c>
      <c r="C46" s="83" t="s">
        <v>102</v>
      </c>
      <c r="D46" s="82" t="s">
        <v>41</v>
      </c>
      <c r="E46" s="84">
        <v>1369</v>
      </c>
      <c r="F46" s="85">
        <f>SUM(E46*2/1000)</f>
        <v>2.738</v>
      </c>
      <c r="G46" s="13">
        <v>849.49</v>
      </c>
      <c r="H46" s="86">
        <f t="shared" ref="H46:H54" si="5">SUM(F46*G46/1000)</f>
        <v>2.3259036200000001</v>
      </c>
      <c r="I46" s="13">
        <v>0</v>
      </c>
      <c r="J46" s="23"/>
      <c r="L46" s="19"/>
      <c r="M46" s="20"/>
      <c r="N46" s="21"/>
    </row>
    <row r="47" spans="1:14" ht="15.75" hidden="1" customHeight="1">
      <c r="A47" s="40"/>
      <c r="B47" s="82" t="s">
        <v>34</v>
      </c>
      <c r="C47" s="83" t="s">
        <v>102</v>
      </c>
      <c r="D47" s="82" t="s">
        <v>41</v>
      </c>
      <c r="E47" s="84">
        <v>1418</v>
      </c>
      <c r="F47" s="85">
        <f>SUM(E47*2/1000)</f>
        <v>2.8359999999999999</v>
      </c>
      <c r="G47" s="13">
        <v>579.48</v>
      </c>
      <c r="H47" s="86">
        <f t="shared" si="5"/>
        <v>1.6434052799999999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40">
        <v>16</v>
      </c>
      <c r="B48" s="82" t="s">
        <v>35</v>
      </c>
      <c r="C48" s="83" t="s">
        <v>102</v>
      </c>
      <c r="D48" s="82" t="s">
        <v>41</v>
      </c>
      <c r="E48" s="84">
        <v>4985.21</v>
      </c>
      <c r="F48" s="85">
        <f>SUM(E48*2/1000)</f>
        <v>9.9704200000000007</v>
      </c>
      <c r="G48" s="13">
        <v>579.48</v>
      </c>
      <c r="H48" s="86">
        <f t="shared" si="5"/>
        <v>5.7776589816000001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17</v>
      </c>
      <c r="B49" s="82" t="s">
        <v>36</v>
      </c>
      <c r="C49" s="83" t="s">
        <v>102</v>
      </c>
      <c r="D49" s="82" t="s">
        <v>41</v>
      </c>
      <c r="E49" s="84">
        <v>2474</v>
      </c>
      <c r="F49" s="85">
        <f>SUM(E49*2/1000)</f>
        <v>4.9480000000000004</v>
      </c>
      <c r="G49" s="13">
        <v>606.77</v>
      </c>
      <c r="H49" s="86">
        <f t="shared" si="5"/>
        <v>3.0022979600000004</v>
      </c>
      <c r="I49" s="13">
        <v>0</v>
      </c>
      <c r="J49" s="23"/>
      <c r="L49" s="19"/>
      <c r="M49" s="20"/>
      <c r="N49" s="21"/>
    </row>
    <row r="50" spans="1:14" ht="15.75" customHeight="1">
      <c r="A50" s="40">
        <v>12</v>
      </c>
      <c r="B50" s="32" t="s">
        <v>54</v>
      </c>
      <c r="C50" s="136" t="s">
        <v>102</v>
      </c>
      <c r="D50" s="32" t="s">
        <v>190</v>
      </c>
      <c r="E50" s="149">
        <v>5162.6000000000004</v>
      </c>
      <c r="F50" s="137">
        <f>SUM(E50*5/1000)</f>
        <v>25.812999999999999</v>
      </c>
      <c r="G50" s="36">
        <v>1655.27</v>
      </c>
      <c r="H50" s="86">
        <f t="shared" si="5"/>
        <v>42.727484509999996</v>
      </c>
      <c r="I50" s="13">
        <f>F50/5*G50</f>
        <v>8545.496901999999</v>
      </c>
      <c r="J50" s="23"/>
      <c r="L50" s="19"/>
      <c r="M50" s="20"/>
      <c r="N50" s="21"/>
    </row>
    <row r="51" spans="1:14" ht="30.75" hidden="1" customHeight="1">
      <c r="A51" s="40">
        <v>13</v>
      </c>
      <c r="B51" s="82" t="s">
        <v>109</v>
      </c>
      <c r="C51" s="83" t="s">
        <v>102</v>
      </c>
      <c r="D51" s="82" t="s">
        <v>41</v>
      </c>
      <c r="E51" s="84">
        <v>1349.3</v>
      </c>
      <c r="F51" s="85">
        <f>SUM(E51*2/1000)</f>
        <v>2.6985999999999999</v>
      </c>
      <c r="G51" s="13">
        <v>1213.55</v>
      </c>
      <c r="H51" s="86">
        <f t="shared" si="5"/>
        <v>3.2748860299999998</v>
      </c>
      <c r="I51" s="13">
        <v>0</v>
      </c>
      <c r="J51" s="23"/>
      <c r="L51" s="19"/>
      <c r="M51" s="20"/>
      <c r="N51" s="21"/>
    </row>
    <row r="52" spans="1:14" ht="30.75" hidden="1" customHeight="1">
      <c r="A52" s="40">
        <v>14</v>
      </c>
      <c r="B52" s="82" t="s">
        <v>110</v>
      </c>
      <c r="C52" s="83" t="s">
        <v>37</v>
      </c>
      <c r="D52" s="82" t="s">
        <v>41</v>
      </c>
      <c r="E52" s="84">
        <v>40</v>
      </c>
      <c r="F52" s="85">
        <f>SUM(E52*2/100)</f>
        <v>0.8</v>
      </c>
      <c r="G52" s="13">
        <v>2730.49</v>
      </c>
      <c r="H52" s="86">
        <f t="shared" si="5"/>
        <v>2.1843919999999999</v>
      </c>
      <c r="I52" s="13">
        <v>0</v>
      </c>
      <c r="J52" s="23"/>
      <c r="L52" s="19"/>
      <c r="M52" s="20"/>
      <c r="N52" s="21"/>
    </row>
    <row r="53" spans="1:14" ht="15.75" hidden="1" customHeight="1">
      <c r="A53" s="40">
        <v>15</v>
      </c>
      <c r="B53" s="82" t="s">
        <v>38</v>
      </c>
      <c r="C53" s="83" t="s">
        <v>39</v>
      </c>
      <c r="D53" s="82" t="s">
        <v>41</v>
      </c>
      <c r="E53" s="84">
        <v>1</v>
      </c>
      <c r="F53" s="85">
        <v>0.02</v>
      </c>
      <c r="G53" s="13">
        <v>5652.13</v>
      </c>
      <c r="H53" s="86">
        <f t="shared" si="5"/>
        <v>0.11304260000000001</v>
      </c>
      <c r="I53" s="13">
        <v>0</v>
      </c>
      <c r="J53" s="23"/>
      <c r="L53" s="19"/>
      <c r="M53" s="20"/>
      <c r="N53" s="21"/>
    </row>
    <row r="54" spans="1:14" ht="15.75" hidden="1" customHeight="1">
      <c r="A54" s="40">
        <v>14</v>
      </c>
      <c r="B54" s="82" t="s">
        <v>40</v>
      </c>
      <c r="C54" s="83" t="s">
        <v>111</v>
      </c>
      <c r="D54" s="82" t="s">
        <v>69</v>
      </c>
      <c r="E54" s="84">
        <v>238</v>
      </c>
      <c r="F54" s="85">
        <f>SUM(E54)*3</f>
        <v>714</v>
      </c>
      <c r="G54" s="157">
        <v>89.59</v>
      </c>
      <c r="H54" s="86">
        <f t="shared" si="5"/>
        <v>63.967260000000003</v>
      </c>
      <c r="I54" s="13">
        <f>E54*G54</f>
        <v>21322.420000000002</v>
      </c>
      <c r="J54" s="23"/>
      <c r="L54" s="19"/>
      <c r="M54" s="20"/>
      <c r="N54" s="21"/>
    </row>
    <row r="55" spans="1:14" ht="15.75" customHeight="1">
      <c r="A55" s="226" t="s">
        <v>137</v>
      </c>
      <c r="B55" s="227"/>
      <c r="C55" s="227"/>
      <c r="D55" s="227"/>
      <c r="E55" s="227"/>
      <c r="F55" s="227"/>
      <c r="G55" s="227"/>
      <c r="H55" s="227"/>
      <c r="I55" s="228"/>
      <c r="J55" s="23"/>
      <c r="L55" s="19"/>
      <c r="M55" s="20"/>
      <c r="N55" s="21"/>
    </row>
    <row r="56" spans="1:14" ht="15.75" customHeight="1">
      <c r="A56" s="52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29.25" customHeight="1">
      <c r="A57" s="40">
        <v>13</v>
      </c>
      <c r="B57" s="32" t="s">
        <v>112</v>
      </c>
      <c r="C57" s="136" t="s">
        <v>89</v>
      </c>
      <c r="D57" s="32"/>
      <c r="E57" s="149">
        <v>128.5</v>
      </c>
      <c r="F57" s="137">
        <f>SUM(E57*6/100)</f>
        <v>7.71</v>
      </c>
      <c r="G57" s="36">
        <v>2110.4699999999998</v>
      </c>
      <c r="H57" s="86">
        <f>SUM(F57*G57/1000)</f>
        <v>16.271723699999999</v>
      </c>
      <c r="I57" s="13">
        <f>G57*0.1651</f>
        <v>348.43859699999996</v>
      </c>
      <c r="J57" s="23"/>
      <c r="L57" s="19"/>
      <c r="M57" s="20"/>
      <c r="N57" s="21"/>
    </row>
    <row r="58" spans="1:14" ht="15.75" hidden="1" customHeight="1">
      <c r="A58" s="40">
        <v>14</v>
      </c>
      <c r="B58" s="32" t="s">
        <v>172</v>
      </c>
      <c r="C58" s="136" t="s">
        <v>89</v>
      </c>
      <c r="D58" s="32"/>
      <c r="E58" s="150">
        <v>69.5</v>
      </c>
      <c r="F58" s="151">
        <f>E58*6/100</f>
        <v>4.17</v>
      </c>
      <c r="G58" s="137">
        <v>2110.4699999999998</v>
      </c>
      <c r="H58" s="86">
        <f>F58*G58/1000</f>
        <v>8.8006598999999994</v>
      </c>
      <c r="I58" s="13">
        <f>F58/6*G58</f>
        <v>1466.7766499999998</v>
      </c>
      <c r="J58" s="23"/>
      <c r="L58" s="19"/>
      <c r="M58" s="20"/>
      <c r="N58" s="21"/>
    </row>
    <row r="59" spans="1:14" ht="15.75" hidden="1" customHeight="1">
      <c r="A59" s="40"/>
      <c r="B59" s="82" t="s">
        <v>130</v>
      </c>
      <c r="C59" s="83" t="s">
        <v>131</v>
      </c>
      <c r="D59" s="82" t="s">
        <v>41</v>
      </c>
      <c r="E59" s="91">
        <v>8</v>
      </c>
      <c r="F59" s="13">
        <v>16</v>
      </c>
      <c r="G59" s="85">
        <v>180.78</v>
      </c>
      <c r="H59" s="86">
        <f>SUM(F59*G59/1000)</f>
        <v>2.8924799999999999</v>
      </c>
      <c r="I59" s="13">
        <v>0</v>
      </c>
      <c r="J59" s="23"/>
      <c r="L59" s="19"/>
      <c r="M59" s="20"/>
      <c r="N59" s="21"/>
    </row>
    <row r="60" spans="1:14" ht="15.75" customHeight="1">
      <c r="A60" s="40"/>
      <c r="B60" s="62" t="s">
        <v>43</v>
      </c>
      <c r="C60" s="62"/>
      <c r="D60" s="62"/>
      <c r="E60" s="62"/>
      <c r="F60" s="70"/>
      <c r="G60" s="62"/>
      <c r="H60" s="70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82" t="s">
        <v>141</v>
      </c>
      <c r="C61" s="83"/>
      <c r="D61" s="82" t="s">
        <v>52</v>
      </c>
      <c r="E61" s="84">
        <v>1349.3</v>
      </c>
      <c r="F61" s="86">
        <v>13.493</v>
      </c>
      <c r="G61" s="13">
        <v>793.61</v>
      </c>
      <c r="H61" s="92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14</v>
      </c>
      <c r="B62" s="111" t="s">
        <v>88</v>
      </c>
      <c r="C62" s="112" t="s">
        <v>26</v>
      </c>
      <c r="D62" s="111"/>
      <c r="E62" s="113">
        <v>200</v>
      </c>
      <c r="F62" s="114">
        <f>E62*12</f>
        <v>2400</v>
      </c>
      <c r="G62" s="115">
        <v>1.4</v>
      </c>
      <c r="H62" s="116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hidden="1" customHeight="1">
      <c r="A63" s="40"/>
      <c r="B63" s="62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hidden="1" customHeight="1">
      <c r="A64" s="40">
        <v>18</v>
      </c>
      <c r="B64" s="148" t="s">
        <v>45</v>
      </c>
      <c r="C64" s="38" t="s">
        <v>111</v>
      </c>
      <c r="D64" s="37"/>
      <c r="E64" s="17">
        <v>40</v>
      </c>
      <c r="F64" s="137">
        <f>E64</f>
        <v>40</v>
      </c>
      <c r="G64" s="36">
        <v>303.35000000000002</v>
      </c>
      <c r="H64" s="100">
        <f t="shared" ref="H64:H71" si="6">SUM(F64*G64/1000)</f>
        <v>12.134</v>
      </c>
      <c r="I64" s="13">
        <f>G64*1</f>
        <v>303.35000000000002</v>
      </c>
    </row>
    <row r="65" spans="1:22" ht="15.75" hidden="1" customHeight="1">
      <c r="A65" s="29">
        <v>29</v>
      </c>
      <c r="B65" s="99" t="s">
        <v>46</v>
      </c>
      <c r="C65" s="16" t="s">
        <v>111</v>
      </c>
      <c r="D65" s="99" t="s">
        <v>65</v>
      </c>
      <c r="E65" s="18">
        <v>20</v>
      </c>
      <c r="F65" s="85">
        <v>20</v>
      </c>
      <c r="G65" s="13">
        <v>76.25</v>
      </c>
      <c r="H65" s="100">
        <f t="shared" si="6"/>
        <v>1.5249999999999999</v>
      </c>
      <c r="I65" s="13">
        <v>0</v>
      </c>
    </row>
    <row r="66" spans="1:22" ht="15.75" hidden="1" customHeight="1">
      <c r="A66" s="29">
        <v>8</v>
      </c>
      <c r="B66" s="99" t="s">
        <v>47</v>
      </c>
      <c r="C66" s="16" t="s">
        <v>114</v>
      </c>
      <c r="D66" s="99" t="s">
        <v>52</v>
      </c>
      <c r="E66" s="84">
        <v>18890</v>
      </c>
      <c r="F66" s="13">
        <f>SUM(E66/100)</f>
        <v>188.9</v>
      </c>
      <c r="G66" s="13">
        <v>212.15</v>
      </c>
      <c r="H66" s="100">
        <f t="shared" si="6"/>
        <v>40.075135000000003</v>
      </c>
      <c r="I66" s="13">
        <v>0</v>
      </c>
    </row>
    <row r="67" spans="1:22" ht="15.75" hidden="1" customHeight="1">
      <c r="A67" s="29">
        <v>9</v>
      </c>
      <c r="B67" s="99" t="s">
        <v>48</v>
      </c>
      <c r="C67" s="16" t="s">
        <v>115</v>
      </c>
      <c r="D67" s="99"/>
      <c r="E67" s="84">
        <v>18890</v>
      </c>
      <c r="F67" s="13">
        <f>SUM(E67/1000)</f>
        <v>18.89</v>
      </c>
      <c r="G67" s="13">
        <v>165.21</v>
      </c>
      <c r="H67" s="100">
        <f t="shared" si="6"/>
        <v>3.1208169000000003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9" t="s">
        <v>49</v>
      </c>
      <c r="C68" s="16" t="s">
        <v>75</v>
      </c>
      <c r="D68" s="99" t="s">
        <v>52</v>
      </c>
      <c r="E68" s="84">
        <v>3004</v>
      </c>
      <c r="F68" s="13">
        <f>SUM(E68/100)</f>
        <v>30.04</v>
      </c>
      <c r="G68" s="13">
        <v>2074.63</v>
      </c>
      <c r="H68" s="100">
        <f t="shared" si="6"/>
        <v>62.321885200000004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101" t="s">
        <v>116</v>
      </c>
      <c r="C69" s="16" t="s">
        <v>33</v>
      </c>
      <c r="D69" s="99"/>
      <c r="E69" s="84">
        <v>15.8</v>
      </c>
      <c r="F69" s="13">
        <f>SUM(E69)</f>
        <v>15.8</v>
      </c>
      <c r="G69" s="13">
        <v>42.67</v>
      </c>
      <c r="H69" s="100">
        <f t="shared" si="6"/>
        <v>0.67418600000000006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101" t="s">
        <v>117</v>
      </c>
      <c r="C70" s="16" t="s">
        <v>33</v>
      </c>
      <c r="D70" s="99"/>
      <c r="E70" s="84">
        <v>15.8</v>
      </c>
      <c r="F70" s="13">
        <f>SUM(E70)</f>
        <v>15.8</v>
      </c>
      <c r="G70" s="13">
        <v>39.81</v>
      </c>
      <c r="H70" s="100">
        <f t="shared" si="6"/>
        <v>0.62899800000000006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201"/>
      <c r="S70" s="201"/>
      <c r="T70" s="201"/>
      <c r="U70" s="201"/>
    </row>
    <row r="71" spans="1:22" ht="20.25" hidden="1" customHeight="1">
      <c r="A71" s="29">
        <v>13</v>
      </c>
      <c r="B71" s="99" t="s">
        <v>55</v>
      </c>
      <c r="C71" s="16" t="s">
        <v>56</v>
      </c>
      <c r="D71" s="99" t="s">
        <v>52</v>
      </c>
      <c r="E71" s="18">
        <v>15</v>
      </c>
      <c r="F71" s="85">
        <v>15</v>
      </c>
      <c r="G71" s="13">
        <v>49.88</v>
      </c>
      <c r="H71" s="100">
        <f t="shared" si="6"/>
        <v>0.74820000000000009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20.25" customHeight="1">
      <c r="A72" s="29"/>
      <c r="B72" s="159" t="s">
        <v>173</v>
      </c>
      <c r="C72" s="38"/>
      <c r="D72" s="37"/>
      <c r="E72" s="17"/>
      <c r="F72" s="115"/>
      <c r="G72" s="36"/>
      <c r="H72" s="100"/>
      <c r="I72" s="1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7.75" customHeight="1">
      <c r="A73" s="29">
        <v>15</v>
      </c>
      <c r="B73" s="37" t="s">
        <v>174</v>
      </c>
      <c r="C73" s="40" t="s">
        <v>175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100"/>
      <c r="I73" s="13">
        <f>G73*F73/12</f>
        <v>12235.362000000001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22.5" hidden="1" customHeight="1">
      <c r="A74" s="52"/>
      <c r="B74" s="62" t="s">
        <v>118</v>
      </c>
      <c r="C74" s="62"/>
      <c r="D74" s="62"/>
      <c r="E74" s="62"/>
      <c r="F74" s="70"/>
      <c r="G74" s="62"/>
      <c r="H74" s="70"/>
      <c r="I74" s="18"/>
    </row>
    <row r="75" spans="1:22" ht="16.5" hidden="1" customHeight="1">
      <c r="A75" s="29">
        <v>19</v>
      </c>
      <c r="B75" s="82" t="s">
        <v>119</v>
      </c>
      <c r="C75" s="16"/>
      <c r="D75" s="99"/>
      <c r="E75" s="77"/>
      <c r="F75" s="13">
        <v>1</v>
      </c>
      <c r="G75" s="13">
        <v>27865.200000000001</v>
      </c>
      <c r="H75" s="100">
        <f>G75*F75/1000</f>
        <v>27.865200000000002</v>
      </c>
      <c r="I75" s="13">
        <v>0</v>
      </c>
    </row>
    <row r="76" spans="1:22" ht="33.75" customHeight="1">
      <c r="A76" s="29"/>
      <c r="B76" s="48" t="s">
        <v>70</v>
      </c>
      <c r="C76" s="48"/>
      <c r="D76" s="40" t="s">
        <v>212</v>
      </c>
      <c r="E76" s="18"/>
      <c r="F76" s="18"/>
      <c r="G76" s="29"/>
      <c r="H76" s="29"/>
      <c r="I76" s="18"/>
    </row>
    <row r="77" spans="1:22" ht="18.75" customHeight="1">
      <c r="A77" s="29">
        <v>16</v>
      </c>
      <c r="B77" s="99" t="s">
        <v>71</v>
      </c>
      <c r="C77" s="16" t="s">
        <v>73</v>
      </c>
      <c r="D77" s="99"/>
      <c r="E77" s="18">
        <v>10</v>
      </c>
      <c r="F77" s="13">
        <v>1</v>
      </c>
      <c r="G77" s="124">
        <v>684.19</v>
      </c>
      <c r="H77" s="100">
        <f t="shared" ref="H77:H81" si="7">SUM(F77*G77/1000)</f>
        <v>0.68419000000000008</v>
      </c>
      <c r="I77" s="13">
        <f>G77*0.2</f>
        <v>136.83800000000002</v>
      </c>
    </row>
    <row r="78" spans="1:22" ht="17.25" hidden="1" customHeight="1">
      <c r="A78" s="29"/>
      <c r="B78" s="99" t="s">
        <v>132</v>
      </c>
      <c r="C78" s="16" t="s">
        <v>31</v>
      </c>
      <c r="D78" s="99"/>
      <c r="E78" s="18">
        <v>1</v>
      </c>
      <c r="F78" s="13">
        <v>1</v>
      </c>
      <c r="G78" s="13">
        <v>99.85</v>
      </c>
      <c r="H78" s="100">
        <f>F78*G78/1000</f>
        <v>9.9849999999999994E-2</v>
      </c>
      <c r="I78" s="13">
        <v>0</v>
      </c>
    </row>
    <row r="79" spans="1:22" ht="17.25" hidden="1" customHeight="1">
      <c r="A79" s="29"/>
      <c r="B79" s="99" t="s">
        <v>133</v>
      </c>
      <c r="C79" s="16" t="s">
        <v>31</v>
      </c>
      <c r="D79" s="99"/>
      <c r="E79" s="18">
        <v>1</v>
      </c>
      <c r="F79" s="13">
        <v>1</v>
      </c>
      <c r="G79" s="13">
        <v>120.26</v>
      </c>
      <c r="H79" s="100">
        <f>F79*G79/1000</f>
        <v>0.12026000000000001</v>
      </c>
      <c r="I79" s="13">
        <v>0</v>
      </c>
    </row>
    <row r="80" spans="1:22" ht="18.75" hidden="1" customHeight="1">
      <c r="A80" s="29">
        <v>20</v>
      </c>
      <c r="B80" s="37" t="s">
        <v>72</v>
      </c>
      <c r="C80" s="38" t="s">
        <v>31</v>
      </c>
      <c r="D80" s="37"/>
      <c r="E80" s="17">
        <v>2</v>
      </c>
      <c r="F80" s="115">
        <v>2</v>
      </c>
      <c r="G80" s="36">
        <v>1163.47</v>
      </c>
      <c r="H80" s="100">
        <f>F80*G80/1000</f>
        <v>2.32694</v>
      </c>
      <c r="I80" s="13">
        <f>G80*1</f>
        <v>1163.47</v>
      </c>
    </row>
    <row r="81" spans="1:9" ht="21.75" hidden="1" customHeight="1">
      <c r="A81" s="29">
        <v>17</v>
      </c>
      <c r="B81" s="99" t="s">
        <v>83</v>
      </c>
      <c r="C81" s="16" t="s">
        <v>111</v>
      </c>
      <c r="D81" s="99"/>
      <c r="E81" s="18">
        <v>1</v>
      </c>
      <c r="F81" s="85">
        <f>SUM(E81)</f>
        <v>1</v>
      </c>
      <c r="G81" s="13">
        <v>358.51</v>
      </c>
      <c r="H81" s="100">
        <f t="shared" si="7"/>
        <v>0.35851</v>
      </c>
      <c r="I81" s="13">
        <v>0</v>
      </c>
    </row>
    <row r="82" spans="1:9" ht="30.75" customHeight="1">
      <c r="A82" s="29">
        <v>17</v>
      </c>
      <c r="B82" s="37" t="s">
        <v>176</v>
      </c>
      <c r="C82" s="38" t="s">
        <v>111</v>
      </c>
      <c r="D82" s="37" t="s">
        <v>190</v>
      </c>
      <c r="E82" s="17">
        <v>1</v>
      </c>
      <c r="F82" s="36">
        <f>E82*12</f>
        <v>12</v>
      </c>
      <c r="G82" s="36">
        <v>55.55</v>
      </c>
      <c r="H82" s="100"/>
      <c r="I82" s="13">
        <f>G82*1</f>
        <v>55.55</v>
      </c>
    </row>
    <row r="83" spans="1:9" ht="16.5" hidden="1" customHeight="1">
      <c r="A83" s="29"/>
      <c r="B83" s="49" t="s">
        <v>74</v>
      </c>
      <c r="C83" s="38"/>
      <c r="D83" s="29"/>
      <c r="E83" s="18"/>
      <c r="F83" s="18"/>
      <c r="G83" s="36"/>
      <c r="H83" s="36"/>
      <c r="I83" s="18"/>
    </row>
    <row r="84" spans="1:9" ht="15" hidden="1" customHeight="1">
      <c r="A84" s="29">
        <v>39</v>
      </c>
      <c r="B84" s="51" t="s">
        <v>120</v>
      </c>
      <c r="C84" s="16" t="s">
        <v>75</v>
      </c>
      <c r="D84" s="99"/>
      <c r="E84" s="18"/>
      <c r="F84" s="13">
        <v>1.35</v>
      </c>
      <c r="G84" s="13">
        <v>2759.44</v>
      </c>
      <c r="H84" s="100">
        <f t="shared" ref="H84" si="8">SUM(F84*G84/1000)</f>
        <v>3.725244</v>
      </c>
      <c r="I84" s="13">
        <v>0</v>
      </c>
    </row>
    <row r="85" spans="1:9" ht="15.75" customHeight="1">
      <c r="A85" s="210" t="s">
        <v>138</v>
      </c>
      <c r="B85" s="211"/>
      <c r="C85" s="211"/>
      <c r="D85" s="211"/>
      <c r="E85" s="211"/>
      <c r="F85" s="211"/>
      <c r="G85" s="211"/>
      <c r="H85" s="211"/>
      <c r="I85" s="212"/>
    </row>
    <row r="86" spans="1:9" ht="15.75" customHeight="1">
      <c r="A86" s="29">
        <v>18</v>
      </c>
      <c r="B86" s="32" t="s">
        <v>121</v>
      </c>
      <c r="C86" s="38" t="s">
        <v>53</v>
      </c>
      <c r="D86" s="63"/>
      <c r="E86" s="36">
        <v>5162.6000000000004</v>
      </c>
      <c r="F86" s="36">
        <f>SUM(E86*12)</f>
        <v>61951.200000000004</v>
      </c>
      <c r="G86" s="36">
        <v>3.22</v>
      </c>
      <c r="H86" s="102">
        <f>SUM(F86*G86/1000)</f>
        <v>199.48286400000003</v>
      </c>
      <c r="I86" s="13">
        <f>F86/12*G86</f>
        <v>16623.572000000004</v>
      </c>
    </row>
    <row r="87" spans="1:9" ht="31.5" customHeight="1">
      <c r="A87" s="29">
        <v>19</v>
      </c>
      <c r="B87" s="37" t="s">
        <v>177</v>
      </c>
      <c r="C87" s="112" t="s">
        <v>178</v>
      </c>
      <c r="D87" s="37"/>
      <c r="E87" s="17">
        <v>5162.6000000000004</v>
      </c>
      <c r="F87" s="36">
        <f>E87*12</f>
        <v>61951.200000000004</v>
      </c>
      <c r="G87" s="36">
        <v>3.64</v>
      </c>
      <c r="H87" s="100">
        <f>F87*G87/1000</f>
        <v>225.50236800000002</v>
      </c>
      <c r="I87" s="13">
        <f>F87/12*G87</f>
        <v>18791.864000000001</v>
      </c>
    </row>
    <row r="88" spans="1:9" ht="15.75" customHeight="1">
      <c r="A88" s="52"/>
      <c r="B88" s="39" t="s">
        <v>78</v>
      </c>
      <c r="C88" s="40"/>
      <c r="D88" s="15"/>
      <c r="E88" s="15"/>
      <c r="F88" s="15"/>
      <c r="G88" s="18"/>
      <c r="H88" s="18"/>
      <c r="I88" s="31">
        <f>I87+I86+I82+I77+I73+I62+I57+I50+I44+I41+I39+I38+I37+I27+I21+I20+I18+I17+I16</f>
        <v>92383.601092333323</v>
      </c>
    </row>
    <row r="89" spans="1:9" ht="15.75" customHeight="1">
      <c r="A89" s="213" t="s">
        <v>58</v>
      </c>
      <c r="B89" s="214"/>
      <c r="C89" s="214"/>
      <c r="D89" s="214"/>
      <c r="E89" s="214"/>
      <c r="F89" s="214"/>
      <c r="G89" s="214"/>
      <c r="H89" s="214"/>
      <c r="I89" s="215"/>
    </row>
    <row r="90" spans="1:9" ht="18.75" customHeight="1">
      <c r="A90" s="29">
        <v>20</v>
      </c>
      <c r="B90" s="66" t="s">
        <v>211</v>
      </c>
      <c r="C90" s="67" t="s">
        <v>185</v>
      </c>
      <c r="D90" s="51" t="s">
        <v>189</v>
      </c>
      <c r="E90" s="13"/>
      <c r="F90" s="13">
        <v>1</v>
      </c>
      <c r="G90" s="36">
        <v>27137.18</v>
      </c>
      <c r="H90" s="100">
        <f t="shared" ref="H90" si="9">G90*F90/1000</f>
        <v>27.137180000000001</v>
      </c>
      <c r="I90" s="117">
        <v>0</v>
      </c>
    </row>
    <row r="91" spans="1:9" ht="15.75" customHeight="1">
      <c r="A91" s="29"/>
      <c r="B91" s="45" t="s">
        <v>50</v>
      </c>
      <c r="C91" s="41"/>
      <c r="D91" s="53"/>
      <c r="E91" s="41">
        <v>1</v>
      </c>
      <c r="F91" s="41"/>
      <c r="G91" s="41"/>
      <c r="H91" s="41"/>
      <c r="I91" s="31">
        <f>SUM(I90:I90)</f>
        <v>0</v>
      </c>
    </row>
    <row r="92" spans="1:9" ht="15.75" customHeight="1">
      <c r="A92" s="29"/>
      <c r="B92" s="51" t="s">
        <v>76</v>
      </c>
      <c r="C92" s="15"/>
      <c r="D92" s="15"/>
      <c r="E92" s="42"/>
      <c r="F92" s="42"/>
      <c r="G92" s="43"/>
      <c r="H92" s="43"/>
      <c r="I92" s="17">
        <v>0</v>
      </c>
    </row>
    <row r="93" spans="1:9" ht="15.75" customHeight="1">
      <c r="A93" s="54"/>
      <c r="B93" s="46" t="s">
        <v>143</v>
      </c>
      <c r="C93" s="34"/>
      <c r="D93" s="34"/>
      <c r="E93" s="34"/>
      <c r="F93" s="34"/>
      <c r="G93" s="34"/>
      <c r="H93" s="34"/>
      <c r="I93" s="44">
        <f>I88+I91</f>
        <v>92383.601092333323</v>
      </c>
    </row>
    <row r="94" spans="1:9" ht="15.75">
      <c r="A94" s="207" t="s">
        <v>328</v>
      </c>
      <c r="B94" s="207"/>
      <c r="C94" s="207"/>
      <c r="D94" s="207"/>
      <c r="E94" s="207"/>
      <c r="F94" s="207"/>
      <c r="G94" s="207"/>
      <c r="H94" s="207"/>
      <c r="I94" s="207"/>
    </row>
    <row r="95" spans="1:9" ht="15.75">
      <c r="A95" s="61"/>
      <c r="B95" s="208" t="s">
        <v>329</v>
      </c>
      <c r="C95" s="208"/>
      <c r="D95" s="208"/>
      <c r="E95" s="208"/>
      <c r="F95" s="208"/>
      <c r="G95" s="208"/>
      <c r="H95" s="80"/>
      <c r="I95" s="3"/>
    </row>
    <row r="96" spans="1:9">
      <c r="A96" s="56"/>
      <c r="B96" s="206" t="s">
        <v>6</v>
      </c>
      <c r="C96" s="206"/>
      <c r="D96" s="206"/>
      <c r="E96" s="206"/>
      <c r="F96" s="206"/>
      <c r="G96" s="206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209" t="s">
        <v>7</v>
      </c>
      <c r="B98" s="209"/>
      <c r="C98" s="209"/>
      <c r="D98" s="209"/>
      <c r="E98" s="209"/>
      <c r="F98" s="209"/>
      <c r="G98" s="209"/>
      <c r="H98" s="209"/>
      <c r="I98" s="209"/>
    </row>
    <row r="99" spans="1:9" ht="15.75">
      <c r="A99" s="209" t="s">
        <v>8</v>
      </c>
      <c r="B99" s="209"/>
      <c r="C99" s="209"/>
      <c r="D99" s="209"/>
      <c r="E99" s="209"/>
      <c r="F99" s="209"/>
      <c r="G99" s="209"/>
      <c r="H99" s="209"/>
      <c r="I99" s="209"/>
    </row>
    <row r="100" spans="1:9" ht="15.75">
      <c r="A100" s="203" t="s">
        <v>59</v>
      </c>
      <c r="B100" s="203"/>
      <c r="C100" s="203"/>
      <c r="D100" s="203"/>
      <c r="E100" s="203"/>
      <c r="F100" s="203"/>
      <c r="G100" s="203"/>
      <c r="H100" s="203"/>
      <c r="I100" s="203"/>
    </row>
    <row r="101" spans="1:9" ht="15.75">
      <c r="A101" s="11"/>
    </row>
    <row r="102" spans="1:9" ht="15.75">
      <c r="A102" s="204" t="s">
        <v>9</v>
      </c>
      <c r="B102" s="204"/>
      <c r="C102" s="204"/>
      <c r="D102" s="204"/>
      <c r="E102" s="204"/>
      <c r="F102" s="204"/>
      <c r="G102" s="204"/>
      <c r="H102" s="204"/>
      <c r="I102" s="204"/>
    </row>
    <row r="103" spans="1:9" ht="15.75">
      <c r="A103" s="4"/>
    </row>
    <row r="104" spans="1:9" ht="15.75">
      <c r="B104" s="59" t="s">
        <v>10</v>
      </c>
      <c r="C104" s="205" t="s">
        <v>84</v>
      </c>
      <c r="D104" s="205"/>
      <c r="E104" s="205"/>
      <c r="F104" s="78"/>
      <c r="I104" s="60"/>
    </row>
    <row r="105" spans="1:9">
      <c r="A105" s="56"/>
      <c r="C105" s="206" t="s">
        <v>11</v>
      </c>
      <c r="D105" s="206"/>
      <c r="E105" s="206"/>
      <c r="F105" s="24"/>
      <c r="I105" s="58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59" t="s">
        <v>13</v>
      </c>
      <c r="C107" s="200"/>
      <c r="D107" s="200"/>
      <c r="E107" s="200"/>
      <c r="F107" s="79"/>
      <c r="I107" s="60"/>
    </row>
    <row r="108" spans="1:9">
      <c r="A108" s="56"/>
      <c r="C108" s="201" t="s">
        <v>11</v>
      </c>
      <c r="D108" s="201"/>
      <c r="E108" s="201"/>
      <c r="F108" s="69"/>
      <c r="I108" s="58" t="s">
        <v>12</v>
      </c>
    </row>
    <row r="109" spans="1:9" ht="15.75">
      <c r="A109" s="4" t="s">
        <v>14</v>
      </c>
    </row>
    <row r="110" spans="1:9">
      <c r="A110" s="202" t="s">
        <v>15</v>
      </c>
      <c r="B110" s="202"/>
      <c r="C110" s="202"/>
      <c r="D110" s="202"/>
      <c r="E110" s="202"/>
      <c r="F110" s="202"/>
      <c r="G110" s="202"/>
      <c r="H110" s="202"/>
      <c r="I110" s="202"/>
    </row>
    <row r="111" spans="1:9" ht="45" customHeight="1">
      <c r="A111" s="199" t="s">
        <v>16</v>
      </c>
      <c r="B111" s="199"/>
      <c r="C111" s="199"/>
      <c r="D111" s="199"/>
      <c r="E111" s="199"/>
      <c r="F111" s="199"/>
      <c r="G111" s="199"/>
      <c r="H111" s="199"/>
      <c r="I111" s="199"/>
    </row>
    <row r="112" spans="1:9" ht="30" customHeight="1">
      <c r="A112" s="199" t="s">
        <v>17</v>
      </c>
      <c r="B112" s="199"/>
      <c r="C112" s="199"/>
      <c r="D112" s="199"/>
      <c r="E112" s="199"/>
      <c r="F112" s="199"/>
      <c r="G112" s="199"/>
      <c r="H112" s="199"/>
      <c r="I112" s="199"/>
    </row>
    <row r="113" spans="1:9" ht="30" customHeight="1">
      <c r="A113" s="199" t="s">
        <v>21</v>
      </c>
      <c r="B113" s="199"/>
      <c r="C113" s="199"/>
      <c r="D113" s="199"/>
      <c r="E113" s="199"/>
      <c r="F113" s="199"/>
      <c r="G113" s="199"/>
      <c r="H113" s="199"/>
      <c r="I113" s="199"/>
    </row>
    <row r="114" spans="1:9" ht="15" customHeight="1">
      <c r="A114" s="199" t="s">
        <v>20</v>
      </c>
      <c r="B114" s="199"/>
      <c r="C114" s="199"/>
      <c r="D114" s="199"/>
      <c r="E114" s="199"/>
      <c r="F114" s="199"/>
      <c r="G114" s="199"/>
      <c r="H114" s="199"/>
      <c r="I114" s="199"/>
    </row>
  </sheetData>
  <autoFilter ref="I12:I65"/>
  <mergeCells count="29">
    <mergeCell ref="A85:I85"/>
    <mergeCell ref="A89:I89"/>
    <mergeCell ref="R70:U70"/>
    <mergeCell ref="A3:I3"/>
    <mergeCell ref="A4:I4"/>
    <mergeCell ref="A8:I8"/>
    <mergeCell ref="A10:I10"/>
    <mergeCell ref="A5:I5"/>
    <mergeCell ref="A14:I14"/>
    <mergeCell ref="A15:I15"/>
    <mergeCell ref="A28:I28"/>
    <mergeCell ref="A45:I45"/>
    <mergeCell ref="A55:I55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A113:I113"/>
    <mergeCell ref="A114:I114"/>
    <mergeCell ref="C107:E107"/>
    <mergeCell ref="C108:E108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3"/>
  <sheetViews>
    <sheetView view="pageBreakPreview" topLeftCell="A94" zoomScale="60" workbookViewId="0">
      <selection activeCell="I105" sqref="I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160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302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44135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303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189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F18/18*2*G18</f>
        <v>8937.5623199999991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6" t="s">
        <v>89</v>
      </c>
      <c r="D20" s="32" t="s">
        <v>196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96</v>
      </c>
      <c r="C21" s="136" t="s">
        <v>89</v>
      </c>
      <c r="D21" s="32" t="s">
        <v>196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2" t="s">
        <v>81</v>
      </c>
      <c r="B28" s="222"/>
      <c r="C28" s="222"/>
      <c r="D28" s="222"/>
      <c r="E28" s="222"/>
      <c r="F28" s="222"/>
      <c r="G28" s="222"/>
      <c r="H28" s="222"/>
      <c r="I28" s="222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7</v>
      </c>
      <c r="B30" s="32" t="s">
        <v>101</v>
      </c>
      <c r="C30" s="136" t="s">
        <v>102</v>
      </c>
      <c r="D30" s="32" t="s">
        <v>188</v>
      </c>
      <c r="E30" s="137">
        <v>1304.45</v>
      </c>
      <c r="F30" s="137">
        <f>SUM(E30*52/1000)</f>
        <v>67.831400000000002</v>
      </c>
      <c r="G30" s="137">
        <v>212.62</v>
      </c>
      <c r="H30" s="86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8</v>
      </c>
      <c r="B31" s="32" t="s">
        <v>139</v>
      </c>
      <c r="C31" s="136" t="s">
        <v>102</v>
      </c>
      <c r="D31" s="32" t="s">
        <v>188</v>
      </c>
      <c r="E31" s="137">
        <v>287.83999999999997</v>
      </c>
      <c r="F31" s="137">
        <f>SUM(E31*52/1000)</f>
        <v>14.967679999999998</v>
      </c>
      <c r="G31" s="137">
        <v>352.77</v>
      </c>
      <c r="H31" s="86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customHeight="1">
      <c r="A33" s="40">
        <v>9</v>
      </c>
      <c r="B33" s="32" t="s">
        <v>63</v>
      </c>
      <c r="C33" s="136" t="s">
        <v>33</v>
      </c>
      <c r="D33" s="32"/>
      <c r="E33" s="149"/>
      <c r="F33" s="137">
        <v>2</v>
      </c>
      <c r="G33" s="137">
        <v>260.95</v>
      </c>
      <c r="H33" s="86">
        <f t="shared" si="5"/>
        <v>0.52190000000000003</v>
      </c>
      <c r="I33" s="13">
        <f>G33*1</f>
        <v>260.95</v>
      </c>
      <c r="J33" s="23"/>
    </row>
    <row r="34" spans="1:14" ht="15.75" hidden="1" customHeight="1">
      <c r="A34" s="29">
        <v>8</v>
      </c>
      <c r="B34" s="82" t="s">
        <v>64</v>
      </c>
      <c r="C34" s="83" t="s">
        <v>32</v>
      </c>
      <c r="D34" s="82" t="s">
        <v>65</v>
      </c>
      <c r="E34" s="84"/>
      <c r="F34" s="85">
        <v>2</v>
      </c>
      <c r="G34" s="85">
        <v>1136.32</v>
      </c>
      <c r="H34" s="86">
        <f t="shared" si="5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27.75" hidden="1" customHeight="1">
      <c r="A44" s="190">
        <v>10</v>
      </c>
      <c r="B44" s="152" t="s">
        <v>171</v>
      </c>
      <c r="C44" s="153" t="s">
        <v>102</v>
      </c>
      <c r="D44" s="152" t="s">
        <v>196</v>
      </c>
      <c r="E44" s="155">
        <v>0.6</v>
      </c>
      <c r="F44" s="154">
        <v>0.01</v>
      </c>
      <c r="G44" s="154">
        <v>18798.34</v>
      </c>
      <c r="H44" s="97"/>
      <c r="I44" s="191">
        <f>G44*0.6/1000</f>
        <v>11.279003999999999</v>
      </c>
      <c r="J44" s="23"/>
      <c r="L44" s="19"/>
      <c r="M44" s="20"/>
      <c r="N44" s="21"/>
    </row>
    <row r="45" spans="1:14" ht="15.75" hidden="1" customHeight="1">
      <c r="A45" s="226" t="s">
        <v>136</v>
      </c>
      <c r="B45" s="227"/>
      <c r="C45" s="227"/>
      <c r="D45" s="227"/>
      <c r="E45" s="227"/>
      <c r="F45" s="227"/>
      <c r="G45" s="227"/>
      <c r="H45" s="227"/>
      <c r="I45" s="228"/>
      <c r="J45" s="23"/>
      <c r="L45" s="19"/>
      <c r="M45" s="20"/>
      <c r="N45" s="21"/>
    </row>
    <row r="46" spans="1:14" ht="15.75" hidden="1" customHeight="1">
      <c r="A46" s="40">
        <v>9</v>
      </c>
      <c r="B46" s="82" t="s">
        <v>128</v>
      </c>
      <c r="C46" s="83" t="s">
        <v>102</v>
      </c>
      <c r="D46" s="82" t="s">
        <v>41</v>
      </c>
      <c r="E46" s="84">
        <v>1369</v>
      </c>
      <c r="F46" s="85">
        <f>SUM(E46*2/1000)</f>
        <v>2.738</v>
      </c>
      <c r="G46" s="13">
        <v>849.49</v>
      </c>
      <c r="H46" s="86">
        <f t="shared" ref="H46:H54" si="7">SUM(F46*G46/1000)</f>
        <v>2.3259036200000001</v>
      </c>
      <c r="I46" s="13">
        <f t="shared" ref="I46:I48" si="8">F46/2*G46</f>
        <v>1162.95181</v>
      </c>
      <c r="J46" s="23"/>
      <c r="L46" s="19"/>
      <c r="M46" s="20"/>
      <c r="N46" s="21"/>
    </row>
    <row r="47" spans="1:14" ht="15.75" hidden="1" customHeight="1">
      <c r="A47" s="40">
        <v>10</v>
      </c>
      <c r="B47" s="82" t="s">
        <v>34</v>
      </c>
      <c r="C47" s="83" t="s">
        <v>102</v>
      </c>
      <c r="D47" s="82" t="s">
        <v>41</v>
      </c>
      <c r="E47" s="84">
        <v>1418</v>
      </c>
      <c r="F47" s="85">
        <f>SUM(E47*2/1000)</f>
        <v>2.8359999999999999</v>
      </c>
      <c r="G47" s="13">
        <v>579.48</v>
      </c>
      <c r="H47" s="86">
        <f t="shared" si="7"/>
        <v>1.6434052799999999</v>
      </c>
      <c r="I47" s="13">
        <f t="shared" si="8"/>
        <v>821.70263999999997</v>
      </c>
      <c r="J47" s="23"/>
      <c r="L47" s="19"/>
      <c r="M47" s="20"/>
      <c r="N47" s="21"/>
    </row>
    <row r="48" spans="1:14" ht="15.75" hidden="1" customHeight="1">
      <c r="A48" s="40">
        <v>11</v>
      </c>
      <c r="B48" s="82" t="s">
        <v>35</v>
      </c>
      <c r="C48" s="83" t="s">
        <v>102</v>
      </c>
      <c r="D48" s="82" t="s">
        <v>41</v>
      </c>
      <c r="E48" s="84">
        <v>4985.21</v>
      </c>
      <c r="F48" s="85">
        <f>SUM(E48*2/1000)</f>
        <v>9.9704200000000007</v>
      </c>
      <c r="G48" s="13">
        <v>579.48</v>
      </c>
      <c r="H48" s="86">
        <f t="shared" si="7"/>
        <v>5.7776589816000001</v>
      </c>
      <c r="I48" s="13">
        <f t="shared" si="8"/>
        <v>2888.8294908000003</v>
      </c>
      <c r="J48" s="23"/>
      <c r="L48" s="19"/>
      <c r="M48" s="20"/>
      <c r="N48" s="21"/>
    </row>
    <row r="49" spans="1:14" ht="15.75" hidden="1" customHeight="1">
      <c r="A49" s="40">
        <v>12</v>
      </c>
      <c r="B49" s="82" t="s">
        <v>36</v>
      </c>
      <c r="C49" s="83" t="s">
        <v>102</v>
      </c>
      <c r="D49" s="82" t="s">
        <v>41</v>
      </c>
      <c r="E49" s="84">
        <v>2474</v>
      </c>
      <c r="F49" s="85">
        <f>SUM(E49*2/1000)</f>
        <v>4.9480000000000004</v>
      </c>
      <c r="G49" s="13">
        <v>606.77</v>
      </c>
      <c r="H49" s="86">
        <f t="shared" si="7"/>
        <v>3.0022979600000004</v>
      </c>
      <c r="I49" s="13">
        <f>F49/2*G49</f>
        <v>1501.1489800000002</v>
      </c>
      <c r="J49" s="23"/>
      <c r="L49" s="19"/>
      <c r="M49" s="20"/>
      <c r="N49" s="21"/>
    </row>
    <row r="50" spans="1:14" ht="15.75" hidden="1" customHeight="1">
      <c r="A50" s="40">
        <v>13</v>
      </c>
      <c r="B50" s="82" t="s">
        <v>54</v>
      </c>
      <c r="C50" s="83" t="s">
        <v>102</v>
      </c>
      <c r="D50" s="82" t="s">
        <v>140</v>
      </c>
      <c r="E50" s="84">
        <v>1349.3</v>
      </c>
      <c r="F50" s="85">
        <f>SUM(E50*5/1000)</f>
        <v>6.7465000000000002</v>
      </c>
      <c r="G50" s="13">
        <v>1213.55</v>
      </c>
      <c r="H50" s="86">
        <f t="shared" si="7"/>
        <v>8.1872150749999992</v>
      </c>
      <c r="I50" s="13">
        <f>F50/5*G50</f>
        <v>1637.4430149999998</v>
      </c>
      <c r="J50" s="23"/>
      <c r="L50" s="19"/>
      <c r="M50" s="20"/>
      <c r="N50" s="21"/>
    </row>
    <row r="51" spans="1:14" ht="30.75" hidden="1" customHeight="1">
      <c r="A51" s="40">
        <v>9</v>
      </c>
      <c r="B51" s="82" t="s">
        <v>109</v>
      </c>
      <c r="C51" s="83" t="s">
        <v>102</v>
      </c>
      <c r="D51" s="82" t="s">
        <v>41</v>
      </c>
      <c r="E51" s="84">
        <v>1349.3</v>
      </c>
      <c r="F51" s="85">
        <f>SUM(E51*2/1000)</f>
        <v>2.6985999999999999</v>
      </c>
      <c r="G51" s="13">
        <v>1213.55</v>
      </c>
      <c r="H51" s="86">
        <f t="shared" si="7"/>
        <v>3.2748860299999998</v>
      </c>
      <c r="I51" s="13">
        <f>F51/2*G51</f>
        <v>1637.4430149999998</v>
      </c>
      <c r="J51" s="23"/>
      <c r="L51" s="19"/>
      <c r="M51" s="20"/>
      <c r="N51" s="21"/>
    </row>
    <row r="52" spans="1:14" ht="30.75" hidden="1" customHeight="1">
      <c r="A52" s="40">
        <v>10</v>
      </c>
      <c r="B52" s="82" t="s">
        <v>110</v>
      </c>
      <c r="C52" s="83" t="s">
        <v>37</v>
      </c>
      <c r="D52" s="82" t="s">
        <v>41</v>
      </c>
      <c r="E52" s="84">
        <v>40</v>
      </c>
      <c r="F52" s="85">
        <f>SUM(E52*2/100)</f>
        <v>0.8</v>
      </c>
      <c r="G52" s="13">
        <v>2730.49</v>
      </c>
      <c r="H52" s="86">
        <f t="shared" si="7"/>
        <v>2.1843919999999999</v>
      </c>
      <c r="I52" s="13">
        <f t="shared" ref="I52:I53" si="9">F52/2*G52</f>
        <v>1092.1959999999999</v>
      </c>
      <c r="J52" s="23"/>
      <c r="L52" s="19"/>
      <c r="M52" s="20"/>
      <c r="N52" s="21"/>
    </row>
    <row r="53" spans="1:14" ht="15.75" hidden="1" customHeight="1">
      <c r="A53" s="40">
        <v>11</v>
      </c>
      <c r="B53" s="82" t="s">
        <v>38</v>
      </c>
      <c r="C53" s="83" t="s">
        <v>39</v>
      </c>
      <c r="D53" s="82" t="s">
        <v>41</v>
      </c>
      <c r="E53" s="84">
        <v>1</v>
      </c>
      <c r="F53" s="85">
        <v>0.02</v>
      </c>
      <c r="G53" s="13">
        <v>5652.13</v>
      </c>
      <c r="H53" s="86">
        <f t="shared" si="7"/>
        <v>0.11304260000000001</v>
      </c>
      <c r="I53" s="13">
        <f t="shared" si="9"/>
        <v>56.521300000000004</v>
      </c>
      <c r="J53" s="23"/>
      <c r="L53" s="19"/>
      <c r="M53" s="20"/>
      <c r="N53" s="21"/>
    </row>
    <row r="54" spans="1:14" ht="15.75" hidden="1" customHeight="1">
      <c r="A54" s="40">
        <v>12</v>
      </c>
      <c r="B54" s="82" t="s">
        <v>40</v>
      </c>
      <c r="C54" s="83" t="s">
        <v>111</v>
      </c>
      <c r="D54" s="82" t="s">
        <v>69</v>
      </c>
      <c r="E54" s="84">
        <v>238</v>
      </c>
      <c r="F54" s="85">
        <f>SUM(E54)*3</f>
        <v>714</v>
      </c>
      <c r="G54" s="13">
        <v>65.67</v>
      </c>
      <c r="H54" s="86">
        <f t="shared" si="7"/>
        <v>46.888380000000005</v>
      </c>
      <c r="I54" s="13">
        <f>E54*G54</f>
        <v>15629.460000000001</v>
      </c>
      <c r="J54" s="23"/>
      <c r="L54" s="19"/>
      <c r="M54" s="20"/>
      <c r="N54" s="21"/>
    </row>
    <row r="55" spans="1:14" ht="15.75" customHeight="1">
      <c r="A55" s="226" t="s">
        <v>148</v>
      </c>
      <c r="B55" s="227"/>
      <c r="C55" s="227"/>
      <c r="D55" s="227"/>
      <c r="E55" s="227"/>
      <c r="F55" s="227"/>
      <c r="G55" s="227"/>
      <c r="H55" s="227"/>
      <c r="I55" s="228"/>
      <c r="J55" s="23"/>
      <c r="L55" s="19"/>
      <c r="M55" s="20"/>
      <c r="N55" s="21"/>
    </row>
    <row r="56" spans="1:14" ht="15.75" hidden="1" customHeight="1">
      <c r="A56" s="81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7.5" hidden="1" customHeight="1">
      <c r="A57" s="40">
        <v>13</v>
      </c>
      <c r="B57" s="82" t="s">
        <v>112</v>
      </c>
      <c r="C57" s="83" t="s">
        <v>89</v>
      </c>
      <c r="D57" s="82" t="s">
        <v>113</v>
      </c>
      <c r="E57" s="84">
        <v>176.9</v>
      </c>
      <c r="F57" s="85">
        <f>SUM(E57*6/100)</f>
        <v>10.614000000000001</v>
      </c>
      <c r="G57" s="13">
        <v>1547.28</v>
      </c>
      <c r="H57" s="86">
        <f>SUM(F57*G57/1000)</f>
        <v>16.422829920000002</v>
      </c>
      <c r="I57" s="13">
        <f>G57*0.0431</f>
        <v>66.687767999999991</v>
      </c>
      <c r="J57" s="23"/>
      <c r="L57" s="19"/>
      <c r="M57" s="20"/>
      <c r="N57" s="21"/>
    </row>
    <row r="58" spans="1:14" ht="20.25" hidden="1" customHeight="1">
      <c r="A58" s="40">
        <v>17</v>
      </c>
      <c r="B58" s="82" t="s">
        <v>129</v>
      </c>
      <c r="C58" s="83" t="s">
        <v>89</v>
      </c>
      <c r="D58" s="82" t="s">
        <v>113</v>
      </c>
      <c r="E58" s="77">
        <v>56</v>
      </c>
      <c r="F58" s="90">
        <v>3.36</v>
      </c>
      <c r="G58" s="85">
        <v>1547.28</v>
      </c>
      <c r="H58" s="86">
        <f>F58*G58/1000</f>
        <v>5.1988607999999994</v>
      </c>
      <c r="I58" s="13">
        <f>F58/6*G58</f>
        <v>866.47679999999991</v>
      </c>
      <c r="J58" s="23"/>
      <c r="L58" s="19"/>
      <c r="M58" s="20"/>
      <c r="N58" s="21"/>
    </row>
    <row r="59" spans="1:14" ht="20.25" hidden="1" customHeight="1">
      <c r="A59" s="40"/>
      <c r="B59" s="82" t="s">
        <v>130</v>
      </c>
      <c r="C59" s="83" t="s">
        <v>131</v>
      </c>
      <c r="D59" s="82" t="s">
        <v>41</v>
      </c>
      <c r="E59" s="91">
        <v>8</v>
      </c>
      <c r="F59" s="13">
        <v>16</v>
      </c>
      <c r="G59" s="85">
        <v>180.78</v>
      </c>
      <c r="H59" s="86">
        <f>SUM(F59*G59/1000)</f>
        <v>2.8924799999999999</v>
      </c>
      <c r="I59" s="13">
        <v>0</v>
      </c>
      <c r="J59" s="23"/>
      <c r="L59" s="19"/>
      <c r="M59" s="20"/>
      <c r="N59" s="21"/>
    </row>
    <row r="60" spans="1:14" ht="15.75" customHeight="1">
      <c r="A60" s="40"/>
      <c r="B60" s="76" t="s">
        <v>43</v>
      </c>
      <c r="C60" s="76"/>
      <c r="D60" s="76"/>
      <c r="E60" s="76"/>
      <c r="F60" s="76"/>
      <c r="G60" s="76"/>
      <c r="H60" s="76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82" t="s">
        <v>141</v>
      </c>
      <c r="C61" s="83"/>
      <c r="D61" s="82" t="s">
        <v>52</v>
      </c>
      <c r="E61" s="84">
        <v>1349.3</v>
      </c>
      <c r="F61" s="86">
        <v>13.493</v>
      </c>
      <c r="G61" s="13">
        <v>793.61</v>
      </c>
      <c r="H61" s="92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10</v>
      </c>
      <c r="B62" s="93" t="s">
        <v>88</v>
      </c>
      <c r="C62" s="94" t="s">
        <v>26</v>
      </c>
      <c r="D62" s="93"/>
      <c r="E62" s="95">
        <v>270</v>
      </c>
      <c r="F62" s="96">
        <v>2400</v>
      </c>
      <c r="G62" s="97">
        <v>1.4</v>
      </c>
      <c r="H62" s="98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40"/>
      <c r="B63" s="76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customHeight="1">
      <c r="A64" s="40">
        <v>11</v>
      </c>
      <c r="B64" s="148" t="s">
        <v>45</v>
      </c>
      <c r="C64" s="38" t="s">
        <v>111</v>
      </c>
      <c r="D64" s="37" t="s">
        <v>204</v>
      </c>
      <c r="E64" s="17">
        <v>40</v>
      </c>
      <c r="F64" s="137">
        <f>E64</f>
        <v>40</v>
      </c>
      <c r="G64" s="36">
        <v>303.35000000000002</v>
      </c>
      <c r="H64" s="100">
        <f t="shared" ref="H64:H71" si="10">SUM(F64*G64/1000)</f>
        <v>12.134</v>
      </c>
      <c r="I64" s="13">
        <f>G64*9</f>
        <v>2730.15</v>
      </c>
    </row>
    <row r="65" spans="1:22" ht="15.75" hidden="1" customHeight="1">
      <c r="A65" s="29">
        <v>29</v>
      </c>
      <c r="B65" s="99" t="s">
        <v>46</v>
      </c>
      <c r="C65" s="16" t="s">
        <v>111</v>
      </c>
      <c r="D65" s="99" t="s">
        <v>65</v>
      </c>
      <c r="E65" s="18">
        <v>20</v>
      </c>
      <c r="F65" s="85">
        <v>20</v>
      </c>
      <c r="G65" s="13">
        <v>76.25</v>
      </c>
      <c r="H65" s="100">
        <f t="shared" si="10"/>
        <v>1.5249999999999999</v>
      </c>
      <c r="I65" s="13">
        <v>0</v>
      </c>
    </row>
    <row r="66" spans="1:22" ht="15.75" hidden="1" customHeight="1">
      <c r="A66" s="29">
        <v>25</v>
      </c>
      <c r="B66" s="99" t="s">
        <v>47</v>
      </c>
      <c r="C66" s="16" t="s">
        <v>114</v>
      </c>
      <c r="D66" s="99" t="s">
        <v>52</v>
      </c>
      <c r="E66" s="84">
        <v>18890</v>
      </c>
      <c r="F66" s="13">
        <f>SUM(E66/100)</f>
        <v>188.9</v>
      </c>
      <c r="G66" s="13">
        <v>212.15</v>
      </c>
      <c r="H66" s="100">
        <f t="shared" si="10"/>
        <v>40.075135000000003</v>
      </c>
      <c r="I66" s="13">
        <f>F66*G66</f>
        <v>40075.135000000002</v>
      </c>
    </row>
    <row r="67" spans="1:22" ht="15.75" hidden="1" customHeight="1">
      <c r="A67" s="29">
        <v>26</v>
      </c>
      <c r="B67" s="99" t="s">
        <v>48</v>
      </c>
      <c r="C67" s="16" t="s">
        <v>115</v>
      </c>
      <c r="D67" s="99"/>
      <c r="E67" s="84">
        <v>18890</v>
      </c>
      <c r="F67" s="13">
        <f>SUM(E67/1000)</f>
        <v>18.89</v>
      </c>
      <c r="G67" s="13">
        <v>165.21</v>
      </c>
      <c r="H67" s="100">
        <f t="shared" si="10"/>
        <v>3.1208169000000003</v>
      </c>
      <c r="I67" s="13">
        <f t="shared" ref="I67:I70" si="11">F67*G67</f>
        <v>3120.8169000000003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27</v>
      </c>
      <c r="B68" s="99" t="s">
        <v>49</v>
      </c>
      <c r="C68" s="16" t="s">
        <v>75</v>
      </c>
      <c r="D68" s="99" t="s">
        <v>52</v>
      </c>
      <c r="E68" s="84">
        <v>3004</v>
      </c>
      <c r="F68" s="13">
        <f>SUM(E68/100)</f>
        <v>30.04</v>
      </c>
      <c r="G68" s="13">
        <v>2074.63</v>
      </c>
      <c r="H68" s="100">
        <f t="shared" si="10"/>
        <v>62.321885200000004</v>
      </c>
      <c r="I68" s="13">
        <f t="shared" si="11"/>
        <v>62321.885200000004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28</v>
      </c>
      <c r="B69" s="101" t="s">
        <v>116</v>
      </c>
      <c r="C69" s="16" t="s">
        <v>33</v>
      </c>
      <c r="D69" s="99"/>
      <c r="E69" s="84">
        <v>15.8</v>
      </c>
      <c r="F69" s="13">
        <f>SUM(E69)</f>
        <v>15.8</v>
      </c>
      <c r="G69" s="13">
        <v>42.67</v>
      </c>
      <c r="H69" s="100">
        <f t="shared" si="10"/>
        <v>0.67418600000000006</v>
      </c>
      <c r="I69" s="13">
        <f t="shared" si="11"/>
        <v>674.18600000000004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29</v>
      </c>
      <c r="B70" s="101" t="s">
        <v>117</v>
      </c>
      <c r="C70" s="16" t="s">
        <v>33</v>
      </c>
      <c r="D70" s="99"/>
      <c r="E70" s="84">
        <v>15.8</v>
      </c>
      <c r="F70" s="13">
        <f>SUM(E70)</f>
        <v>15.8</v>
      </c>
      <c r="G70" s="13">
        <v>39.81</v>
      </c>
      <c r="H70" s="100">
        <f t="shared" si="10"/>
        <v>0.62899800000000006</v>
      </c>
      <c r="I70" s="13">
        <f t="shared" si="11"/>
        <v>628.99800000000005</v>
      </c>
      <c r="J70" s="5"/>
      <c r="K70" s="5"/>
      <c r="L70" s="5"/>
      <c r="M70" s="5"/>
      <c r="N70" s="5"/>
      <c r="O70" s="5"/>
      <c r="P70" s="5"/>
      <c r="Q70" s="5"/>
      <c r="R70" s="201"/>
      <c r="S70" s="201"/>
      <c r="T70" s="201"/>
      <c r="U70" s="201"/>
    </row>
    <row r="71" spans="1:22" ht="15.75" hidden="1" customHeight="1">
      <c r="A71" s="29">
        <v>16</v>
      </c>
      <c r="B71" s="99" t="s">
        <v>55</v>
      </c>
      <c r="C71" s="16" t="s">
        <v>56</v>
      </c>
      <c r="D71" s="99" t="s">
        <v>52</v>
      </c>
      <c r="E71" s="18">
        <v>15</v>
      </c>
      <c r="F71" s="85">
        <v>15</v>
      </c>
      <c r="G71" s="13">
        <v>49.88</v>
      </c>
      <c r="H71" s="100">
        <f t="shared" si="10"/>
        <v>0.74820000000000009</v>
      </c>
      <c r="I71" s="13">
        <f>G71*15</f>
        <v>748.2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81"/>
      <c r="B72" s="76" t="s">
        <v>118</v>
      </c>
      <c r="C72" s="76"/>
      <c r="D72" s="76"/>
      <c r="E72" s="76"/>
      <c r="F72" s="76"/>
      <c r="G72" s="76"/>
      <c r="H72" s="76"/>
      <c r="I72" s="18"/>
    </row>
    <row r="73" spans="1:22" ht="15.75" hidden="1" customHeight="1">
      <c r="A73" s="29">
        <v>11</v>
      </c>
      <c r="B73" s="93" t="s">
        <v>119</v>
      </c>
      <c r="C73" s="16"/>
      <c r="D73" s="99"/>
      <c r="E73" s="77"/>
      <c r="F73" s="13">
        <v>1</v>
      </c>
      <c r="G73" s="13">
        <v>27865.200000000001</v>
      </c>
      <c r="H73" s="100">
        <f>G73*F73/1000</f>
        <v>27.865200000000002</v>
      </c>
      <c r="I73" s="13">
        <f>G73</f>
        <v>27865.200000000001</v>
      </c>
    </row>
    <row r="74" spans="1:22" ht="15.75" customHeight="1">
      <c r="A74" s="29"/>
      <c r="B74" s="159" t="s">
        <v>173</v>
      </c>
      <c r="C74" s="38"/>
      <c r="D74" s="37"/>
      <c r="E74" s="17"/>
      <c r="F74" s="115"/>
      <c r="G74" s="36"/>
      <c r="H74" s="100"/>
      <c r="I74" s="13"/>
    </row>
    <row r="75" spans="1:22" ht="33" customHeight="1">
      <c r="A75" s="29">
        <v>12</v>
      </c>
      <c r="B75" s="37" t="s">
        <v>174</v>
      </c>
      <c r="C75" s="40" t="s">
        <v>175</v>
      </c>
      <c r="D75" s="37"/>
      <c r="E75" s="17">
        <v>5162.6000000000004</v>
      </c>
      <c r="F75" s="36">
        <f>E75*12</f>
        <v>61951.200000000004</v>
      </c>
      <c r="G75" s="36">
        <v>2.37</v>
      </c>
      <c r="H75" s="100"/>
      <c r="I75" s="13">
        <f>G75*F75/12</f>
        <v>12235.362000000001</v>
      </c>
    </row>
    <row r="76" spans="1:22" ht="15.75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33" customHeight="1">
      <c r="A77" s="29">
        <v>13</v>
      </c>
      <c r="B77" s="37" t="s">
        <v>184</v>
      </c>
      <c r="C77" s="38" t="s">
        <v>111</v>
      </c>
      <c r="D77" s="37" t="s">
        <v>307</v>
      </c>
      <c r="E77" s="17">
        <v>2</v>
      </c>
      <c r="F77" s="36">
        <f>E77</f>
        <v>2</v>
      </c>
      <c r="G77" s="36">
        <v>2112.2800000000002</v>
      </c>
      <c r="H77" s="177"/>
      <c r="I77" s="18">
        <f>G77*1</f>
        <v>2112.2800000000002</v>
      </c>
    </row>
    <row r="78" spans="1:22" ht="15.75" hidden="1" customHeight="1">
      <c r="A78" s="29">
        <v>14</v>
      </c>
      <c r="B78" s="37" t="s">
        <v>71</v>
      </c>
      <c r="C78" s="38" t="s">
        <v>73</v>
      </c>
      <c r="D78" s="37" t="s">
        <v>198</v>
      </c>
      <c r="E78" s="17">
        <v>8</v>
      </c>
      <c r="F78" s="36">
        <f>E78/10</f>
        <v>0.8</v>
      </c>
      <c r="G78" s="36">
        <v>684.19</v>
      </c>
      <c r="H78" s="100">
        <f t="shared" ref="H78:H82" si="12">SUM(F78*G78/1000)</f>
        <v>0.54735200000000006</v>
      </c>
      <c r="I78" s="13">
        <f>G78*0.3</f>
        <v>205.25700000000001</v>
      </c>
    </row>
    <row r="79" spans="1:22" ht="15.75" hidden="1" customHeight="1">
      <c r="A79" s="29"/>
      <c r="B79" s="99" t="s">
        <v>132</v>
      </c>
      <c r="C79" s="16" t="s">
        <v>31</v>
      </c>
      <c r="D79" s="99"/>
      <c r="E79" s="18">
        <v>1</v>
      </c>
      <c r="F79" s="13">
        <v>1</v>
      </c>
      <c r="G79" s="13">
        <v>99.85</v>
      </c>
      <c r="H79" s="100">
        <f>F79*G79/1000</f>
        <v>9.9849999999999994E-2</v>
      </c>
      <c r="I79" s="13">
        <v>0</v>
      </c>
    </row>
    <row r="80" spans="1:22" ht="15.75" hidden="1" customHeight="1">
      <c r="A80" s="29"/>
      <c r="B80" s="99" t="s">
        <v>133</v>
      </c>
      <c r="C80" s="16" t="s">
        <v>31</v>
      </c>
      <c r="D80" s="99"/>
      <c r="E80" s="18">
        <v>1</v>
      </c>
      <c r="F80" s="13">
        <v>1</v>
      </c>
      <c r="G80" s="13">
        <v>120.26</v>
      </c>
      <c r="H80" s="100">
        <f>F80*G80/1000</f>
        <v>0.12026000000000001</v>
      </c>
      <c r="I80" s="13">
        <v>0</v>
      </c>
    </row>
    <row r="81" spans="1:9" ht="15.75" hidden="1" customHeight="1">
      <c r="A81" s="29">
        <v>19</v>
      </c>
      <c r="B81" s="99" t="s">
        <v>72</v>
      </c>
      <c r="C81" s="16" t="s">
        <v>31</v>
      </c>
      <c r="D81" s="99"/>
      <c r="E81" s="18">
        <v>2</v>
      </c>
      <c r="F81" s="97">
        <v>2</v>
      </c>
      <c r="G81" s="13">
        <v>852.99</v>
      </c>
      <c r="H81" s="100">
        <f>F81*G81/1000</f>
        <v>1.7059800000000001</v>
      </c>
      <c r="I81" s="13">
        <f>G81</f>
        <v>852.99</v>
      </c>
    </row>
    <row r="82" spans="1:9" ht="15.75" hidden="1" customHeight="1">
      <c r="A82" s="29">
        <v>10</v>
      </c>
      <c r="B82" s="99" t="s">
        <v>83</v>
      </c>
      <c r="C82" s="16" t="s">
        <v>111</v>
      </c>
      <c r="D82" s="99"/>
      <c r="E82" s="18">
        <v>1</v>
      </c>
      <c r="F82" s="85">
        <f>SUM(E82)</f>
        <v>1</v>
      </c>
      <c r="G82" s="13">
        <v>358.51</v>
      </c>
      <c r="H82" s="100">
        <f t="shared" si="12"/>
        <v>0.35851</v>
      </c>
      <c r="I82" s="13">
        <f>G82</f>
        <v>358.51</v>
      </c>
    </row>
    <row r="83" spans="1:9" ht="15.75" customHeight="1">
      <c r="A83" s="29">
        <v>14</v>
      </c>
      <c r="B83" s="37" t="s">
        <v>176</v>
      </c>
      <c r="C83" s="38" t="s">
        <v>111</v>
      </c>
      <c r="D83" s="37" t="s">
        <v>190</v>
      </c>
      <c r="E83" s="17">
        <v>1</v>
      </c>
      <c r="F83" s="36">
        <f>E83*12</f>
        <v>12</v>
      </c>
      <c r="G83" s="36">
        <v>55.55</v>
      </c>
      <c r="H83" s="100"/>
      <c r="I83" s="13">
        <f>G83*1</f>
        <v>55.55</v>
      </c>
    </row>
    <row r="84" spans="1:9" ht="15.75" hidden="1" customHeight="1">
      <c r="A84" s="29"/>
      <c r="B84" s="99"/>
      <c r="C84" s="16"/>
      <c r="D84" s="99"/>
      <c r="E84" s="18"/>
      <c r="F84" s="97"/>
      <c r="G84" s="13"/>
      <c r="H84" s="100"/>
      <c r="I84" s="13"/>
    </row>
    <row r="85" spans="1:9" ht="15.75" hidden="1" customHeight="1">
      <c r="A85" s="29"/>
      <c r="B85" s="49" t="s">
        <v>74</v>
      </c>
      <c r="C85" s="38"/>
      <c r="D85" s="29"/>
      <c r="E85" s="18"/>
      <c r="F85" s="18"/>
      <c r="G85" s="36"/>
      <c r="H85" s="36"/>
      <c r="I85" s="18"/>
    </row>
    <row r="86" spans="1:9" ht="15.75" hidden="1" customHeight="1">
      <c r="A86" s="29">
        <v>39</v>
      </c>
      <c r="B86" s="51" t="s">
        <v>120</v>
      </c>
      <c r="C86" s="16" t="s">
        <v>75</v>
      </c>
      <c r="D86" s="99"/>
      <c r="E86" s="18"/>
      <c r="F86" s="13">
        <v>1.35</v>
      </c>
      <c r="G86" s="13">
        <v>2759.44</v>
      </c>
      <c r="H86" s="100">
        <f t="shared" ref="H86" si="13">SUM(F86*G86/1000)</f>
        <v>3.725244</v>
      </c>
      <c r="I86" s="13">
        <v>0</v>
      </c>
    </row>
    <row r="87" spans="1:9" ht="15.75" hidden="1" customHeight="1">
      <c r="A87" s="125"/>
      <c r="B87" s="184"/>
      <c r="C87" s="185"/>
      <c r="D87" s="186"/>
      <c r="E87" s="187"/>
      <c r="F87" s="188"/>
      <c r="G87" s="188"/>
      <c r="H87" s="188"/>
      <c r="I87" s="189"/>
    </row>
    <row r="88" spans="1:9" ht="15.75" customHeight="1">
      <c r="A88" s="210" t="s">
        <v>149</v>
      </c>
      <c r="B88" s="211"/>
      <c r="C88" s="211"/>
      <c r="D88" s="211"/>
      <c r="E88" s="211"/>
      <c r="F88" s="211"/>
      <c r="G88" s="211"/>
      <c r="H88" s="211"/>
      <c r="I88" s="212"/>
    </row>
    <row r="89" spans="1:9" ht="15.75" customHeight="1">
      <c r="A89" s="29">
        <v>15</v>
      </c>
      <c r="B89" s="32" t="s">
        <v>121</v>
      </c>
      <c r="C89" s="38" t="s">
        <v>53</v>
      </c>
      <c r="D89" s="63"/>
      <c r="E89" s="36">
        <v>5162.6000000000004</v>
      </c>
      <c r="F89" s="36">
        <f>SUM(E89*12)</f>
        <v>61951.200000000004</v>
      </c>
      <c r="G89" s="36">
        <v>3.22</v>
      </c>
      <c r="H89" s="102">
        <f>SUM(F89*G89/1000)</f>
        <v>199.48286400000003</v>
      </c>
      <c r="I89" s="13">
        <f>F89/12*G89</f>
        <v>16623.572000000004</v>
      </c>
    </row>
    <row r="90" spans="1:9" ht="31.5" customHeight="1">
      <c r="A90" s="29">
        <v>16</v>
      </c>
      <c r="B90" s="37" t="s">
        <v>177</v>
      </c>
      <c r="C90" s="112" t="s">
        <v>178</v>
      </c>
      <c r="D90" s="37"/>
      <c r="E90" s="17">
        <v>5162.6000000000004</v>
      </c>
      <c r="F90" s="36">
        <f>E90*12</f>
        <v>61951.200000000004</v>
      </c>
      <c r="G90" s="36">
        <v>3.64</v>
      </c>
      <c r="H90" s="100">
        <f>F90*G90/1000</f>
        <v>225.50236800000002</v>
      </c>
      <c r="I90" s="13">
        <f>F90/12*G90</f>
        <v>18791.864000000001</v>
      </c>
    </row>
    <row r="91" spans="1:9" ht="15.75" customHeight="1">
      <c r="A91" s="81"/>
      <c r="B91" s="39" t="s">
        <v>78</v>
      </c>
      <c r="C91" s="40"/>
      <c r="D91" s="15"/>
      <c r="E91" s="15"/>
      <c r="F91" s="15"/>
      <c r="G91" s="18"/>
      <c r="H91" s="18"/>
      <c r="I91" s="31">
        <f>I90+I89+I77+I83+I75+I64+I62+I33+I31+I30+I27+I21+I20+I18+I17+I16</f>
        <v>81420.311251599996</v>
      </c>
    </row>
    <row r="92" spans="1:9" ht="15.75" customHeight="1">
      <c r="A92" s="213" t="s">
        <v>58</v>
      </c>
      <c r="B92" s="214"/>
      <c r="C92" s="214"/>
      <c r="D92" s="214"/>
      <c r="E92" s="214"/>
      <c r="F92" s="214"/>
      <c r="G92" s="214"/>
      <c r="H92" s="214"/>
      <c r="I92" s="215"/>
    </row>
    <row r="93" spans="1:9" ht="16.5" customHeight="1">
      <c r="A93" s="29">
        <v>17</v>
      </c>
      <c r="B93" s="66" t="s">
        <v>142</v>
      </c>
      <c r="C93" s="67" t="s">
        <v>80</v>
      </c>
      <c r="D93" s="64" t="s">
        <v>311</v>
      </c>
      <c r="E93" s="36"/>
      <c r="F93" s="36">
        <v>10</v>
      </c>
      <c r="G93" s="36">
        <v>222.63</v>
      </c>
      <c r="H93" s="102">
        <f t="shared" ref="H93" si="14">G93*F93/1000</f>
        <v>2.2263000000000002</v>
      </c>
      <c r="I93" s="13">
        <f>G93*1</f>
        <v>222.63</v>
      </c>
    </row>
    <row r="94" spans="1:9" ht="17.25" customHeight="1">
      <c r="A94" s="29">
        <v>18</v>
      </c>
      <c r="B94" s="66" t="s">
        <v>158</v>
      </c>
      <c r="C94" s="67" t="s">
        <v>111</v>
      </c>
      <c r="D94" s="64"/>
      <c r="E94" s="36"/>
      <c r="F94" s="36">
        <v>2</v>
      </c>
      <c r="G94" s="36">
        <v>215.85</v>
      </c>
      <c r="H94" s="102"/>
      <c r="I94" s="13">
        <f>G94*1</f>
        <v>215.85</v>
      </c>
    </row>
    <row r="95" spans="1:9" ht="28.5" customHeight="1">
      <c r="A95" s="29">
        <v>19</v>
      </c>
      <c r="B95" s="66" t="s">
        <v>218</v>
      </c>
      <c r="C95" s="67" t="s">
        <v>164</v>
      </c>
      <c r="D95" s="37" t="s">
        <v>312</v>
      </c>
      <c r="E95" s="36"/>
      <c r="F95" s="36">
        <v>4.5</v>
      </c>
      <c r="G95" s="36">
        <v>1523.6</v>
      </c>
      <c r="H95" s="102"/>
      <c r="I95" s="13">
        <f>G95*1</f>
        <v>1523.6</v>
      </c>
    </row>
    <row r="96" spans="1:9" ht="28.5" customHeight="1">
      <c r="A96" s="29">
        <v>20</v>
      </c>
      <c r="B96" s="66" t="s">
        <v>242</v>
      </c>
      <c r="C96" s="67" t="s">
        <v>164</v>
      </c>
      <c r="D96" s="37" t="s">
        <v>310</v>
      </c>
      <c r="E96" s="36"/>
      <c r="F96" s="36">
        <v>17</v>
      </c>
      <c r="G96" s="36">
        <v>1421.68</v>
      </c>
      <c r="H96" s="102"/>
      <c r="I96" s="13">
        <f>G96*3</f>
        <v>4265.04</v>
      </c>
    </row>
    <row r="97" spans="1:9" ht="28.5" customHeight="1">
      <c r="A97" s="29">
        <v>21</v>
      </c>
      <c r="B97" s="66" t="s">
        <v>304</v>
      </c>
      <c r="C97" s="67" t="s">
        <v>164</v>
      </c>
      <c r="D97" s="37" t="s">
        <v>309</v>
      </c>
      <c r="E97" s="36"/>
      <c r="F97" s="36">
        <v>15</v>
      </c>
      <c r="G97" s="36">
        <v>1446.64</v>
      </c>
      <c r="H97" s="102"/>
      <c r="I97" s="13">
        <f>G97*15</f>
        <v>21699.600000000002</v>
      </c>
    </row>
    <row r="98" spans="1:9" ht="30" customHeight="1">
      <c r="A98" s="29">
        <v>22</v>
      </c>
      <c r="B98" s="66" t="s">
        <v>220</v>
      </c>
      <c r="C98" s="67" t="s">
        <v>37</v>
      </c>
      <c r="D98" s="64" t="s">
        <v>189</v>
      </c>
      <c r="E98" s="36"/>
      <c r="F98" s="36">
        <v>0.2</v>
      </c>
      <c r="G98" s="36">
        <v>4070.89</v>
      </c>
      <c r="H98" s="102"/>
      <c r="I98" s="13">
        <v>0</v>
      </c>
    </row>
    <row r="99" spans="1:9" ht="20.25" customHeight="1">
      <c r="A99" s="29">
        <v>23</v>
      </c>
      <c r="B99" s="158" t="s">
        <v>305</v>
      </c>
      <c r="C99" s="103" t="s">
        <v>306</v>
      </c>
      <c r="D99" s="64" t="s">
        <v>308</v>
      </c>
      <c r="E99" s="36"/>
      <c r="F99" s="36">
        <v>0.2</v>
      </c>
      <c r="G99" s="36">
        <v>16083.81</v>
      </c>
      <c r="H99" s="102"/>
      <c r="I99" s="13">
        <f>G99*0.2</f>
        <v>3216.7620000000002</v>
      </c>
    </row>
    <row r="100" spans="1:9" ht="15.75" customHeight="1">
      <c r="A100" s="29"/>
      <c r="B100" s="45" t="s">
        <v>50</v>
      </c>
      <c r="C100" s="41"/>
      <c r="D100" s="53"/>
      <c r="E100" s="41">
        <v>1</v>
      </c>
      <c r="F100" s="41"/>
      <c r="G100" s="41"/>
      <c r="H100" s="41"/>
      <c r="I100" s="31">
        <f>SUM(I93:I99)</f>
        <v>31143.482</v>
      </c>
    </row>
    <row r="101" spans="1:9" ht="15.75" customHeight="1">
      <c r="A101" s="29"/>
      <c r="B101" s="51" t="s">
        <v>76</v>
      </c>
      <c r="C101" s="15"/>
      <c r="D101" s="15"/>
      <c r="E101" s="42"/>
      <c r="F101" s="42"/>
      <c r="G101" s="43"/>
      <c r="H101" s="43"/>
      <c r="I101" s="17">
        <v>0</v>
      </c>
    </row>
    <row r="102" spans="1:9" ht="15.75" customHeight="1">
      <c r="A102" s="54"/>
      <c r="B102" s="46" t="s">
        <v>143</v>
      </c>
      <c r="C102" s="34"/>
      <c r="D102" s="34"/>
      <c r="E102" s="34"/>
      <c r="F102" s="34"/>
      <c r="G102" s="34"/>
      <c r="H102" s="34"/>
      <c r="I102" s="44">
        <f>I91+I100</f>
        <v>112563.7932516</v>
      </c>
    </row>
    <row r="103" spans="1:9" ht="15.75">
      <c r="A103" s="207" t="s">
        <v>348</v>
      </c>
      <c r="B103" s="207"/>
      <c r="C103" s="207"/>
      <c r="D103" s="207"/>
      <c r="E103" s="207"/>
      <c r="F103" s="207"/>
      <c r="G103" s="207"/>
      <c r="H103" s="207"/>
      <c r="I103" s="207"/>
    </row>
    <row r="104" spans="1:9" ht="15.75">
      <c r="A104" s="61"/>
      <c r="B104" s="208" t="s">
        <v>349</v>
      </c>
      <c r="C104" s="208"/>
      <c r="D104" s="208"/>
      <c r="E104" s="208"/>
      <c r="F104" s="208"/>
      <c r="G104" s="208"/>
      <c r="H104" s="80"/>
      <c r="I104" s="3"/>
    </row>
    <row r="105" spans="1:9">
      <c r="A105" s="74"/>
      <c r="B105" s="206" t="s">
        <v>6</v>
      </c>
      <c r="C105" s="206"/>
      <c r="D105" s="206"/>
      <c r="E105" s="206"/>
      <c r="F105" s="206"/>
      <c r="G105" s="206"/>
      <c r="H105" s="24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209" t="s">
        <v>7</v>
      </c>
      <c r="B107" s="209"/>
      <c r="C107" s="209"/>
      <c r="D107" s="209"/>
      <c r="E107" s="209"/>
      <c r="F107" s="209"/>
      <c r="G107" s="209"/>
      <c r="H107" s="209"/>
      <c r="I107" s="209"/>
    </row>
    <row r="108" spans="1:9" ht="15.75">
      <c r="A108" s="209" t="s">
        <v>8</v>
      </c>
      <c r="B108" s="209"/>
      <c r="C108" s="209"/>
      <c r="D108" s="209"/>
      <c r="E108" s="209"/>
      <c r="F108" s="209"/>
      <c r="G108" s="209"/>
      <c r="H108" s="209"/>
      <c r="I108" s="209"/>
    </row>
    <row r="109" spans="1:9" ht="15.75">
      <c r="A109" s="203" t="s">
        <v>59</v>
      </c>
      <c r="B109" s="203"/>
      <c r="C109" s="203"/>
      <c r="D109" s="203"/>
      <c r="E109" s="203"/>
      <c r="F109" s="203"/>
      <c r="G109" s="203"/>
      <c r="H109" s="203"/>
      <c r="I109" s="203"/>
    </row>
    <row r="110" spans="1:9" ht="15.75">
      <c r="A110" s="11"/>
    </row>
    <row r="111" spans="1:9" ht="15.75">
      <c r="A111" s="204" t="s">
        <v>9</v>
      </c>
      <c r="B111" s="204"/>
      <c r="C111" s="204"/>
      <c r="D111" s="204"/>
      <c r="E111" s="204"/>
      <c r="F111" s="204"/>
      <c r="G111" s="204"/>
      <c r="H111" s="204"/>
      <c r="I111" s="204"/>
    </row>
    <row r="112" spans="1:9" ht="15.75">
      <c r="A112" s="4"/>
    </row>
    <row r="113" spans="1:9" ht="15.75">
      <c r="B113" s="72" t="s">
        <v>10</v>
      </c>
      <c r="C113" s="205" t="s">
        <v>313</v>
      </c>
      <c r="D113" s="205"/>
      <c r="E113" s="205"/>
      <c r="F113" s="78"/>
      <c r="I113" s="73"/>
    </row>
    <row r="114" spans="1:9">
      <c r="A114" s="74"/>
      <c r="C114" s="206" t="s">
        <v>11</v>
      </c>
      <c r="D114" s="206"/>
      <c r="E114" s="206"/>
      <c r="F114" s="24"/>
      <c r="I114" s="71" t="s">
        <v>12</v>
      </c>
    </row>
    <row r="115" spans="1:9" ht="15.75">
      <c r="A115" s="25"/>
      <c r="C115" s="12"/>
      <c r="D115" s="12"/>
      <c r="G115" s="12"/>
      <c r="H115" s="12"/>
    </row>
    <row r="116" spans="1:9" ht="15.75">
      <c r="B116" s="72" t="s">
        <v>13</v>
      </c>
      <c r="C116" s="200"/>
      <c r="D116" s="200"/>
      <c r="E116" s="200"/>
      <c r="F116" s="79"/>
      <c r="I116" s="73"/>
    </row>
    <row r="117" spans="1:9">
      <c r="A117" s="74"/>
      <c r="C117" s="201" t="s">
        <v>11</v>
      </c>
      <c r="D117" s="201"/>
      <c r="E117" s="201"/>
      <c r="F117" s="74"/>
      <c r="I117" s="71" t="s">
        <v>12</v>
      </c>
    </row>
    <row r="118" spans="1:9" ht="15.75">
      <c r="A118" s="4" t="s">
        <v>14</v>
      </c>
    </row>
    <row r="119" spans="1:9">
      <c r="A119" s="202" t="s">
        <v>15</v>
      </c>
      <c r="B119" s="202"/>
      <c r="C119" s="202"/>
      <c r="D119" s="202"/>
      <c r="E119" s="202"/>
      <c r="F119" s="202"/>
      <c r="G119" s="202"/>
      <c r="H119" s="202"/>
      <c r="I119" s="202"/>
    </row>
    <row r="120" spans="1:9" ht="45" customHeight="1">
      <c r="A120" s="199" t="s">
        <v>16</v>
      </c>
      <c r="B120" s="199"/>
      <c r="C120" s="199"/>
      <c r="D120" s="199"/>
      <c r="E120" s="199"/>
      <c r="F120" s="199"/>
      <c r="G120" s="199"/>
      <c r="H120" s="199"/>
      <c r="I120" s="199"/>
    </row>
    <row r="121" spans="1:9" ht="30" customHeight="1">
      <c r="A121" s="199" t="s">
        <v>17</v>
      </c>
      <c r="B121" s="199"/>
      <c r="C121" s="199"/>
      <c r="D121" s="199"/>
      <c r="E121" s="199"/>
      <c r="F121" s="199"/>
      <c r="G121" s="199"/>
      <c r="H121" s="199"/>
      <c r="I121" s="199"/>
    </row>
    <row r="122" spans="1:9" ht="30" customHeight="1">
      <c r="A122" s="199" t="s">
        <v>21</v>
      </c>
      <c r="B122" s="199"/>
      <c r="C122" s="199"/>
      <c r="D122" s="199"/>
      <c r="E122" s="199"/>
      <c r="F122" s="199"/>
      <c r="G122" s="199"/>
      <c r="H122" s="199"/>
      <c r="I122" s="199"/>
    </row>
    <row r="123" spans="1:9" ht="15" customHeight="1">
      <c r="A123" s="199" t="s">
        <v>20</v>
      </c>
      <c r="B123" s="199"/>
      <c r="C123" s="199"/>
      <c r="D123" s="199"/>
      <c r="E123" s="199"/>
      <c r="F123" s="199"/>
      <c r="G123" s="199"/>
      <c r="H123" s="199"/>
      <c r="I123" s="199"/>
    </row>
  </sheetData>
  <autoFilter ref="I12:I65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0:U70"/>
    <mergeCell ref="C117:E117"/>
    <mergeCell ref="A92:I92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88:I88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17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89" zoomScale="60" workbookViewId="0">
      <selection activeCell="J104" sqref="J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161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314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108"/>
      <c r="C6" s="108"/>
      <c r="D6" s="108"/>
      <c r="E6" s="108"/>
      <c r="F6" s="108"/>
      <c r="G6" s="108"/>
      <c r="H6" s="108"/>
      <c r="I6" s="30">
        <v>44165</v>
      </c>
      <c r="J6" s="2"/>
      <c r="K6" s="2"/>
      <c r="L6" s="2"/>
      <c r="M6" s="2"/>
    </row>
    <row r="7" spans="1:13" ht="15.75" customHeight="1">
      <c r="B7" s="106"/>
      <c r="C7" s="106"/>
      <c r="D7" s="1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303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196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F18/18*G18</f>
        <v>4468.7811599999995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6" t="s">
        <v>89</v>
      </c>
      <c r="D20" s="32" t="s">
        <v>196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96</v>
      </c>
      <c r="C21" s="136" t="s">
        <v>89</v>
      </c>
      <c r="D21" s="32" t="s">
        <v>196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hidden="1" customHeight="1">
      <c r="A28" s="29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ref="H28" si="3">SUM(F28*G28/1000)</f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222" t="s">
        <v>81</v>
      </c>
      <c r="B29" s="222"/>
      <c r="C29" s="222"/>
      <c r="D29" s="222"/>
      <c r="E29" s="222"/>
      <c r="F29" s="222"/>
      <c r="G29" s="222"/>
      <c r="H29" s="222"/>
      <c r="I29" s="222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6</v>
      </c>
      <c r="B31" s="82" t="s">
        <v>101</v>
      </c>
      <c r="C31" s="83" t="s">
        <v>102</v>
      </c>
      <c r="D31" s="82" t="s">
        <v>103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4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7</v>
      </c>
      <c r="B32" s="82" t="s">
        <v>139</v>
      </c>
      <c r="C32" s="83" t="s">
        <v>102</v>
      </c>
      <c r="D32" s="82" t="s">
        <v>104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4"/>
        <v>5.8066366175999979</v>
      </c>
      <c r="I32" s="13">
        <f t="shared" ref="I32:I34" si="5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2" t="s">
        <v>28</v>
      </c>
      <c r="C33" s="83" t="s">
        <v>102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4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8</v>
      </c>
      <c r="B34" s="82" t="s">
        <v>105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4"/>
        <v>2.9289833333333331</v>
      </c>
      <c r="I34" s="13">
        <f t="shared" si="5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4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4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7</v>
      </c>
      <c r="B38" s="152" t="s">
        <v>27</v>
      </c>
      <c r="C38" s="136" t="s">
        <v>32</v>
      </c>
      <c r="D38" s="32" t="s">
        <v>205</v>
      </c>
      <c r="E38" s="149"/>
      <c r="F38" s="137">
        <v>8</v>
      </c>
      <c r="G38" s="137">
        <v>2083</v>
      </c>
      <c r="H38" s="86">
        <f t="shared" ref="H38:H44" si="6">SUM(F38*G38/1000)</f>
        <v>16.664000000000001</v>
      </c>
      <c r="I38" s="13">
        <f>G38*0.5</f>
        <v>1041.5</v>
      </c>
      <c r="J38" s="23"/>
    </row>
    <row r="39" spans="1:14" ht="15.75" customHeight="1">
      <c r="A39" s="33">
        <v>7</v>
      </c>
      <c r="B39" s="152" t="s">
        <v>123</v>
      </c>
      <c r="C39" s="153" t="s">
        <v>30</v>
      </c>
      <c r="D39" s="152" t="s">
        <v>192</v>
      </c>
      <c r="E39" s="154">
        <v>287.83999999999997</v>
      </c>
      <c r="F39" s="154">
        <f>SUM(E39*30/1000)</f>
        <v>8.6351999999999993</v>
      </c>
      <c r="G39" s="154">
        <v>2868.09</v>
      </c>
      <c r="H39" s="86">
        <f t="shared" si="6"/>
        <v>24.766530767999999</v>
      </c>
      <c r="I39" s="13">
        <f>F39/6*G39</f>
        <v>4127.7551279999998</v>
      </c>
      <c r="J39" s="23"/>
    </row>
    <row r="40" spans="1:14" ht="15.75" customHeight="1">
      <c r="A40" s="33">
        <v>8</v>
      </c>
      <c r="B40" s="152" t="s">
        <v>170</v>
      </c>
      <c r="C40" s="153" t="s">
        <v>30</v>
      </c>
      <c r="D40" s="32" t="s">
        <v>193</v>
      </c>
      <c r="E40" s="149">
        <v>287.83999999999997</v>
      </c>
      <c r="F40" s="154">
        <f>E40*155/1000</f>
        <v>44.615199999999994</v>
      </c>
      <c r="G40" s="137">
        <v>478.42</v>
      </c>
      <c r="H40" s="86">
        <f>G40*F40/1000</f>
        <v>21.344803983999999</v>
      </c>
      <c r="I40" s="13">
        <f>F40/6*G40</f>
        <v>3557.4673306666664</v>
      </c>
      <c r="J40" s="23"/>
    </row>
    <row r="41" spans="1:14" ht="42.75" customHeight="1">
      <c r="A41" s="33">
        <v>9</v>
      </c>
      <c r="B41" s="32" t="s">
        <v>79</v>
      </c>
      <c r="C41" s="136" t="s">
        <v>102</v>
      </c>
      <c r="D41" s="32" t="s">
        <v>206</v>
      </c>
      <c r="E41" s="137">
        <v>130.6</v>
      </c>
      <c r="F41" s="154">
        <f>SUM(E41*35/1000)</f>
        <v>4.5709999999999997</v>
      </c>
      <c r="G41" s="137">
        <v>7915.6</v>
      </c>
      <c r="H41" s="86">
        <f>G41*F41/1000</f>
        <v>36.182207599999998</v>
      </c>
      <c r="I41" s="13">
        <f>G41*F41/6</f>
        <v>6030.3679333333339</v>
      </c>
      <c r="J41" s="23"/>
    </row>
    <row r="42" spans="1:14" ht="15.75" customHeight="1">
      <c r="A42" s="33">
        <v>10</v>
      </c>
      <c r="B42" s="32" t="s">
        <v>108</v>
      </c>
      <c r="C42" s="136" t="s">
        <v>102</v>
      </c>
      <c r="D42" s="32" t="s">
        <v>189</v>
      </c>
      <c r="E42" s="137">
        <v>287.83999999999997</v>
      </c>
      <c r="F42" s="154">
        <f>SUM(E42*45/1000)</f>
        <v>12.9528</v>
      </c>
      <c r="G42" s="137">
        <v>584.74</v>
      </c>
      <c r="H42" s="86">
        <f t="shared" si="6"/>
        <v>7.5740202719999994</v>
      </c>
      <c r="I42" s="13">
        <f>G42*F42/45*2</f>
        <v>336.62312320000001</v>
      </c>
      <c r="J42" s="23"/>
    </row>
    <row r="43" spans="1:14" ht="17.25" customHeight="1">
      <c r="A43" s="33">
        <v>11</v>
      </c>
      <c r="B43" s="152" t="s">
        <v>68</v>
      </c>
      <c r="C43" s="153" t="s">
        <v>33</v>
      </c>
      <c r="D43" s="152"/>
      <c r="E43" s="155"/>
      <c r="F43" s="154">
        <v>0.9</v>
      </c>
      <c r="G43" s="154">
        <v>800</v>
      </c>
      <c r="H43" s="86">
        <f t="shared" si="6"/>
        <v>0.72</v>
      </c>
      <c r="I43" s="13">
        <f>G43*F43/45*2</f>
        <v>32</v>
      </c>
      <c r="J43" s="23"/>
      <c r="L43" s="19"/>
      <c r="M43" s="20"/>
      <c r="N43" s="21"/>
    </row>
    <row r="44" spans="1:14" ht="32.25" customHeight="1">
      <c r="A44" s="33">
        <v>12</v>
      </c>
      <c r="B44" s="152" t="s">
        <v>171</v>
      </c>
      <c r="C44" s="153" t="s">
        <v>102</v>
      </c>
      <c r="D44" s="152" t="s">
        <v>195</v>
      </c>
      <c r="E44" s="155">
        <v>0.6</v>
      </c>
      <c r="F44" s="154">
        <v>0.01</v>
      </c>
      <c r="G44" s="154">
        <v>18798.34</v>
      </c>
      <c r="H44" s="86">
        <f t="shared" si="6"/>
        <v>0.18798340000000002</v>
      </c>
      <c r="I44" s="13">
        <f>G44*F44/6</f>
        <v>31.33056666666667</v>
      </c>
      <c r="J44" s="23"/>
      <c r="L44" s="19"/>
      <c r="M44" s="20"/>
      <c r="N44" s="21"/>
    </row>
    <row r="45" spans="1:14" ht="15.75" customHeight="1">
      <c r="A45" s="226" t="s">
        <v>136</v>
      </c>
      <c r="B45" s="227"/>
      <c r="C45" s="227"/>
      <c r="D45" s="227"/>
      <c r="E45" s="227"/>
      <c r="F45" s="227"/>
      <c r="G45" s="227"/>
      <c r="H45" s="227"/>
      <c r="I45" s="228"/>
      <c r="J45" s="23"/>
      <c r="L45" s="19"/>
      <c r="M45" s="20"/>
      <c r="N45" s="21"/>
    </row>
    <row r="46" spans="1:14" ht="15.75" hidden="1" customHeight="1">
      <c r="A46" s="40">
        <v>9</v>
      </c>
      <c r="B46" s="82" t="s">
        <v>128</v>
      </c>
      <c r="C46" s="83" t="s">
        <v>102</v>
      </c>
      <c r="D46" s="82" t="s">
        <v>41</v>
      </c>
      <c r="E46" s="84">
        <v>1369</v>
      </c>
      <c r="F46" s="85">
        <f>SUM(E46*2/1000)</f>
        <v>2.738</v>
      </c>
      <c r="G46" s="13">
        <v>849.49</v>
      </c>
      <c r="H46" s="86">
        <f t="shared" ref="H46:H54" si="7">SUM(F46*G46/1000)</f>
        <v>2.3259036200000001</v>
      </c>
      <c r="I46" s="13">
        <f t="shared" ref="I46:I48" si="8">F46/2*G46</f>
        <v>1162.95181</v>
      </c>
      <c r="J46" s="23"/>
      <c r="L46" s="19"/>
      <c r="M46" s="20"/>
      <c r="N46" s="21"/>
    </row>
    <row r="47" spans="1:14" ht="15.75" hidden="1" customHeight="1">
      <c r="A47" s="40">
        <v>10</v>
      </c>
      <c r="B47" s="82" t="s">
        <v>34</v>
      </c>
      <c r="C47" s="83" t="s">
        <v>102</v>
      </c>
      <c r="D47" s="82" t="s">
        <v>41</v>
      </c>
      <c r="E47" s="84">
        <v>1418</v>
      </c>
      <c r="F47" s="85">
        <f>SUM(E47*2/1000)</f>
        <v>2.8359999999999999</v>
      </c>
      <c r="G47" s="13">
        <v>579.48</v>
      </c>
      <c r="H47" s="86">
        <f t="shared" si="7"/>
        <v>1.6434052799999999</v>
      </c>
      <c r="I47" s="13">
        <f t="shared" si="8"/>
        <v>821.70263999999997</v>
      </c>
      <c r="J47" s="23"/>
      <c r="L47" s="19"/>
      <c r="M47" s="20"/>
      <c r="N47" s="21"/>
    </row>
    <row r="48" spans="1:14" ht="15.75" hidden="1" customHeight="1">
      <c r="A48" s="40">
        <v>11</v>
      </c>
      <c r="B48" s="82" t="s">
        <v>35</v>
      </c>
      <c r="C48" s="83" t="s">
        <v>102</v>
      </c>
      <c r="D48" s="82" t="s">
        <v>41</v>
      </c>
      <c r="E48" s="84">
        <v>4985.21</v>
      </c>
      <c r="F48" s="85">
        <f>SUM(E48*2/1000)</f>
        <v>9.9704200000000007</v>
      </c>
      <c r="G48" s="13">
        <v>579.48</v>
      </c>
      <c r="H48" s="86">
        <f t="shared" si="7"/>
        <v>5.7776589816000001</v>
      </c>
      <c r="I48" s="13">
        <f t="shared" si="8"/>
        <v>2888.8294908000003</v>
      </c>
      <c r="J48" s="23"/>
      <c r="L48" s="19"/>
      <c r="M48" s="20"/>
      <c r="N48" s="21"/>
    </row>
    <row r="49" spans="1:14" ht="15.75" hidden="1" customHeight="1">
      <c r="A49" s="40">
        <v>12</v>
      </c>
      <c r="B49" s="82" t="s">
        <v>36</v>
      </c>
      <c r="C49" s="83" t="s">
        <v>102</v>
      </c>
      <c r="D49" s="82" t="s">
        <v>41</v>
      </c>
      <c r="E49" s="84">
        <v>2474</v>
      </c>
      <c r="F49" s="85">
        <f>SUM(E49*2/1000)</f>
        <v>4.9480000000000004</v>
      </c>
      <c r="G49" s="13">
        <v>606.77</v>
      </c>
      <c r="H49" s="86">
        <f t="shared" si="7"/>
        <v>3.0022979600000004</v>
      </c>
      <c r="I49" s="13">
        <f>F49/2*G49</f>
        <v>1501.1489800000002</v>
      </c>
      <c r="J49" s="23"/>
      <c r="L49" s="19"/>
      <c r="M49" s="20"/>
      <c r="N49" s="21"/>
    </row>
    <row r="50" spans="1:14" ht="15.75" hidden="1" customHeight="1">
      <c r="A50" s="40">
        <v>13</v>
      </c>
      <c r="B50" s="82" t="s">
        <v>54</v>
      </c>
      <c r="C50" s="83" t="s">
        <v>102</v>
      </c>
      <c r="D50" s="82" t="s">
        <v>140</v>
      </c>
      <c r="E50" s="84">
        <v>1349.3</v>
      </c>
      <c r="F50" s="85">
        <f>SUM(E50*5/1000)</f>
        <v>6.7465000000000002</v>
      </c>
      <c r="G50" s="13">
        <v>1213.55</v>
      </c>
      <c r="H50" s="86">
        <f t="shared" si="7"/>
        <v>8.1872150749999992</v>
      </c>
      <c r="I50" s="13">
        <f>F50/5*G50</f>
        <v>1637.4430149999998</v>
      </c>
      <c r="J50" s="23"/>
      <c r="L50" s="19"/>
      <c r="M50" s="20"/>
      <c r="N50" s="21"/>
    </row>
    <row r="51" spans="1:14" ht="30.75" hidden="1" customHeight="1">
      <c r="A51" s="40">
        <v>9</v>
      </c>
      <c r="B51" s="82" t="s">
        <v>109</v>
      </c>
      <c r="C51" s="83" t="s">
        <v>102</v>
      </c>
      <c r="D51" s="82" t="s">
        <v>41</v>
      </c>
      <c r="E51" s="84">
        <v>1349.3</v>
      </c>
      <c r="F51" s="85">
        <f>SUM(E51*2/1000)</f>
        <v>2.6985999999999999</v>
      </c>
      <c r="G51" s="13">
        <v>1213.55</v>
      </c>
      <c r="H51" s="86">
        <f t="shared" si="7"/>
        <v>3.2748860299999998</v>
      </c>
      <c r="I51" s="13">
        <f>F51/2*G51</f>
        <v>1637.4430149999998</v>
      </c>
      <c r="J51" s="23"/>
      <c r="L51" s="19"/>
      <c r="M51" s="20"/>
      <c r="N51" s="21"/>
    </row>
    <row r="52" spans="1:14" ht="30.75" hidden="1" customHeight="1">
      <c r="A52" s="40">
        <v>10</v>
      </c>
      <c r="B52" s="82" t="s">
        <v>110</v>
      </c>
      <c r="C52" s="83" t="s">
        <v>37</v>
      </c>
      <c r="D52" s="82" t="s">
        <v>41</v>
      </c>
      <c r="E52" s="84">
        <v>40</v>
      </c>
      <c r="F52" s="85">
        <f>SUM(E52*2/100)</f>
        <v>0.8</v>
      </c>
      <c r="G52" s="13">
        <v>2730.49</v>
      </c>
      <c r="H52" s="86">
        <f t="shared" si="7"/>
        <v>2.1843919999999999</v>
      </c>
      <c r="I52" s="13">
        <f t="shared" ref="I52:I53" si="9">F52/2*G52</f>
        <v>1092.1959999999999</v>
      </c>
      <c r="J52" s="23"/>
      <c r="L52" s="19"/>
      <c r="M52" s="20"/>
      <c r="N52" s="21"/>
    </row>
    <row r="53" spans="1:14" ht="15.75" hidden="1" customHeight="1">
      <c r="A53" s="40">
        <v>11</v>
      </c>
      <c r="B53" s="82" t="s">
        <v>38</v>
      </c>
      <c r="C53" s="83" t="s">
        <v>39</v>
      </c>
      <c r="D53" s="82" t="s">
        <v>41</v>
      </c>
      <c r="E53" s="84">
        <v>1</v>
      </c>
      <c r="F53" s="85">
        <v>0.02</v>
      </c>
      <c r="G53" s="13">
        <v>5652.13</v>
      </c>
      <c r="H53" s="86">
        <f t="shared" si="7"/>
        <v>0.11304260000000001</v>
      </c>
      <c r="I53" s="13">
        <f t="shared" si="9"/>
        <v>56.521300000000004</v>
      </c>
      <c r="J53" s="23"/>
      <c r="L53" s="19"/>
      <c r="M53" s="20"/>
      <c r="N53" s="21"/>
    </row>
    <row r="54" spans="1:14" ht="15.75" customHeight="1">
      <c r="A54" s="40">
        <v>13</v>
      </c>
      <c r="B54" s="82" t="s">
        <v>40</v>
      </c>
      <c r="C54" s="83" t="s">
        <v>111</v>
      </c>
      <c r="D54" s="180">
        <v>44155</v>
      </c>
      <c r="E54" s="84">
        <v>238</v>
      </c>
      <c r="F54" s="85">
        <f>SUM(E54)*3</f>
        <v>714</v>
      </c>
      <c r="G54" s="157">
        <v>89.59</v>
      </c>
      <c r="H54" s="86">
        <f t="shared" si="7"/>
        <v>63.967260000000003</v>
      </c>
      <c r="I54" s="13">
        <f>E54*G54</f>
        <v>21322.420000000002</v>
      </c>
      <c r="J54" s="23"/>
      <c r="L54" s="19"/>
      <c r="M54" s="20"/>
      <c r="N54" s="21"/>
    </row>
    <row r="55" spans="1:14" ht="15.75" customHeight="1">
      <c r="A55" s="226" t="s">
        <v>148</v>
      </c>
      <c r="B55" s="227"/>
      <c r="C55" s="227"/>
      <c r="D55" s="227"/>
      <c r="E55" s="227"/>
      <c r="F55" s="227"/>
      <c r="G55" s="227"/>
      <c r="H55" s="227"/>
      <c r="I55" s="228"/>
      <c r="J55" s="23"/>
      <c r="L55" s="19"/>
      <c r="M55" s="20"/>
      <c r="N55" s="21"/>
    </row>
    <row r="56" spans="1:14" ht="15.75" hidden="1" customHeight="1">
      <c r="A56" s="110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0">
        <v>12</v>
      </c>
      <c r="B57" s="82" t="s">
        <v>112</v>
      </c>
      <c r="C57" s="83" t="s">
        <v>89</v>
      </c>
      <c r="D57" s="82" t="s">
        <v>113</v>
      </c>
      <c r="E57" s="84">
        <v>176.9</v>
      </c>
      <c r="F57" s="85">
        <f>SUM(E57*6/100)</f>
        <v>10.614000000000001</v>
      </c>
      <c r="G57" s="13">
        <v>1547.28</v>
      </c>
      <c r="H57" s="86">
        <f>SUM(F57*G57/1000)</f>
        <v>16.422829920000002</v>
      </c>
      <c r="I57" s="13">
        <f>G57*0.429</f>
        <v>663.78311999999994</v>
      </c>
      <c r="J57" s="23"/>
      <c r="L57" s="19"/>
      <c r="M57" s="20"/>
      <c r="N57" s="21"/>
    </row>
    <row r="58" spans="1:14" ht="15.75" hidden="1" customHeight="1">
      <c r="A58" s="40">
        <v>14</v>
      </c>
      <c r="B58" s="32" t="s">
        <v>172</v>
      </c>
      <c r="C58" s="136" t="s">
        <v>89</v>
      </c>
      <c r="D58" s="32" t="s">
        <v>196</v>
      </c>
      <c r="E58" s="150">
        <v>69.5</v>
      </c>
      <c r="F58" s="151">
        <f>E58*6/100</f>
        <v>4.17</v>
      </c>
      <c r="G58" s="137">
        <v>2110.4699999999998</v>
      </c>
      <c r="H58" s="86">
        <f>F58*G58/1000</f>
        <v>8.8006598999999994</v>
      </c>
      <c r="I58" s="13">
        <f>F58/6*G58</f>
        <v>1466.7766499999998</v>
      </c>
      <c r="J58" s="23"/>
      <c r="L58" s="19"/>
      <c r="M58" s="20"/>
      <c r="N58" s="21"/>
    </row>
    <row r="59" spans="1:14" ht="15.75" hidden="1" customHeight="1">
      <c r="A59" s="40"/>
      <c r="B59" s="82" t="s">
        <v>130</v>
      </c>
      <c r="C59" s="83" t="s">
        <v>131</v>
      </c>
      <c r="D59" s="82" t="s">
        <v>41</v>
      </c>
      <c r="E59" s="91">
        <v>8</v>
      </c>
      <c r="F59" s="13">
        <v>16</v>
      </c>
      <c r="G59" s="85">
        <v>180.78</v>
      </c>
      <c r="H59" s="86">
        <f>SUM(F59*G59/1000)</f>
        <v>2.8924799999999999</v>
      </c>
      <c r="I59" s="13">
        <v>0</v>
      </c>
      <c r="J59" s="23"/>
      <c r="L59" s="19"/>
      <c r="M59" s="20"/>
      <c r="N59" s="21"/>
    </row>
    <row r="60" spans="1:14" ht="15.75" customHeight="1">
      <c r="A60" s="40"/>
      <c r="B60" s="109" t="s">
        <v>43</v>
      </c>
      <c r="C60" s="109"/>
      <c r="D60" s="109"/>
      <c r="E60" s="109"/>
      <c r="F60" s="109"/>
      <c r="G60" s="109"/>
      <c r="H60" s="109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82" t="s">
        <v>141</v>
      </c>
      <c r="C61" s="83"/>
      <c r="D61" s="82" t="s">
        <v>52</v>
      </c>
      <c r="E61" s="84">
        <v>1349.3</v>
      </c>
      <c r="F61" s="86">
        <v>13.493</v>
      </c>
      <c r="G61" s="13">
        <v>793.61</v>
      </c>
      <c r="H61" s="92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14</v>
      </c>
      <c r="B62" s="93" t="s">
        <v>88</v>
      </c>
      <c r="C62" s="94" t="s">
        <v>26</v>
      </c>
      <c r="D62" s="93"/>
      <c r="E62" s="95">
        <v>270</v>
      </c>
      <c r="F62" s="96">
        <v>2400</v>
      </c>
      <c r="G62" s="97">
        <v>1.4</v>
      </c>
      <c r="H62" s="98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hidden="1" customHeight="1">
      <c r="A63" s="40"/>
      <c r="B63" s="109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hidden="1" customHeight="1">
      <c r="A64" s="40">
        <v>16</v>
      </c>
      <c r="B64" s="148" t="s">
        <v>45</v>
      </c>
      <c r="C64" s="38" t="s">
        <v>111</v>
      </c>
      <c r="D64" s="37" t="s">
        <v>207</v>
      </c>
      <c r="E64" s="17">
        <v>40</v>
      </c>
      <c r="F64" s="137">
        <f>E64</f>
        <v>40</v>
      </c>
      <c r="G64" s="36">
        <v>303.35000000000002</v>
      </c>
      <c r="H64" s="100">
        <f t="shared" ref="H64:H71" si="10">SUM(F64*G64/1000)</f>
        <v>12.134</v>
      </c>
      <c r="I64" s="13">
        <f>G64*3</f>
        <v>910.05000000000007</v>
      </c>
    </row>
    <row r="65" spans="1:22" ht="15.75" hidden="1" customHeight="1">
      <c r="A65" s="29">
        <v>29</v>
      </c>
      <c r="B65" s="99" t="s">
        <v>46</v>
      </c>
      <c r="C65" s="16" t="s">
        <v>111</v>
      </c>
      <c r="D65" s="99" t="s">
        <v>65</v>
      </c>
      <c r="E65" s="18">
        <v>20</v>
      </c>
      <c r="F65" s="85">
        <v>20</v>
      </c>
      <c r="G65" s="13">
        <v>76.25</v>
      </c>
      <c r="H65" s="100">
        <f t="shared" si="10"/>
        <v>1.5249999999999999</v>
      </c>
      <c r="I65" s="13">
        <v>0</v>
      </c>
    </row>
    <row r="66" spans="1:22" ht="15.75" hidden="1" customHeight="1">
      <c r="A66" s="29">
        <v>25</v>
      </c>
      <c r="B66" s="99" t="s">
        <v>47</v>
      </c>
      <c r="C66" s="16" t="s">
        <v>114</v>
      </c>
      <c r="D66" s="99" t="s">
        <v>52</v>
      </c>
      <c r="E66" s="84">
        <v>18890</v>
      </c>
      <c r="F66" s="13">
        <f>SUM(E66/100)</f>
        <v>188.9</v>
      </c>
      <c r="G66" s="13">
        <v>212.15</v>
      </c>
      <c r="H66" s="100">
        <f t="shared" si="10"/>
        <v>40.075135000000003</v>
      </c>
      <c r="I66" s="13">
        <f>F66*G66</f>
        <v>40075.135000000002</v>
      </c>
    </row>
    <row r="67" spans="1:22" ht="15.75" hidden="1" customHeight="1">
      <c r="A67" s="29">
        <v>26</v>
      </c>
      <c r="B67" s="99" t="s">
        <v>48</v>
      </c>
      <c r="C67" s="16" t="s">
        <v>115</v>
      </c>
      <c r="D67" s="99"/>
      <c r="E67" s="84">
        <v>18890</v>
      </c>
      <c r="F67" s="13">
        <f>SUM(E67/1000)</f>
        <v>18.89</v>
      </c>
      <c r="G67" s="13">
        <v>165.21</v>
      </c>
      <c r="H67" s="100">
        <f t="shared" si="10"/>
        <v>3.1208169000000003</v>
      </c>
      <c r="I67" s="13">
        <f t="shared" ref="I67:I70" si="11">F67*G67</f>
        <v>3120.8169000000003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27</v>
      </c>
      <c r="B68" s="99" t="s">
        <v>49</v>
      </c>
      <c r="C68" s="16" t="s">
        <v>75</v>
      </c>
      <c r="D68" s="99" t="s">
        <v>52</v>
      </c>
      <c r="E68" s="84">
        <v>3004</v>
      </c>
      <c r="F68" s="13">
        <f>SUM(E68/100)</f>
        <v>30.04</v>
      </c>
      <c r="G68" s="13">
        <v>2074.63</v>
      </c>
      <c r="H68" s="100">
        <f t="shared" si="10"/>
        <v>62.321885200000004</v>
      </c>
      <c r="I68" s="13">
        <f t="shared" si="11"/>
        <v>62321.885200000004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28</v>
      </c>
      <c r="B69" s="101" t="s">
        <v>116</v>
      </c>
      <c r="C69" s="16" t="s">
        <v>33</v>
      </c>
      <c r="D69" s="99"/>
      <c r="E69" s="84">
        <v>15.8</v>
      </c>
      <c r="F69" s="13">
        <f>SUM(E69)</f>
        <v>15.8</v>
      </c>
      <c r="G69" s="13">
        <v>42.67</v>
      </c>
      <c r="H69" s="100">
        <f t="shared" si="10"/>
        <v>0.67418600000000006</v>
      </c>
      <c r="I69" s="13">
        <f t="shared" si="11"/>
        <v>674.18600000000004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29</v>
      </c>
      <c r="B70" s="101" t="s">
        <v>117</v>
      </c>
      <c r="C70" s="16" t="s">
        <v>33</v>
      </c>
      <c r="D70" s="99"/>
      <c r="E70" s="84">
        <v>15.8</v>
      </c>
      <c r="F70" s="13">
        <f>SUM(E70)</f>
        <v>15.8</v>
      </c>
      <c r="G70" s="13">
        <v>39.81</v>
      </c>
      <c r="H70" s="100">
        <f t="shared" si="10"/>
        <v>0.62899800000000006</v>
      </c>
      <c r="I70" s="13">
        <f t="shared" si="11"/>
        <v>628.99800000000005</v>
      </c>
      <c r="J70" s="5"/>
      <c r="K70" s="5"/>
      <c r="L70" s="5"/>
      <c r="M70" s="5"/>
      <c r="N70" s="5"/>
      <c r="O70" s="5"/>
      <c r="P70" s="5"/>
      <c r="Q70" s="5"/>
      <c r="R70" s="201"/>
      <c r="S70" s="201"/>
      <c r="T70" s="201"/>
      <c r="U70" s="201"/>
    </row>
    <row r="71" spans="1:22" ht="15.75" hidden="1" customHeight="1">
      <c r="A71" s="29">
        <v>16</v>
      </c>
      <c r="B71" s="99" t="s">
        <v>55</v>
      </c>
      <c r="C71" s="16" t="s">
        <v>56</v>
      </c>
      <c r="D71" s="99" t="s">
        <v>52</v>
      </c>
      <c r="E71" s="18">
        <v>15</v>
      </c>
      <c r="F71" s="85">
        <v>15</v>
      </c>
      <c r="G71" s="13">
        <v>49.88</v>
      </c>
      <c r="H71" s="100">
        <f t="shared" si="10"/>
        <v>0.74820000000000009</v>
      </c>
      <c r="I71" s="13">
        <f>G71*15</f>
        <v>748.2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/>
      <c r="B72" s="159" t="s">
        <v>173</v>
      </c>
      <c r="C72" s="38"/>
      <c r="D72" s="37"/>
      <c r="E72" s="17"/>
      <c r="F72" s="115"/>
      <c r="G72" s="36"/>
      <c r="H72" s="100"/>
      <c r="I72" s="1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7.75" customHeight="1">
      <c r="A73" s="29">
        <v>15</v>
      </c>
      <c r="B73" s="37" t="s">
        <v>174</v>
      </c>
      <c r="C73" s="40" t="s">
        <v>175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100"/>
      <c r="I73" s="13">
        <f>G73*F73/12</f>
        <v>12235.362000000001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5.75" hidden="1" customHeight="1">
      <c r="A74" s="110"/>
      <c r="B74" s="109" t="s">
        <v>118</v>
      </c>
      <c r="C74" s="109"/>
      <c r="D74" s="109"/>
      <c r="E74" s="109"/>
      <c r="F74" s="109"/>
      <c r="G74" s="109"/>
      <c r="H74" s="109"/>
      <c r="I74" s="18"/>
    </row>
    <row r="75" spans="1:22" ht="15.75" hidden="1" customHeight="1">
      <c r="A75" s="29">
        <v>11</v>
      </c>
      <c r="B75" s="82" t="s">
        <v>119</v>
      </c>
      <c r="C75" s="16"/>
      <c r="D75" s="99"/>
      <c r="E75" s="77"/>
      <c r="F75" s="13">
        <v>1</v>
      </c>
      <c r="G75" s="13">
        <v>27865.200000000001</v>
      </c>
      <c r="H75" s="100">
        <f>G75*F75/1000</f>
        <v>27.865200000000002</v>
      </c>
      <c r="I75" s="13">
        <f>G75</f>
        <v>27865.200000000001</v>
      </c>
    </row>
    <row r="76" spans="1:22" ht="21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33" customHeight="1">
      <c r="A77" s="29">
        <v>16</v>
      </c>
      <c r="B77" s="37" t="s">
        <v>184</v>
      </c>
      <c r="C77" s="38" t="s">
        <v>111</v>
      </c>
      <c r="D77" s="37" t="s">
        <v>319</v>
      </c>
      <c r="E77" s="17">
        <v>2</v>
      </c>
      <c r="F77" s="36">
        <f>E77</f>
        <v>2</v>
      </c>
      <c r="G77" s="36">
        <v>2112.2800000000002</v>
      </c>
      <c r="H77" s="177"/>
      <c r="I77" s="18">
        <f>G77*1</f>
        <v>2112.2800000000002</v>
      </c>
    </row>
    <row r="78" spans="1:22" ht="17.25" hidden="1" customHeight="1">
      <c r="A78" s="29">
        <v>16</v>
      </c>
      <c r="B78" s="99" t="s">
        <v>71</v>
      </c>
      <c r="C78" s="16" t="s">
        <v>73</v>
      </c>
      <c r="D78" s="99"/>
      <c r="E78" s="18">
        <v>10</v>
      </c>
      <c r="F78" s="13">
        <v>1</v>
      </c>
      <c r="G78" s="13">
        <v>501.62</v>
      </c>
      <c r="H78" s="100">
        <f t="shared" ref="H78:H82" si="12">SUM(F78*G78/1000)</f>
        <v>0.50161999999999995</v>
      </c>
      <c r="I78" s="13">
        <f>G78*0.2</f>
        <v>100.32400000000001</v>
      </c>
    </row>
    <row r="79" spans="1:22" ht="19.5" hidden="1" customHeight="1">
      <c r="A79" s="29"/>
      <c r="B79" s="99" t="s">
        <v>132</v>
      </c>
      <c r="C79" s="16" t="s">
        <v>31</v>
      </c>
      <c r="D79" s="99"/>
      <c r="E79" s="18">
        <v>1</v>
      </c>
      <c r="F79" s="13">
        <v>1</v>
      </c>
      <c r="G79" s="13">
        <v>99.85</v>
      </c>
      <c r="H79" s="100">
        <f>F79*G79/1000</f>
        <v>9.9849999999999994E-2</v>
      </c>
      <c r="I79" s="13">
        <v>0</v>
      </c>
    </row>
    <row r="80" spans="1:22" ht="18" hidden="1" customHeight="1">
      <c r="A80" s="29"/>
      <c r="B80" s="99" t="s">
        <v>133</v>
      </c>
      <c r="C80" s="16" t="s">
        <v>31</v>
      </c>
      <c r="D80" s="99"/>
      <c r="E80" s="18">
        <v>1</v>
      </c>
      <c r="F80" s="13">
        <v>1</v>
      </c>
      <c r="G80" s="13">
        <v>120.26</v>
      </c>
      <c r="H80" s="100">
        <f>F80*G80/1000</f>
        <v>0.12026000000000001</v>
      </c>
      <c r="I80" s="13">
        <v>0</v>
      </c>
    </row>
    <row r="81" spans="1:9" ht="24" hidden="1" customHeight="1">
      <c r="A81" s="29">
        <v>19</v>
      </c>
      <c r="B81" s="99" t="s">
        <v>72</v>
      </c>
      <c r="C81" s="16" t="s">
        <v>31</v>
      </c>
      <c r="D81" s="99"/>
      <c r="E81" s="18">
        <v>2</v>
      </c>
      <c r="F81" s="97">
        <v>2</v>
      </c>
      <c r="G81" s="13">
        <v>852.99</v>
      </c>
      <c r="H81" s="100">
        <f>F81*G81/1000</f>
        <v>1.7059800000000001</v>
      </c>
      <c r="I81" s="13">
        <f>G81</f>
        <v>852.99</v>
      </c>
    </row>
    <row r="82" spans="1:9" ht="22.5" hidden="1" customHeight="1">
      <c r="A82" s="29">
        <v>10</v>
      </c>
      <c r="B82" s="99" t="s">
        <v>83</v>
      </c>
      <c r="C82" s="16" t="s">
        <v>111</v>
      </c>
      <c r="D82" s="99"/>
      <c r="E82" s="18">
        <v>1</v>
      </c>
      <c r="F82" s="85">
        <f>SUM(E82)</f>
        <v>1</v>
      </c>
      <c r="G82" s="13">
        <v>358.51</v>
      </c>
      <c r="H82" s="100">
        <f t="shared" si="12"/>
        <v>0.35851</v>
      </c>
      <c r="I82" s="13">
        <f>G82</f>
        <v>358.51</v>
      </c>
    </row>
    <row r="83" spans="1:9" ht="35.25" customHeight="1">
      <c r="A83" s="29">
        <v>17</v>
      </c>
      <c r="B83" s="37" t="s">
        <v>176</v>
      </c>
      <c r="C83" s="38" t="s">
        <v>111</v>
      </c>
      <c r="D83" s="37" t="s">
        <v>190</v>
      </c>
      <c r="E83" s="17">
        <v>1</v>
      </c>
      <c r="F83" s="36">
        <f>E83*12</f>
        <v>12</v>
      </c>
      <c r="G83" s="36">
        <v>55.55</v>
      </c>
      <c r="H83" s="100"/>
      <c r="I83" s="13">
        <f>G83*1</f>
        <v>55.55</v>
      </c>
    </row>
    <row r="84" spans="1:9" ht="22.5" hidden="1" customHeight="1">
      <c r="A84" s="29"/>
      <c r="B84" s="49" t="s">
        <v>74</v>
      </c>
      <c r="C84" s="38"/>
      <c r="D84" s="29"/>
      <c r="E84" s="18"/>
      <c r="F84" s="18"/>
      <c r="G84" s="36"/>
      <c r="H84" s="36"/>
      <c r="I84" s="18"/>
    </row>
    <row r="85" spans="1:9" ht="19.5" hidden="1" customHeight="1">
      <c r="A85" s="29">
        <v>39</v>
      </c>
      <c r="B85" s="51" t="s">
        <v>120</v>
      </c>
      <c r="C85" s="16" t="s">
        <v>75</v>
      </c>
      <c r="D85" s="99"/>
      <c r="E85" s="18"/>
      <c r="F85" s="13">
        <v>1.35</v>
      </c>
      <c r="G85" s="13">
        <v>2759.44</v>
      </c>
      <c r="H85" s="100">
        <f t="shared" ref="H85" si="13">SUM(F85*G85/1000)</f>
        <v>3.725244</v>
      </c>
      <c r="I85" s="13">
        <v>0</v>
      </c>
    </row>
    <row r="86" spans="1:9" ht="15.75" customHeight="1">
      <c r="A86" s="210" t="s">
        <v>149</v>
      </c>
      <c r="B86" s="211"/>
      <c r="C86" s="211"/>
      <c r="D86" s="211"/>
      <c r="E86" s="211"/>
      <c r="F86" s="211"/>
      <c r="G86" s="211"/>
      <c r="H86" s="211"/>
      <c r="I86" s="212"/>
    </row>
    <row r="87" spans="1:9" ht="15.75" customHeight="1">
      <c r="A87" s="29">
        <v>18</v>
      </c>
      <c r="B87" s="32" t="s">
        <v>121</v>
      </c>
      <c r="C87" s="38" t="s">
        <v>53</v>
      </c>
      <c r="D87" s="63"/>
      <c r="E87" s="36">
        <v>5162.6000000000004</v>
      </c>
      <c r="F87" s="36">
        <f>SUM(E87*12)</f>
        <v>61951.200000000004</v>
      </c>
      <c r="G87" s="36">
        <v>3.22</v>
      </c>
      <c r="H87" s="102">
        <f>SUM(F87*G87/1000)</f>
        <v>199.48286400000003</v>
      </c>
      <c r="I87" s="13">
        <f>F87/12*G87</f>
        <v>16623.572000000004</v>
      </c>
    </row>
    <row r="88" spans="1:9" ht="31.5" customHeight="1">
      <c r="A88" s="29">
        <v>19</v>
      </c>
      <c r="B88" s="37" t="s">
        <v>177</v>
      </c>
      <c r="C88" s="112" t="s">
        <v>178</v>
      </c>
      <c r="D88" s="37"/>
      <c r="E88" s="17">
        <v>5162.6000000000004</v>
      </c>
      <c r="F88" s="36">
        <f>E88*12</f>
        <v>61951.200000000004</v>
      </c>
      <c r="G88" s="36">
        <v>3.64</v>
      </c>
      <c r="H88" s="100">
        <f>F88*G88/1000</f>
        <v>225.50236800000002</v>
      </c>
      <c r="I88" s="13">
        <f>F88/12*G88</f>
        <v>18791.864000000001</v>
      </c>
    </row>
    <row r="89" spans="1:9" ht="15.75" customHeight="1">
      <c r="A89" s="110"/>
      <c r="B89" s="39" t="s">
        <v>78</v>
      </c>
      <c r="C89" s="40"/>
      <c r="D89" s="15"/>
      <c r="E89" s="15"/>
      <c r="F89" s="15"/>
      <c r="G89" s="18"/>
      <c r="H89" s="18"/>
      <c r="I89" s="31">
        <f>I88+I87+I83+I77+I73+I62+I44+I43+I42+I41+I40+I39+I27+I21+I20+I18+I17+I16+I54</f>
        <v>106114.65071653332</v>
      </c>
    </row>
    <row r="90" spans="1:9" ht="15.75" customHeight="1">
      <c r="A90" s="213" t="s">
        <v>58</v>
      </c>
      <c r="B90" s="214"/>
      <c r="C90" s="214"/>
      <c r="D90" s="214"/>
      <c r="E90" s="214"/>
      <c r="F90" s="214"/>
      <c r="G90" s="214"/>
      <c r="H90" s="214"/>
      <c r="I90" s="215"/>
    </row>
    <row r="91" spans="1:9" ht="16.5" customHeight="1">
      <c r="A91" s="29">
        <v>20</v>
      </c>
      <c r="B91" s="66" t="s">
        <v>228</v>
      </c>
      <c r="C91" s="67" t="s">
        <v>164</v>
      </c>
      <c r="D91" s="64" t="s">
        <v>350</v>
      </c>
      <c r="E91" s="36"/>
      <c r="F91" s="36">
        <v>50</v>
      </c>
      <c r="G91" s="36">
        <v>284</v>
      </c>
      <c r="H91" s="102"/>
      <c r="I91" s="13">
        <v>0</v>
      </c>
    </row>
    <row r="92" spans="1:9" ht="20.25" customHeight="1">
      <c r="A92" s="29">
        <v>21</v>
      </c>
      <c r="B92" s="66" t="s">
        <v>315</v>
      </c>
      <c r="C92" s="67" t="s">
        <v>152</v>
      </c>
      <c r="D92" s="64"/>
      <c r="E92" s="36"/>
      <c r="F92" s="36">
        <v>2</v>
      </c>
      <c r="G92" s="36">
        <v>331.57</v>
      </c>
      <c r="H92" s="102"/>
      <c r="I92" s="13">
        <f>G92*1</f>
        <v>331.57</v>
      </c>
    </row>
    <row r="93" spans="1:9" ht="20.25" customHeight="1">
      <c r="A93" s="29">
        <v>22</v>
      </c>
      <c r="B93" s="66" t="s">
        <v>316</v>
      </c>
      <c r="C93" s="67" t="s">
        <v>317</v>
      </c>
      <c r="D93" s="64"/>
      <c r="E93" s="36"/>
      <c r="F93" s="36">
        <v>0.1</v>
      </c>
      <c r="G93" s="36">
        <v>667.05</v>
      </c>
      <c r="H93" s="102"/>
      <c r="I93" s="13">
        <f>G93*0.1</f>
        <v>66.704999999999998</v>
      </c>
    </row>
    <row r="94" spans="1:9" ht="20.25" customHeight="1">
      <c r="A94" s="29">
        <v>23</v>
      </c>
      <c r="B94" s="198" t="s">
        <v>259</v>
      </c>
      <c r="C94" s="40" t="s">
        <v>164</v>
      </c>
      <c r="D94" s="64" t="s">
        <v>318</v>
      </c>
      <c r="E94" s="36"/>
      <c r="F94" s="36">
        <v>2</v>
      </c>
      <c r="G94" s="36">
        <v>388.96</v>
      </c>
      <c r="H94" s="102"/>
      <c r="I94" s="13">
        <f>G94*2</f>
        <v>777.92</v>
      </c>
    </row>
    <row r="95" spans="1:9" ht="16.5" customHeight="1">
      <c r="A95" s="29">
        <v>24</v>
      </c>
      <c r="B95" s="66" t="s">
        <v>211</v>
      </c>
      <c r="C95" s="67" t="s">
        <v>185</v>
      </c>
      <c r="D95" s="197" t="s">
        <v>189</v>
      </c>
      <c r="E95" s="36"/>
      <c r="F95" s="36">
        <v>7.0000000000000007E-2</v>
      </c>
      <c r="G95" s="36">
        <v>27137.18</v>
      </c>
      <c r="H95" s="102"/>
      <c r="I95" s="13">
        <v>0</v>
      </c>
    </row>
    <row r="96" spans="1:9" ht="16.5" customHeight="1">
      <c r="A96" s="29">
        <v>25</v>
      </c>
      <c r="B96" s="66" t="s">
        <v>142</v>
      </c>
      <c r="C96" s="67" t="s">
        <v>80</v>
      </c>
      <c r="D96" s="64" t="s">
        <v>320</v>
      </c>
      <c r="E96" s="36"/>
      <c r="F96" s="36">
        <v>11</v>
      </c>
      <c r="G96" s="36">
        <v>222.63</v>
      </c>
      <c r="H96" s="102"/>
      <c r="I96" s="13">
        <f>G96*1</f>
        <v>222.63</v>
      </c>
    </row>
    <row r="97" spans="1:9" ht="15.75" customHeight="1">
      <c r="A97" s="29"/>
      <c r="B97" s="45" t="s">
        <v>50</v>
      </c>
      <c r="C97" s="41"/>
      <c r="D97" s="53"/>
      <c r="E97" s="41">
        <v>1</v>
      </c>
      <c r="F97" s="41"/>
      <c r="G97" s="41"/>
      <c r="H97" s="41"/>
      <c r="I97" s="31">
        <f>SUM(I91:I96)</f>
        <v>1398.8249999999998</v>
      </c>
    </row>
    <row r="98" spans="1:9" ht="15.75" customHeight="1">
      <c r="A98" s="29"/>
      <c r="B98" s="51" t="s">
        <v>76</v>
      </c>
      <c r="C98" s="15"/>
      <c r="D98" s="15"/>
      <c r="E98" s="42"/>
      <c r="F98" s="42"/>
      <c r="G98" s="43"/>
      <c r="H98" s="43"/>
      <c r="I98" s="17">
        <v>0</v>
      </c>
    </row>
    <row r="99" spans="1:9" ht="15.75" customHeight="1">
      <c r="A99" s="54"/>
      <c r="B99" s="46" t="s">
        <v>143</v>
      </c>
      <c r="C99" s="34"/>
      <c r="D99" s="34"/>
      <c r="E99" s="34"/>
      <c r="F99" s="34"/>
      <c r="G99" s="34"/>
      <c r="H99" s="34"/>
      <c r="I99" s="44">
        <f>I89+I97</f>
        <v>107513.47571653331</v>
      </c>
    </row>
    <row r="100" spans="1:9" ht="15.75">
      <c r="A100" s="207" t="s">
        <v>351</v>
      </c>
      <c r="B100" s="207"/>
      <c r="C100" s="207"/>
      <c r="D100" s="207"/>
      <c r="E100" s="207"/>
      <c r="F100" s="207"/>
      <c r="G100" s="207"/>
      <c r="H100" s="207"/>
      <c r="I100" s="207"/>
    </row>
    <row r="101" spans="1:9" ht="15.75">
      <c r="A101" s="61"/>
      <c r="B101" s="208" t="s">
        <v>352</v>
      </c>
      <c r="C101" s="208"/>
      <c r="D101" s="208"/>
      <c r="E101" s="208"/>
      <c r="F101" s="208"/>
      <c r="G101" s="208"/>
      <c r="H101" s="80"/>
      <c r="I101" s="3"/>
    </row>
    <row r="102" spans="1:9">
      <c r="A102" s="105"/>
      <c r="B102" s="206" t="s">
        <v>6</v>
      </c>
      <c r="C102" s="206"/>
      <c r="D102" s="206"/>
      <c r="E102" s="206"/>
      <c r="F102" s="206"/>
      <c r="G102" s="206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09" t="s">
        <v>7</v>
      </c>
      <c r="B104" s="209"/>
      <c r="C104" s="209"/>
      <c r="D104" s="209"/>
      <c r="E104" s="209"/>
      <c r="F104" s="209"/>
      <c r="G104" s="209"/>
      <c r="H104" s="209"/>
      <c r="I104" s="209"/>
    </row>
    <row r="105" spans="1:9" ht="15.75">
      <c r="A105" s="209" t="s">
        <v>8</v>
      </c>
      <c r="B105" s="209"/>
      <c r="C105" s="209"/>
      <c r="D105" s="209"/>
      <c r="E105" s="209"/>
      <c r="F105" s="209"/>
      <c r="G105" s="209"/>
      <c r="H105" s="209"/>
      <c r="I105" s="209"/>
    </row>
    <row r="106" spans="1:9" ht="15.75">
      <c r="A106" s="203" t="s">
        <v>59</v>
      </c>
      <c r="B106" s="203"/>
      <c r="C106" s="203"/>
      <c r="D106" s="203"/>
      <c r="E106" s="203"/>
      <c r="F106" s="203"/>
      <c r="G106" s="203"/>
      <c r="H106" s="203"/>
      <c r="I106" s="203"/>
    </row>
    <row r="107" spans="1:9" ht="15.75">
      <c r="A107" s="11"/>
    </row>
    <row r="108" spans="1:9" ht="15.75">
      <c r="A108" s="204" t="s">
        <v>9</v>
      </c>
      <c r="B108" s="204"/>
      <c r="C108" s="204"/>
      <c r="D108" s="204"/>
      <c r="E108" s="204"/>
      <c r="F108" s="204"/>
      <c r="G108" s="204"/>
      <c r="H108" s="204"/>
      <c r="I108" s="204"/>
    </row>
    <row r="109" spans="1:9" ht="15.75">
      <c r="A109" s="4"/>
    </row>
    <row r="110" spans="1:9" ht="15.75">
      <c r="B110" s="106" t="s">
        <v>10</v>
      </c>
      <c r="C110" s="205" t="s">
        <v>313</v>
      </c>
      <c r="D110" s="205"/>
      <c r="E110" s="205"/>
      <c r="F110" s="78"/>
      <c r="I110" s="104"/>
    </row>
    <row r="111" spans="1:9">
      <c r="A111" s="105"/>
      <c r="C111" s="206" t="s">
        <v>11</v>
      </c>
      <c r="D111" s="206"/>
      <c r="E111" s="206"/>
      <c r="F111" s="24"/>
      <c r="I111" s="107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106" t="s">
        <v>13</v>
      </c>
      <c r="C113" s="200"/>
      <c r="D113" s="200"/>
      <c r="E113" s="200"/>
      <c r="F113" s="79"/>
      <c r="I113" s="104"/>
    </row>
    <row r="114" spans="1:9">
      <c r="A114" s="105"/>
      <c r="C114" s="201" t="s">
        <v>11</v>
      </c>
      <c r="D114" s="201"/>
      <c r="E114" s="201"/>
      <c r="F114" s="105"/>
      <c r="I114" s="107" t="s">
        <v>12</v>
      </c>
    </row>
    <row r="115" spans="1:9" ht="15.75">
      <c r="A115" s="4" t="s">
        <v>14</v>
      </c>
    </row>
    <row r="116" spans="1:9">
      <c r="A116" s="202" t="s">
        <v>15</v>
      </c>
      <c r="B116" s="202"/>
      <c r="C116" s="202"/>
      <c r="D116" s="202"/>
      <c r="E116" s="202"/>
      <c r="F116" s="202"/>
      <c r="G116" s="202"/>
      <c r="H116" s="202"/>
      <c r="I116" s="202"/>
    </row>
    <row r="117" spans="1:9" ht="45" customHeight="1">
      <c r="A117" s="199" t="s">
        <v>16</v>
      </c>
      <c r="B117" s="199"/>
      <c r="C117" s="199"/>
      <c r="D117" s="199"/>
      <c r="E117" s="199"/>
      <c r="F117" s="199"/>
      <c r="G117" s="199"/>
      <c r="H117" s="199"/>
      <c r="I117" s="199"/>
    </row>
    <row r="118" spans="1:9" ht="30" customHeight="1">
      <c r="A118" s="199" t="s">
        <v>17</v>
      </c>
      <c r="B118" s="199"/>
      <c r="C118" s="199"/>
      <c r="D118" s="199"/>
      <c r="E118" s="199"/>
      <c r="F118" s="199"/>
      <c r="G118" s="199"/>
      <c r="H118" s="199"/>
      <c r="I118" s="199"/>
    </row>
    <row r="119" spans="1:9" ht="30" customHeight="1">
      <c r="A119" s="199" t="s">
        <v>21</v>
      </c>
      <c r="B119" s="199"/>
      <c r="C119" s="199"/>
      <c r="D119" s="199"/>
      <c r="E119" s="199"/>
      <c r="F119" s="199"/>
      <c r="G119" s="199"/>
      <c r="H119" s="199"/>
      <c r="I119" s="199"/>
    </row>
    <row r="120" spans="1:9" ht="15" customHeight="1">
      <c r="A120" s="199" t="s">
        <v>20</v>
      </c>
      <c r="B120" s="199"/>
      <c r="C120" s="199"/>
      <c r="D120" s="199"/>
      <c r="E120" s="199"/>
      <c r="F120" s="199"/>
      <c r="G120" s="199"/>
      <c r="H120" s="199"/>
      <c r="I120" s="199"/>
    </row>
  </sheetData>
  <autoFilter ref="I12:I65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0:U70"/>
    <mergeCell ref="C114:E114"/>
    <mergeCell ref="A90:I90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6:I86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7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9"/>
  <sheetViews>
    <sheetView tabSelected="1" topLeftCell="A87" workbookViewId="0">
      <selection activeCell="J103" sqref="J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162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321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108"/>
      <c r="C6" s="108"/>
      <c r="D6" s="108"/>
      <c r="E6" s="108"/>
      <c r="F6" s="108"/>
      <c r="G6" s="108"/>
      <c r="H6" s="108"/>
      <c r="I6" s="30">
        <v>44196</v>
      </c>
      <c r="J6" s="2"/>
      <c r="K6" s="2"/>
      <c r="L6" s="2"/>
      <c r="M6" s="2"/>
    </row>
    <row r="7" spans="1:13" ht="15.75" customHeight="1">
      <c r="B7" s="106"/>
      <c r="C7" s="106"/>
      <c r="D7" s="1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322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196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F18/18*G18</f>
        <v>4468.7811599999995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6" t="s">
        <v>89</v>
      </c>
      <c r="D20" s="32" t="s">
        <v>196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20.25" customHeight="1">
      <c r="A21" s="29">
        <v>5</v>
      </c>
      <c r="B21" s="32" t="s">
        <v>96</v>
      </c>
      <c r="C21" s="136" t="s">
        <v>89</v>
      </c>
      <c r="D21" s="32" t="s">
        <v>196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21.7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22.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3.5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8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2" t="s">
        <v>81</v>
      </c>
      <c r="B28" s="222"/>
      <c r="C28" s="222"/>
      <c r="D28" s="222"/>
      <c r="E28" s="222"/>
      <c r="F28" s="222"/>
      <c r="G28" s="222"/>
      <c r="H28" s="222"/>
      <c r="I28" s="222"/>
      <c r="J28" s="22"/>
      <c r="K28" s="8"/>
      <c r="L28" s="8"/>
      <c r="M28" s="8"/>
    </row>
    <row r="29" spans="1:13" ht="1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27.75" hidden="1" customHeight="1">
      <c r="A30" s="40">
        <v>6</v>
      </c>
      <c r="B30" s="138" t="s">
        <v>101</v>
      </c>
      <c r="C30" s="139" t="s">
        <v>102</v>
      </c>
      <c r="D30" s="138" t="s">
        <v>167</v>
      </c>
      <c r="E30" s="141">
        <v>1304.45</v>
      </c>
      <c r="F30" s="141">
        <f>SUM(E30*52/1000)</f>
        <v>67.831400000000002</v>
      </c>
      <c r="G30" s="141">
        <v>212.62</v>
      </c>
      <c r="H30" s="86">
        <f t="shared" ref="H30:H35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27.75" hidden="1" customHeight="1">
      <c r="A31" s="40">
        <v>7</v>
      </c>
      <c r="B31" s="138" t="s">
        <v>139</v>
      </c>
      <c r="C31" s="139" t="s">
        <v>102</v>
      </c>
      <c r="D31" s="138" t="s">
        <v>168</v>
      </c>
      <c r="E31" s="141">
        <v>287.83999999999997</v>
      </c>
      <c r="F31" s="141">
        <f>SUM(E31*52/1000)</f>
        <v>14.967679999999998</v>
      </c>
      <c r="G31" s="141">
        <v>352.77</v>
      </c>
      <c r="H31" s="86">
        <f t="shared" si="3"/>
        <v>5.2801484735999997</v>
      </c>
      <c r="I31" s="13">
        <f t="shared" ref="I31:I33" si="4">F31/6*G31</f>
        <v>880.02474559999985</v>
      </c>
      <c r="J31" s="22"/>
      <c r="K31" s="8"/>
      <c r="L31" s="8"/>
      <c r="M31" s="8"/>
    </row>
    <row r="32" spans="1:13" ht="24" hidden="1" customHeight="1">
      <c r="A32" s="40">
        <v>16</v>
      </c>
      <c r="B32" s="138" t="s">
        <v>28</v>
      </c>
      <c r="C32" s="139" t="s">
        <v>102</v>
      </c>
      <c r="D32" s="138" t="s">
        <v>52</v>
      </c>
      <c r="E32" s="141">
        <v>1304.45</v>
      </c>
      <c r="F32" s="141">
        <f>SUM(E32/1000)</f>
        <v>1.3044500000000001</v>
      </c>
      <c r="G32" s="141">
        <v>4119.68</v>
      </c>
      <c r="H32" s="86">
        <f t="shared" si="3"/>
        <v>5.3739165760000009</v>
      </c>
      <c r="I32" s="13">
        <f>F32*G32</f>
        <v>5373.9165760000005</v>
      </c>
      <c r="J32" s="22"/>
      <c r="K32" s="8"/>
      <c r="L32" s="8"/>
      <c r="M32" s="8"/>
    </row>
    <row r="33" spans="1:14" ht="23.25" hidden="1" customHeight="1">
      <c r="A33" s="40">
        <v>8</v>
      </c>
      <c r="B33" s="138" t="s">
        <v>105</v>
      </c>
      <c r="C33" s="139" t="s">
        <v>31</v>
      </c>
      <c r="D33" s="138" t="s">
        <v>61</v>
      </c>
      <c r="E33" s="143">
        <v>0.33333333333333331</v>
      </c>
      <c r="F33" s="141">
        <f>155/3</f>
        <v>51.666666666666664</v>
      </c>
      <c r="G33" s="141">
        <v>77.33</v>
      </c>
      <c r="H33" s="86">
        <f t="shared" si="3"/>
        <v>3.9953833333333333</v>
      </c>
      <c r="I33" s="13">
        <f t="shared" si="4"/>
        <v>665.89722222222213</v>
      </c>
      <c r="J33" s="23"/>
    </row>
    <row r="34" spans="1:14" ht="21" hidden="1" customHeight="1">
      <c r="A34" s="40">
        <v>4</v>
      </c>
      <c r="B34" s="138" t="s">
        <v>62</v>
      </c>
      <c r="C34" s="139" t="s">
        <v>33</v>
      </c>
      <c r="D34" s="138" t="s">
        <v>61</v>
      </c>
      <c r="E34" s="142">
        <v>0.2</v>
      </c>
      <c r="F34" s="141">
        <f>SUM(E34*155)</f>
        <v>31</v>
      </c>
      <c r="G34" s="141">
        <v>275.45</v>
      </c>
      <c r="H34" s="86">
        <f t="shared" si="3"/>
        <v>8.538949999999998</v>
      </c>
      <c r="I34" s="13">
        <v>0</v>
      </c>
      <c r="J34" s="23"/>
    </row>
    <row r="35" spans="1:14" ht="28.5" hidden="1" customHeight="1">
      <c r="A35" s="29">
        <v>8</v>
      </c>
      <c r="B35" s="138" t="s">
        <v>63</v>
      </c>
      <c r="C35" s="139" t="s">
        <v>33</v>
      </c>
      <c r="D35" s="138" t="s">
        <v>169</v>
      </c>
      <c r="E35" s="140"/>
      <c r="F35" s="141">
        <v>2</v>
      </c>
      <c r="G35" s="141">
        <v>260.95</v>
      </c>
      <c r="H35" s="86">
        <f t="shared" si="3"/>
        <v>0.52190000000000003</v>
      </c>
      <c r="I35" s="13">
        <v>0</v>
      </c>
      <c r="J35" s="23"/>
    </row>
    <row r="36" spans="1:14" ht="27.75" hidden="1" customHeight="1">
      <c r="A36" s="29"/>
      <c r="B36" s="138" t="s">
        <v>64</v>
      </c>
      <c r="C36" s="139" t="s">
        <v>32</v>
      </c>
      <c r="D36" s="138" t="s">
        <v>169</v>
      </c>
      <c r="E36" s="140"/>
      <c r="F36" s="141">
        <v>1</v>
      </c>
      <c r="G36" s="141">
        <v>1549.92</v>
      </c>
      <c r="H36" s="97"/>
      <c r="I36" s="13"/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36" customHeight="1">
      <c r="A38" s="33">
        <v>7</v>
      </c>
      <c r="B38" s="152" t="s">
        <v>27</v>
      </c>
      <c r="C38" s="136" t="s">
        <v>32</v>
      </c>
      <c r="D38" s="32" t="s">
        <v>327</v>
      </c>
      <c r="E38" s="149"/>
      <c r="F38" s="137">
        <v>8</v>
      </c>
      <c r="G38" s="137">
        <v>2083</v>
      </c>
      <c r="H38" s="86">
        <f t="shared" ref="H38:H45" si="5">SUM(F38*G38/1000)</f>
        <v>16.664000000000001</v>
      </c>
      <c r="I38" s="13">
        <f>G38*0.8</f>
        <v>1666.4</v>
      </c>
      <c r="J38" s="23"/>
    </row>
    <row r="39" spans="1:14" ht="15.75" customHeight="1">
      <c r="A39" s="33">
        <v>8</v>
      </c>
      <c r="B39" s="152" t="s">
        <v>123</v>
      </c>
      <c r="C39" s="153" t="s">
        <v>30</v>
      </c>
      <c r="D39" s="152" t="s">
        <v>192</v>
      </c>
      <c r="E39" s="154">
        <v>287.83999999999997</v>
      </c>
      <c r="F39" s="154">
        <f>SUM(E39*30/1000)</f>
        <v>8.6351999999999993</v>
      </c>
      <c r="G39" s="154">
        <v>2868.09</v>
      </c>
      <c r="H39" s="86">
        <f t="shared" si="5"/>
        <v>24.766530767999999</v>
      </c>
      <c r="I39" s="13">
        <f>F39/6*G39</f>
        <v>4127.7551279999998</v>
      </c>
      <c r="J39" s="23"/>
    </row>
    <row r="40" spans="1:14" ht="31.5" customHeight="1">
      <c r="A40" s="33">
        <v>9</v>
      </c>
      <c r="B40" s="152" t="s">
        <v>170</v>
      </c>
      <c r="C40" s="153" t="s">
        <v>30</v>
      </c>
      <c r="D40" s="32" t="s">
        <v>193</v>
      </c>
      <c r="E40" s="149">
        <v>287.83999999999997</v>
      </c>
      <c r="F40" s="154">
        <f>E40*155/1000</f>
        <v>44.615199999999994</v>
      </c>
      <c r="G40" s="137">
        <v>478.42</v>
      </c>
      <c r="H40" s="86">
        <f>G40*F40/1000</f>
        <v>21.344803983999999</v>
      </c>
      <c r="I40" s="13">
        <f>F40/6*G40</f>
        <v>3557.4673306666664</v>
      </c>
      <c r="J40" s="23"/>
    </row>
    <row r="41" spans="1:14" ht="15.75" hidden="1" customHeight="1">
      <c r="A41" s="33">
        <v>7</v>
      </c>
      <c r="B41" s="152" t="s">
        <v>170</v>
      </c>
      <c r="C41" s="153" t="s">
        <v>30</v>
      </c>
      <c r="D41" s="32" t="s">
        <v>206</v>
      </c>
      <c r="E41" s="149">
        <v>287.83999999999997</v>
      </c>
      <c r="F41" s="154">
        <f>E41*155/1000</f>
        <v>44.615199999999994</v>
      </c>
      <c r="G41" s="137">
        <v>478.42</v>
      </c>
      <c r="H41" s="86">
        <f>G41*F41/1000</f>
        <v>21.344803983999999</v>
      </c>
      <c r="I41" s="13">
        <v>0</v>
      </c>
      <c r="J41" s="23"/>
    </row>
    <row r="42" spans="1:14" ht="48.75" customHeight="1">
      <c r="A42" s="33">
        <v>10</v>
      </c>
      <c r="B42" s="32" t="s">
        <v>79</v>
      </c>
      <c r="C42" s="136" t="s">
        <v>102</v>
      </c>
      <c r="D42" s="32" t="s">
        <v>194</v>
      </c>
      <c r="E42" s="137">
        <v>130.6</v>
      </c>
      <c r="F42" s="154">
        <f>SUM(E42*35/1000)</f>
        <v>4.5709999999999997</v>
      </c>
      <c r="G42" s="137">
        <v>7915.6</v>
      </c>
      <c r="H42" s="86">
        <f t="shared" si="5"/>
        <v>36.182207599999998</v>
      </c>
      <c r="I42" s="13">
        <f>F42/6*G42</f>
        <v>6030.367933333333</v>
      </c>
      <c r="J42" s="23"/>
    </row>
    <row r="43" spans="1:14" ht="19.5" customHeight="1">
      <c r="A43" s="33">
        <v>11</v>
      </c>
      <c r="B43" s="32" t="s">
        <v>108</v>
      </c>
      <c r="C43" s="136" t="s">
        <v>102</v>
      </c>
      <c r="D43" s="152"/>
      <c r="E43" s="137">
        <v>287.83999999999997</v>
      </c>
      <c r="F43" s="154">
        <f>SUM(E43*45/1000)</f>
        <v>12.9528</v>
      </c>
      <c r="G43" s="137">
        <v>584.74</v>
      </c>
      <c r="H43" s="86">
        <f t="shared" si="5"/>
        <v>7.5740202719999994</v>
      </c>
      <c r="I43" s="13">
        <f>G43*F43/45*1</f>
        <v>168.3115616</v>
      </c>
      <c r="J43" s="23"/>
      <c r="L43" s="19"/>
      <c r="M43" s="20"/>
      <c r="N43" s="21"/>
    </row>
    <row r="44" spans="1:14" ht="15.75" customHeight="1">
      <c r="A44" s="33">
        <v>12</v>
      </c>
      <c r="B44" s="152" t="s">
        <v>68</v>
      </c>
      <c r="C44" s="153" t="s">
        <v>33</v>
      </c>
      <c r="D44" s="152"/>
      <c r="E44" s="155"/>
      <c r="F44" s="154">
        <v>0.9</v>
      </c>
      <c r="G44" s="154">
        <v>800</v>
      </c>
      <c r="H44" s="86">
        <f t="shared" si="5"/>
        <v>0.72</v>
      </c>
      <c r="I44" s="13">
        <f>G44*F44/45*1</f>
        <v>16</v>
      </c>
      <c r="J44" s="23"/>
      <c r="L44" s="19"/>
      <c r="M44" s="20"/>
      <c r="N44" s="21"/>
    </row>
    <row r="45" spans="1:14" ht="30.75" customHeight="1">
      <c r="A45" s="144">
        <v>13</v>
      </c>
      <c r="B45" s="152" t="s">
        <v>171</v>
      </c>
      <c r="C45" s="153" t="s">
        <v>102</v>
      </c>
      <c r="D45" s="152" t="s">
        <v>195</v>
      </c>
      <c r="E45" s="155">
        <v>0.6</v>
      </c>
      <c r="F45" s="154">
        <v>0.01</v>
      </c>
      <c r="G45" s="154">
        <v>18798.34</v>
      </c>
      <c r="H45" s="98">
        <f t="shared" si="5"/>
        <v>0.18798340000000002</v>
      </c>
      <c r="I45" s="117">
        <f>F45/6*G45</f>
        <v>31.33056666666667</v>
      </c>
      <c r="J45" s="23"/>
      <c r="L45" s="19"/>
      <c r="M45" s="20"/>
      <c r="N45" s="21"/>
    </row>
    <row r="46" spans="1:14" ht="15.75" customHeight="1">
      <c r="A46" s="226" t="s">
        <v>136</v>
      </c>
      <c r="B46" s="227"/>
      <c r="C46" s="227"/>
      <c r="D46" s="227"/>
      <c r="E46" s="227"/>
      <c r="F46" s="227"/>
      <c r="G46" s="227"/>
      <c r="H46" s="227"/>
      <c r="I46" s="228"/>
      <c r="J46" s="23"/>
      <c r="L46" s="19"/>
      <c r="M46" s="20"/>
      <c r="N46" s="21"/>
    </row>
    <row r="47" spans="1:14" ht="15.75" hidden="1" customHeight="1">
      <c r="A47" s="40">
        <v>9</v>
      </c>
      <c r="B47" s="82" t="s">
        <v>128</v>
      </c>
      <c r="C47" s="83" t="s">
        <v>102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6">SUM(F47*G47/1000)</f>
        <v>2.3259036200000001</v>
      </c>
      <c r="I47" s="13">
        <f t="shared" ref="I47:I49" si="7">F47/2*G47</f>
        <v>1162.95181</v>
      </c>
      <c r="J47" s="23"/>
      <c r="L47" s="19"/>
      <c r="M47" s="20"/>
      <c r="N47" s="21"/>
    </row>
    <row r="48" spans="1:14" ht="15.75" hidden="1" customHeight="1">
      <c r="A48" s="40">
        <v>10</v>
      </c>
      <c r="B48" s="82" t="s">
        <v>34</v>
      </c>
      <c r="C48" s="83" t="s">
        <v>102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6"/>
        <v>1.6434052799999999</v>
      </c>
      <c r="I48" s="13">
        <f t="shared" si="7"/>
        <v>821.70263999999997</v>
      </c>
      <c r="J48" s="23"/>
      <c r="L48" s="19"/>
      <c r="M48" s="20"/>
      <c r="N48" s="21"/>
    </row>
    <row r="49" spans="1:14" ht="15.75" hidden="1" customHeight="1">
      <c r="A49" s="40">
        <v>11</v>
      </c>
      <c r="B49" s="82" t="s">
        <v>35</v>
      </c>
      <c r="C49" s="83" t="s">
        <v>102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6"/>
        <v>5.7776589816000001</v>
      </c>
      <c r="I49" s="13">
        <f t="shared" si="7"/>
        <v>2888.8294908000003</v>
      </c>
      <c r="J49" s="23"/>
      <c r="L49" s="19"/>
      <c r="M49" s="20"/>
      <c r="N49" s="21"/>
    </row>
    <row r="50" spans="1:14" ht="15.75" hidden="1" customHeight="1">
      <c r="A50" s="40">
        <v>12</v>
      </c>
      <c r="B50" s="82" t="s">
        <v>36</v>
      </c>
      <c r="C50" s="83" t="s">
        <v>102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6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customHeight="1">
      <c r="A51" s="40">
        <v>14</v>
      </c>
      <c r="B51" s="32" t="s">
        <v>54</v>
      </c>
      <c r="C51" s="136" t="s">
        <v>102</v>
      </c>
      <c r="D51" s="32" t="s">
        <v>190</v>
      </c>
      <c r="E51" s="149">
        <v>5162.6000000000004</v>
      </c>
      <c r="F51" s="137">
        <f>SUM(E51*5/1000)</f>
        <v>25.812999999999999</v>
      </c>
      <c r="G51" s="36">
        <v>1655.27</v>
      </c>
      <c r="H51" s="86">
        <f t="shared" si="6"/>
        <v>42.727484509999996</v>
      </c>
      <c r="I51" s="13">
        <f>F51/5*G51</f>
        <v>8545.496901999999</v>
      </c>
      <c r="J51" s="23"/>
      <c r="L51" s="19"/>
      <c r="M51" s="20"/>
      <c r="N51" s="21"/>
    </row>
    <row r="52" spans="1:14" ht="30.75" hidden="1" customHeight="1">
      <c r="A52" s="40">
        <v>9</v>
      </c>
      <c r="B52" s="82" t="s">
        <v>109</v>
      </c>
      <c r="C52" s="83" t="s">
        <v>102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6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10</v>
      </c>
      <c r="B53" s="82" t="s">
        <v>110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6"/>
        <v>2.1843919999999999</v>
      </c>
      <c r="I53" s="13">
        <f t="shared" ref="I53:I54" si="8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11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6"/>
        <v>0.11304260000000001</v>
      </c>
      <c r="I54" s="13">
        <f t="shared" si="8"/>
        <v>56.521300000000004</v>
      </c>
      <c r="J54" s="23"/>
      <c r="L54" s="19"/>
      <c r="M54" s="20"/>
      <c r="N54" s="21"/>
    </row>
    <row r="55" spans="1:14" ht="15.75" hidden="1" customHeight="1">
      <c r="A55" s="40">
        <v>12</v>
      </c>
      <c r="B55" s="82" t="s">
        <v>40</v>
      </c>
      <c r="C55" s="83" t="s">
        <v>111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6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226" t="s">
        <v>137</v>
      </c>
      <c r="B56" s="227"/>
      <c r="C56" s="227"/>
      <c r="D56" s="227"/>
      <c r="E56" s="227"/>
      <c r="F56" s="227"/>
      <c r="G56" s="227"/>
      <c r="H56" s="227"/>
      <c r="I56" s="228"/>
      <c r="J56" s="23"/>
      <c r="L56" s="19"/>
      <c r="M56" s="20"/>
      <c r="N56" s="21"/>
    </row>
    <row r="57" spans="1:14" ht="15.75" customHeight="1">
      <c r="A57" s="110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15</v>
      </c>
      <c r="B58" s="32" t="s">
        <v>112</v>
      </c>
      <c r="C58" s="136" t="s">
        <v>89</v>
      </c>
      <c r="D58" s="32"/>
      <c r="E58" s="149">
        <v>128.5</v>
      </c>
      <c r="F58" s="137">
        <f>SUM(E58*6/100)</f>
        <v>7.71</v>
      </c>
      <c r="G58" s="36">
        <v>2110.4699999999998</v>
      </c>
      <c r="H58" s="86">
        <f>SUM(F58*G58/1000)</f>
        <v>16.271723699999999</v>
      </c>
      <c r="I58" s="13">
        <f>G58*0.6075</f>
        <v>1282.1105250000001</v>
      </c>
      <c r="J58" s="23"/>
      <c r="L58" s="19"/>
      <c r="M58" s="20"/>
      <c r="N58" s="21"/>
    </row>
    <row r="59" spans="1:14" ht="18" hidden="1" customHeight="1">
      <c r="A59" s="40">
        <v>16</v>
      </c>
      <c r="B59" s="32" t="s">
        <v>172</v>
      </c>
      <c r="C59" s="136" t="s">
        <v>89</v>
      </c>
      <c r="D59" s="32" t="s">
        <v>196</v>
      </c>
      <c r="E59" s="150">
        <v>69.5</v>
      </c>
      <c r="F59" s="151">
        <f>E59*6/100</f>
        <v>4.17</v>
      </c>
      <c r="G59" s="137">
        <v>2110.4699999999998</v>
      </c>
      <c r="H59" s="86">
        <f>F59*G59/1000</f>
        <v>8.8006598999999994</v>
      </c>
      <c r="I59" s="13">
        <f>F59/6*G59</f>
        <v>1466.7766499999998</v>
      </c>
      <c r="J59" s="23"/>
      <c r="L59" s="19"/>
      <c r="M59" s="20"/>
      <c r="N59" s="21"/>
    </row>
    <row r="60" spans="1:14" ht="18" hidden="1" customHeight="1">
      <c r="A60" s="40">
        <v>17</v>
      </c>
      <c r="B60" s="32" t="s">
        <v>165</v>
      </c>
      <c r="C60" s="136" t="s">
        <v>166</v>
      </c>
      <c r="D60" s="32"/>
      <c r="E60" s="183"/>
      <c r="F60" s="36">
        <v>8</v>
      </c>
      <c r="G60" s="154">
        <v>1645</v>
      </c>
      <c r="H60" s="97"/>
      <c r="I60" s="13">
        <f>G60*1</f>
        <v>1645</v>
      </c>
      <c r="J60" s="23"/>
      <c r="L60" s="19"/>
      <c r="M60" s="20"/>
      <c r="N60" s="21"/>
    </row>
    <row r="61" spans="1:14" ht="18" customHeight="1">
      <c r="A61" s="40"/>
      <c r="B61" s="109" t="s">
        <v>43</v>
      </c>
      <c r="C61" s="109"/>
      <c r="D61" s="109"/>
      <c r="E61" s="109"/>
      <c r="F61" s="109"/>
      <c r="G61" s="109"/>
      <c r="H61" s="109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141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16</v>
      </c>
      <c r="B63" s="111" t="s">
        <v>88</v>
      </c>
      <c r="C63" s="112" t="s">
        <v>26</v>
      </c>
      <c r="D63" s="111" t="s">
        <v>196</v>
      </c>
      <c r="E63" s="113">
        <v>200</v>
      </c>
      <c r="F63" s="114">
        <f>E63*12</f>
        <v>2400</v>
      </c>
      <c r="G63" s="115">
        <v>1.4</v>
      </c>
      <c r="H63" s="98">
        <f>F63*G63</f>
        <v>3360</v>
      </c>
      <c r="I63" s="13">
        <f>F63/12*G63</f>
        <v>280</v>
      </c>
      <c r="J63" s="23"/>
      <c r="L63" s="19"/>
      <c r="M63" s="20"/>
      <c r="N63" s="21"/>
    </row>
    <row r="64" spans="1:14" ht="15.75" hidden="1" customHeight="1">
      <c r="A64" s="40"/>
      <c r="B64" s="109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hidden="1" customHeight="1">
      <c r="A65" s="40">
        <v>19</v>
      </c>
      <c r="B65" s="148" t="s">
        <v>45</v>
      </c>
      <c r="C65" s="38" t="s">
        <v>111</v>
      </c>
      <c r="D65" s="37" t="s">
        <v>189</v>
      </c>
      <c r="E65" s="17">
        <v>40</v>
      </c>
      <c r="F65" s="137">
        <f>E65</f>
        <v>40</v>
      </c>
      <c r="G65" s="36">
        <v>303.35000000000002</v>
      </c>
      <c r="H65" s="100">
        <f t="shared" ref="H65:H72" si="9">SUM(F65*G65/1000)</f>
        <v>12.134</v>
      </c>
      <c r="I65" s="13">
        <f>G65*3</f>
        <v>910.05000000000007</v>
      </c>
    </row>
    <row r="66" spans="1:22" ht="15.75" hidden="1" customHeight="1">
      <c r="A66" s="29">
        <v>29</v>
      </c>
      <c r="B66" s="99" t="s">
        <v>46</v>
      </c>
      <c r="C66" s="16" t="s">
        <v>111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9"/>
        <v>1.5249999999999999</v>
      </c>
      <c r="I66" s="13">
        <v>0</v>
      </c>
    </row>
    <row r="67" spans="1:22" ht="15.75" hidden="1" customHeight="1">
      <c r="A67" s="29">
        <v>25</v>
      </c>
      <c r="B67" s="99" t="s">
        <v>47</v>
      </c>
      <c r="C67" s="16" t="s">
        <v>114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9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99" t="s">
        <v>48</v>
      </c>
      <c r="C68" s="16" t="s">
        <v>115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9"/>
        <v>3.1208169000000003</v>
      </c>
      <c r="I68" s="13">
        <f t="shared" ref="I68:I71" si="10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9"/>
        <v>62.321885200000004</v>
      </c>
      <c r="I69" s="13">
        <f t="shared" si="10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1" t="s">
        <v>116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9"/>
        <v>0.67418600000000006</v>
      </c>
      <c r="I70" s="13">
        <f t="shared" si="10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1" t="s">
        <v>117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9"/>
        <v>0.62899800000000006</v>
      </c>
      <c r="I71" s="13">
        <f t="shared" si="10"/>
        <v>628.99800000000005</v>
      </c>
      <c r="J71" s="5"/>
      <c r="K71" s="5"/>
      <c r="L71" s="5"/>
      <c r="M71" s="5"/>
      <c r="N71" s="5"/>
      <c r="O71" s="5"/>
      <c r="P71" s="5"/>
      <c r="Q71" s="5"/>
      <c r="R71" s="201"/>
      <c r="S71" s="201"/>
      <c r="T71" s="201"/>
      <c r="U71" s="201"/>
    </row>
    <row r="72" spans="1:22" ht="20.25" hidden="1" customHeight="1">
      <c r="A72" s="29">
        <v>16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9"/>
        <v>0.74820000000000009</v>
      </c>
      <c r="I72" s="13">
        <f>G72*15</f>
        <v>748.2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0.25" customHeight="1">
      <c r="A73" s="29"/>
      <c r="B73" s="147" t="s">
        <v>173</v>
      </c>
      <c r="C73" s="123"/>
      <c r="D73" s="145"/>
      <c r="E73" s="146"/>
      <c r="F73" s="126"/>
      <c r="G73" s="124"/>
      <c r="H73" s="100"/>
      <c r="I73" s="1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29.25" customHeight="1">
      <c r="A74" s="29">
        <v>17</v>
      </c>
      <c r="B74" s="37" t="s">
        <v>174</v>
      </c>
      <c r="C74" s="40" t="s">
        <v>175</v>
      </c>
      <c r="D74" s="37"/>
      <c r="E74" s="17">
        <v>5162.6000000000004</v>
      </c>
      <c r="F74" s="36">
        <f>E74*12</f>
        <v>61951.200000000004</v>
      </c>
      <c r="G74" s="36">
        <v>2.37</v>
      </c>
      <c r="H74" s="100"/>
      <c r="I74" s="13">
        <f>G74*61951.2/12</f>
        <v>12235.362000000001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2" ht="19.5" hidden="1" customHeight="1">
      <c r="A75" s="110"/>
      <c r="B75" s="109" t="s">
        <v>118</v>
      </c>
      <c r="C75" s="109"/>
      <c r="D75" s="109"/>
      <c r="E75" s="109"/>
      <c r="F75" s="109"/>
      <c r="G75" s="109"/>
      <c r="H75" s="109"/>
      <c r="I75" s="18"/>
    </row>
    <row r="76" spans="1:22" ht="17.25" hidden="1" customHeight="1">
      <c r="A76" s="29">
        <v>11</v>
      </c>
      <c r="B76" s="82" t="s">
        <v>119</v>
      </c>
      <c r="C76" s="16"/>
      <c r="D76" s="99"/>
      <c r="E76" s="77"/>
      <c r="F76" s="13">
        <v>1</v>
      </c>
      <c r="G76" s="13">
        <v>27865.200000000001</v>
      </c>
      <c r="H76" s="100">
        <f>G76*F76/1000</f>
        <v>27.865200000000002</v>
      </c>
      <c r="I76" s="13">
        <f>G76</f>
        <v>27865.200000000001</v>
      </c>
    </row>
    <row r="77" spans="1:22" ht="15.75" customHeight="1">
      <c r="A77" s="29"/>
      <c r="B77" s="48" t="s">
        <v>70</v>
      </c>
      <c r="C77" s="48"/>
      <c r="D77" s="48"/>
      <c r="E77" s="18"/>
      <c r="F77" s="18"/>
      <c r="G77" s="29"/>
      <c r="H77" s="29"/>
      <c r="I77" s="18"/>
    </row>
    <row r="78" spans="1:22" ht="29.25" hidden="1" customHeight="1">
      <c r="A78" s="29">
        <v>21</v>
      </c>
      <c r="B78" s="37" t="s">
        <v>184</v>
      </c>
      <c r="C78" s="38" t="s">
        <v>111</v>
      </c>
      <c r="D78" s="37" t="s">
        <v>209</v>
      </c>
      <c r="E78" s="17">
        <v>2</v>
      </c>
      <c r="F78" s="36">
        <f>E78</f>
        <v>2</v>
      </c>
      <c r="G78" s="36">
        <v>2112.2800000000002</v>
      </c>
      <c r="H78" s="177"/>
      <c r="I78" s="18">
        <f>G78*1</f>
        <v>2112.2800000000002</v>
      </c>
    </row>
    <row r="79" spans="1:22" ht="20.25" hidden="1" customHeight="1">
      <c r="A79" s="29">
        <v>22</v>
      </c>
      <c r="B79" s="37" t="s">
        <v>71</v>
      </c>
      <c r="C79" s="38" t="s">
        <v>73</v>
      </c>
      <c r="D79" s="37"/>
      <c r="E79" s="17">
        <v>8</v>
      </c>
      <c r="F79" s="36">
        <f>E79/10</f>
        <v>0.8</v>
      </c>
      <c r="G79" s="36">
        <v>684.19</v>
      </c>
      <c r="H79" s="100">
        <f t="shared" ref="H79:H83" si="11">SUM(F79*G79/1000)</f>
        <v>0.54735200000000006</v>
      </c>
      <c r="I79" s="13">
        <f>G79*0.4</f>
        <v>273.67600000000004</v>
      </c>
    </row>
    <row r="80" spans="1:22" ht="17.25" hidden="1" customHeight="1">
      <c r="A80" s="29"/>
      <c r="B80" s="99" t="s">
        <v>132</v>
      </c>
      <c r="C80" s="16" t="s">
        <v>31</v>
      </c>
      <c r="D80" s="99"/>
      <c r="E80" s="18">
        <v>1</v>
      </c>
      <c r="F80" s="13">
        <v>1</v>
      </c>
      <c r="G80" s="13">
        <v>99.85</v>
      </c>
      <c r="H80" s="100">
        <f>F80*G80/1000</f>
        <v>9.9849999999999994E-2</v>
      </c>
      <c r="I80" s="13">
        <v>0</v>
      </c>
    </row>
    <row r="81" spans="1:9" ht="21" hidden="1" customHeight="1">
      <c r="A81" s="29"/>
      <c r="B81" s="99" t="s">
        <v>133</v>
      </c>
      <c r="C81" s="16" t="s">
        <v>31</v>
      </c>
      <c r="D81" s="99"/>
      <c r="E81" s="18">
        <v>1</v>
      </c>
      <c r="F81" s="13">
        <v>1</v>
      </c>
      <c r="G81" s="13">
        <v>120.26</v>
      </c>
      <c r="H81" s="100">
        <f>F81*G81/1000</f>
        <v>0.12026000000000001</v>
      </c>
      <c r="I81" s="13">
        <v>0</v>
      </c>
    </row>
    <row r="82" spans="1:9" ht="17.25" hidden="1" customHeight="1">
      <c r="A82" s="29">
        <v>19</v>
      </c>
      <c r="B82" s="99" t="s">
        <v>72</v>
      </c>
      <c r="C82" s="16" t="s">
        <v>31</v>
      </c>
      <c r="D82" s="99"/>
      <c r="E82" s="18">
        <v>2</v>
      </c>
      <c r="F82" s="97">
        <v>2</v>
      </c>
      <c r="G82" s="13">
        <v>852.99</v>
      </c>
      <c r="H82" s="100">
        <f>F82*G82/1000</f>
        <v>1.7059800000000001</v>
      </c>
      <c r="I82" s="13">
        <f>G82</f>
        <v>852.99</v>
      </c>
    </row>
    <row r="83" spans="1:9" ht="18.75" hidden="1" customHeight="1">
      <c r="A83" s="29">
        <v>10</v>
      </c>
      <c r="B83" s="99" t="s">
        <v>83</v>
      </c>
      <c r="C83" s="16" t="s">
        <v>111</v>
      </c>
      <c r="D83" s="99"/>
      <c r="E83" s="18">
        <v>1</v>
      </c>
      <c r="F83" s="85">
        <f>SUM(E83)</f>
        <v>1</v>
      </c>
      <c r="G83" s="13">
        <v>358.51</v>
      </c>
      <c r="H83" s="100">
        <f t="shared" si="11"/>
        <v>0.35851</v>
      </c>
      <c r="I83" s="13">
        <f>G83</f>
        <v>358.51</v>
      </c>
    </row>
    <row r="84" spans="1:9" ht="31.5" customHeight="1">
      <c r="A84" s="29">
        <v>18</v>
      </c>
      <c r="B84" s="37" t="s">
        <v>176</v>
      </c>
      <c r="C84" s="38" t="s">
        <v>111</v>
      </c>
      <c r="D84" s="37" t="s">
        <v>190</v>
      </c>
      <c r="E84" s="17">
        <v>1</v>
      </c>
      <c r="F84" s="36">
        <f>E84*12</f>
        <v>12</v>
      </c>
      <c r="G84" s="36">
        <v>55.55</v>
      </c>
      <c r="H84" s="100"/>
      <c r="I84" s="13">
        <f>G84*1</f>
        <v>55.55</v>
      </c>
    </row>
    <row r="85" spans="1:9" ht="18.75" hidden="1" customHeight="1">
      <c r="A85" s="29"/>
      <c r="B85" s="49" t="s">
        <v>74</v>
      </c>
      <c r="C85" s="38"/>
      <c r="D85" s="29"/>
      <c r="E85" s="18"/>
      <c r="F85" s="18"/>
      <c r="G85" s="36"/>
      <c r="H85" s="36"/>
      <c r="I85" s="18"/>
    </row>
    <row r="86" spans="1:9" ht="16.5" hidden="1" customHeight="1">
      <c r="A86" s="29">
        <v>39</v>
      </c>
      <c r="B86" s="51" t="s">
        <v>120</v>
      </c>
      <c r="C86" s="16" t="s">
        <v>75</v>
      </c>
      <c r="D86" s="99"/>
      <c r="E86" s="18"/>
      <c r="F86" s="13">
        <v>1.35</v>
      </c>
      <c r="G86" s="13">
        <v>2759.44</v>
      </c>
      <c r="H86" s="100">
        <f t="shared" ref="H86" si="12">SUM(F86*G86/1000)</f>
        <v>3.725244</v>
      </c>
      <c r="I86" s="13">
        <v>0</v>
      </c>
    </row>
    <row r="87" spans="1:9" ht="15.75" customHeight="1">
      <c r="A87" s="210" t="s">
        <v>138</v>
      </c>
      <c r="B87" s="211"/>
      <c r="C87" s="211"/>
      <c r="D87" s="211"/>
      <c r="E87" s="211"/>
      <c r="F87" s="211"/>
      <c r="G87" s="211"/>
      <c r="H87" s="211"/>
      <c r="I87" s="212"/>
    </row>
    <row r="88" spans="1:9" ht="15.75" customHeight="1">
      <c r="A88" s="29">
        <v>19</v>
      </c>
      <c r="B88" s="32" t="s">
        <v>121</v>
      </c>
      <c r="C88" s="38" t="s">
        <v>53</v>
      </c>
      <c r="D88" s="63"/>
      <c r="E88" s="36">
        <v>5162.6000000000004</v>
      </c>
      <c r="F88" s="36">
        <f>SUM(E88*12)</f>
        <v>61951.200000000004</v>
      </c>
      <c r="G88" s="36">
        <v>3.22</v>
      </c>
      <c r="H88" s="102">
        <f>SUM(F88*G88/1000)</f>
        <v>199.48286400000003</v>
      </c>
      <c r="I88" s="13">
        <f>F88/12*G88</f>
        <v>16623.572000000004</v>
      </c>
    </row>
    <row r="89" spans="1:9" ht="31.5" customHeight="1">
      <c r="A89" s="29">
        <v>20</v>
      </c>
      <c r="B89" s="37" t="s">
        <v>177</v>
      </c>
      <c r="C89" s="112" t="s">
        <v>178</v>
      </c>
      <c r="D89" s="37"/>
      <c r="E89" s="17">
        <v>5162.6000000000004</v>
      </c>
      <c r="F89" s="36">
        <f>E89*12</f>
        <v>61951.200000000004</v>
      </c>
      <c r="G89" s="36">
        <v>3.64</v>
      </c>
      <c r="H89" s="100">
        <f>F89*G89/1000</f>
        <v>225.50236800000002</v>
      </c>
      <c r="I89" s="13">
        <f>F89/12*G89</f>
        <v>18791.864000000001</v>
      </c>
    </row>
    <row r="90" spans="1:9" ht="15.75" customHeight="1">
      <c r="A90" s="110"/>
      <c r="B90" s="39" t="s">
        <v>78</v>
      </c>
      <c r="C90" s="40"/>
      <c r="D90" s="15"/>
      <c r="E90" s="15"/>
      <c r="F90" s="15"/>
      <c r="G90" s="18"/>
      <c r="H90" s="18"/>
      <c r="I90" s="31">
        <f>I89+I88+I84+I74+I63+I58+I51+I45+I44+I43+I42+I40+I39+I38+I27+I21+I20+I18+I17+I16</f>
        <v>93989.646581933324</v>
      </c>
    </row>
    <row r="91" spans="1:9" ht="15.75" customHeight="1">
      <c r="A91" s="213" t="s">
        <v>58</v>
      </c>
      <c r="B91" s="214"/>
      <c r="C91" s="214"/>
      <c r="D91" s="214"/>
      <c r="E91" s="214"/>
      <c r="F91" s="214"/>
      <c r="G91" s="214"/>
      <c r="H91" s="214"/>
      <c r="I91" s="215"/>
    </row>
    <row r="92" spans="1:9" ht="33" customHeight="1">
      <c r="A92" s="29">
        <v>21</v>
      </c>
      <c r="B92" s="66" t="s">
        <v>323</v>
      </c>
      <c r="C92" s="67" t="s">
        <v>152</v>
      </c>
      <c r="D92" s="64" t="s">
        <v>326</v>
      </c>
      <c r="E92" s="36"/>
      <c r="F92" s="36">
        <v>1</v>
      </c>
      <c r="G92" s="36">
        <v>587.65</v>
      </c>
      <c r="H92" s="102"/>
      <c r="I92" s="13">
        <f>G92*1</f>
        <v>587.65</v>
      </c>
    </row>
    <row r="93" spans="1:9" ht="28.5" customHeight="1">
      <c r="A93" s="29">
        <v>22</v>
      </c>
      <c r="B93" s="66" t="s">
        <v>220</v>
      </c>
      <c r="C93" s="67" t="s">
        <v>37</v>
      </c>
      <c r="D93" s="64" t="s">
        <v>196</v>
      </c>
      <c r="E93" s="36"/>
      <c r="F93" s="36">
        <v>0.3</v>
      </c>
      <c r="G93" s="36">
        <v>4070.89</v>
      </c>
      <c r="H93" s="102"/>
      <c r="I93" s="13">
        <v>0</v>
      </c>
    </row>
    <row r="94" spans="1:9" ht="27.75" customHeight="1">
      <c r="A94" s="29">
        <v>23</v>
      </c>
      <c r="B94" s="198" t="s">
        <v>324</v>
      </c>
      <c r="C94" s="40" t="s">
        <v>325</v>
      </c>
      <c r="D94" s="64"/>
      <c r="E94" s="36"/>
      <c r="F94" s="36">
        <v>1</v>
      </c>
      <c r="G94" s="36">
        <v>6895.15</v>
      </c>
      <c r="H94" s="102"/>
      <c r="I94" s="13">
        <f>G94*1</f>
        <v>6895.15</v>
      </c>
    </row>
    <row r="95" spans="1:9" ht="17.25" customHeight="1">
      <c r="A95" s="29">
        <v>24</v>
      </c>
      <c r="B95" s="66" t="s">
        <v>211</v>
      </c>
      <c r="C95" s="67" t="s">
        <v>185</v>
      </c>
      <c r="D95" s="197" t="s">
        <v>196</v>
      </c>
      <c r="E95" s="36"/>
      <c r="F95" s="36">
        <v>0.08</v>
      </c>
      <c r="G95" s="36">
        <v>27137.18</v>
      </c>
      <c r="H95" s="102"/>
      <c r="I95" s="13">
        <v>0</v>
      </c>
    </row>
    <row r="96" spans="1:9" ht="15.75" customHeight="1">
      <c r="A96" s="29"/>
      <c r="B96" s="45" t="s">
        <v>50</v>
      </c>
      <c r="C96" s="41"/>
      <c r="D96" s="53"/>
      <c r="E96" s="41">
        <v>1</v>
      </c>
      <c r="F96" s="41"/>
      <c r="G96" s="41"/>
      <c r="H96" s="41"/>
      <c r="I96" s="31">
        <f>SUM(I92:I95)</f>
        <v>7482.7999999999993</v>
      </c>
    </row>
    <row r="97" spans="1:9" ht="15.75" customHeight="1">
      <c r="A97" s="29"/>
      <c r="B97" s="51" t="s">
        <v>76</v>
      </c>
      <c r="C97" s="15"/>
      <c r="D97" s="15"/>
      <c r="E97" s="42"/>
      <c r="F97" s="42"/>
      <c r="G97" s="43"/>
      <c r="H97" s="43"/>
      <c r="I97" s="17">
        <v>0</v>
      </c>
    </row>
    <row r="98" spans="1:9" ht="15.75" customHeight="1">
      <c r="A98" s="54"/>
      <c r="B98" s="46" t="s">
        <v>143</v>
      </c>
      <c r="C98" s="34"/>
      <c r="D98" s="34"/>
      <c r="E98" s="34"/>
      <c r="F98" s="34"/>
      <c r="G98" s="34"/>
      <c r="H98" s="34"/>
      <c r="I98" s="44">
        <f>I90+I96</f>
        <v>101472.44658193333</v>
      </c>
    </row>
    <row r="99" spans="1:9" ht="15.75">
      <c r="A99" s="207" t="s">
        <v>353</v>
      </c>
      <c r="B99" s="207"/>
      <c r="C99" s="207"/>
      <c r="D99" s="207"/>
      <c r="E99" s="207"/>
      <c r="F99" s="207"/>
      <c r="G99" s="207"/>
      <c r="H99" s="207"/>
      <c r="I99" s="207"/>
    </row>
    <row r="100" spans="1:9" ht="15.75">
      <c r="A100" s="61"/>
      <c r="B100" s="208" t="s">
        <v>354</v>
      </c>
      <c r="C100" s="208"/>
      <c r="D100" s="208"/>
      <c r="E100" s="208"/>
      <c r="F100" s="208"/>
      <c r="G100" s="208"/>
      <c r="H100" s="80"/>
      <c r="I100" s="3"/>
    </row>
    <row r="101" spans="1:9">
      <c r="A101" s="105"/>
      <c r="B101" s="206" t="s">
        <v>6</v>
      </c>
      <c r="C101" s="206"/>
      <c r="D101" s="206"/>
      <c r="E101" s="206"/>
      <c r="F101" s="206"/>
      <c r="G101" s="206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09" t="s">
        <v>7</v>
      </c>
      <c r="B103" s="209"/>
      <c r="C103" s="209"/>
      <c r="D103" s="209"/>
      <c r="E103" s="209"/>
      <c r="F103" s="209"/>
      <c r="G103" s="209"/>
      <c r="H103" s="209"/>
      <c r="I103" s="209"/>
    </row>
    <row r="104" spans="1:9" ht="15.75">
      <c r="A104" s="209" t="s">
        <v>8</v>
      </c>
      <c r="B104" s="209"/>
      <c r="C104" s="209"/>
      <c r="D104" s="209"/>
      <c r="E104" s="209"/>
      <c r="F104" s="209"/>
      <c r="G104" s="209"/>
      <c r="H104" s="209"/>
      <c r="I104" s="209"/>
    </row>
    <row r="105" spans="1:9" ht="15.75">
      <c r="A105" s="203" t="s">
        <v>59</v>
      </c>
      <c r="B105" s="203"/>
      <c r="C105" s="203"/>
      <c r="D105" s="203"/>
      <c r="E105" s="203"/>
      <c r="F105" s="203"/>
      <c r="G105" s="203"/>
      <c r="H105" s="203"/>
      <c r="I105" s="203"/>
    </row>
    <row r="106" spans="1:9" ht="15.75">
      <c r="A106" s="11"/>
    </row>
    <row r="107" spans="1:9" ht="15.75">
      <c r="A107" s="204" t="s">
        <v>9</v>
      </c>
      <c r="B107" s="204"/>
      <c r="C107" s="204"/>
      <c r="D107" s="204"/>
      <c r="E107" s="204"/>
      <c r="F107" s="204"/>
      <c r="G107" s="204"/>
      <c r="H107" s="204"/>
      <c r="I107" s="204"/>
    </row>
    <row r="108" spans="1:9" ht="15.75">
      <c r="A108" s="4"/>
    </row>
    <row r="109" spans="1:9" ht="15.75">
      <c r="B109" s="106" t="s">
        <v>10</v>
      </c>
      <c r="C109" s="205" t="s">
        <v>313</v>
      </c>
      <c r="D109" s="205"/>
      <c r="E109" s="205"/>
      <c r="F109" s="78"/>
      <c r="I109" s="104"/>
    </row>
    <row r="110" spans="1:9">
      <c r="A110" s="105"/>
      <c r="C110" s="206" t="s">
        <v>11</v>
      </c>
      <c r="D110" s="206"/>
      <c r="E110" s="206"/>
      <c r="F110" s="24"/>
      <c r="I110" s="107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106" t="s">
        <v>13</v>
      </c>
      <c r="C112" s="200"/>
      <c r="D112" s="200"/>
      <c r="E112" s="200"/>
      <c r="F112" s="79"/>
      <c r="I112" s="104"/>
    </row>
    <row r="113" spans="1:9">
      <c r="A113" s="105"/>
      <c r="C113" s="201" t="s">
        <v>11</v>
      </c>
      <c r="D113" s="201"/>
      <c r="E113" s="201"/>
      <c r="F113" s="105"/>
      <c r="I113" s="107" t="s">
        <v>12</v>
      </c>
    </row>
    <row r="114" spans="1:9" ht="15.75">
      <c r="A114" s="4" t="s">
        <v>14</v>
      </c>
    </row>
    <row r="115" spans="1:9">
      <c r="A115" s="202" t="s">
        <v>15</v>
      </c>
      <c r="B115" s="202"/>
      <c r="C115" s="202"/>
      <c r="D115" s="202"/>
      <c r="E115" s="202"/>
      <c r="F115" s="202"/>
      <c r="G115" s="202"/>
      <c r="H115" s="202"/>
      <c r="I115" s="202"/>
    </row>
    <row r="116" spans="1:9" ht="45" customHeight="1">
      <c r="A116" s="199" t="s">
        <v>16</v>
      </c>
      <c r="B116" s="199"/>
      <c r="C116" s="199"/>
      <c r="D116" s="199"/>
      <c r="E116" s="199"/>
      <c r="F116" s="199"/>
      <c r="G116" s="199"/>
      <c r="H116" s="199"/>
      <c r="I116" s="199"/>
    </row>
    <row r="117" spans="1:9" ht="30" customHeight="1">
      <c r="A117" s="199" t="s">
        <v>17</v>
      </c>
      <c r="B117" s="199"/>
      <c r="C117" s="199"/>
      <c r="D117" s="199"/>
      <c r="E117" s="199"/>
      <c r="F117" s="199"/>
      <c r="G117" s="199"/>
      <c r="H117" s="199"/>
      <c r="I117" s="199"/>
    </row>
    <row r="118" spans="1:9" ht="30" customHeight="1">
      <c r="A118" s="199" t="s">
        <v>21</v>
      </c>
      <c r="B118" s="199"/>
      <c r="C118" s="199"/>
      <c r="D118" s="199"/>
      <c r="E118" s="199"/>
      <c r="F118" s="199"/>
      <c r="G118" s="199"/>
      <c r="H118" s="199"/>
      <c r="I118" s="199"/>
    </row>
    <row r="119" spans="1:9" ht="15" customHeight="1">
      <c r="A119" s="199" t="s">
        <v>20</v>
      </c>
      <c r="B119" s="199"/>
      <c r="C119" s="199"/>
      <c r="D119" s="199"/>
      <c r="E119" s="199"/>
      <c r="F119" s="199"/>
      <c r="G119" s="199"/>
      <c r="H119" s="199"/>
      <c r="I119" s="199"/>
    </row>
  </sheetData>
  <autoFilter ref="I12:I66"/>
  <mergeCells count="29">
    <mergeCell ref="A14:I14"/>
    <mergeCell ref="A15:I15"/>
    <mergeCell ref="A28:I28"/>
    <mergeCell ref="A46:I46"/>
    <mergeCell ref="A56:I56"/>
    <mergeCell ref="A3:I3"/>
    <mergeCell ref="A4:I4"/>
    <mergeCell ref="A5:I5"/>
    <mergeCell ref="A8:I8"/>
    <mergeCell ref="A10:I10"/>
    <mergeCell ref="R71:U71"/>
    <mergeCell ref="C113:E113"/>
    <mergeCell ref="A91:I91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7:I87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0"/>
  <sheetViews>
    <sheetView topLeftCell="A86" workbookViewId="0">
      <selection activeCell="I102" sqref="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14062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144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213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164"/>
      <c r="C6" s="164"/>
      <c r="D6" s="164"/>
      <c r="E6" s="164"/>
      <c r="F6" s="164"/>
      <c r="G6" s="164"/>
      <c r="H6" s="164"/>
      <c r="I6" s="30">
        <v>43889</v>
      </c>
      <c r="J6" s="2"/>
      <c r="K6" s="2"/>
      <c r="L6" s="2"/>
      <c r="M6" s="2"/>
    </row>
    <row r="7" spans="1:13" ht="15.75" customHeight="1">
      <c r="B7" s="162"/>
      <c r="C7" s="162"/>
      <c r="D7" s="1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181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53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196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F18/18*G18</f>
        <v>4468.7811599999995</v>
      </c>
      <c r="J18" s="22"/>
      <c r="K18" s="8"/>
      <c r="L18" s="8"/>
      <c r="M18" s="8"/>
    </row>
    <row r="19" spans="1:13" ht="15.75" hidden="1" customHeight="1">
      <c r="A19" s="29"/>
      <c r="B19" s="32" t="s">
        <v>90</v>
      </c>
      <c r="C19" s="136" t="s">
        <v>91</v>
      </c>
      <c r="D19" s="32" t="s">
        <v>92</v>
      </c>
      <c r="E19" s="149">
        <v>124.8</v>
      </c>
      <c r="F19" s="137">
        <f>SUM(E19/10)</f>
        <v>12.48</v>
      </c>
      <c r="G19" s="137">
        <v>232.1</v>
      </c>
      <c r="H19" s="86">
        <f t="shared" si="0"/>
        <v>2.8966080000000001</v>
      </c>
      <c r="I19" s="13">
        <f>F19/2*G19</f>
        <v>1448.3040000000001</v>
      </c>
      <c r="J19" s="22"/>
      <c r="K19" s="8"/>
      <c r="L19" s="8"/>
      <c r="M19" s="8"/>
    </row>
    <row r="20" spans="1:13" ht="17.25" customHeight="1">
      <c r="A20" s="29">
        <v>4</v>
      </c>
      <c r="B20" s="32" t="s">
        <v>95</v>
      </c>
      <c r="C20" s="136" t="s">
        <v>89</v>
      </c>
      <c r="D20" s="32" t="s">
        <v>190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" customHeight="1">
      <c r="A21" s="29">
        <v>5</v>
      </c>
      <c r="B21" s="32" t="s">
        <v>96</v>
      </c>
      <c r="C21" s="136" t="s">
        <v>89</v>
      </c>
      <c r="D21" s="32" t="s">
        <v>190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30" hidden="1" customHeight="1">
      <c r="A22" s="29"/>
      <c r="B22" s="32" t="s">
        <v>97</v>
      </c>
      <c r="C22" s="136" t="s">
        <v>51</v>
      </c>
      <c r="D22" s="32" t="s">
        <v>92</v>
      </c>
      <c r="E22" s="149">
        <v>820.5</v>
      </c>
      <c r="F22" s="137">
        <f>SUM(E22/100)</f>
        <v>8.2050000000000001</v>
      </c>
      <c r="G22" s="137">
        <v>367.27</v>
      </c>
      <c r="H22" s="86">
        <f t="shared" si="0"/>
        <v>3.0134503500000003</v>
      </c>
      <c r="I22" s="13">
        <f t="shared" ref="I22:I26" si="1">F22*G22</f>
        <v>3013.4503500000001</v>
      </c>
      <c r="J22" s="22"/>
      <c r="K22" s="8"/>
      <c r="L22" s="8"/>
      <c r="M22" s="8"/>
    </row>
    <row r="23" spans="1:13" ht="30.75" hidden="1" customHeight="1">
      <c r="A23" s="29"/>
      <c r="B23" s="32" t="s">
        <v>98</v>
      </c>
      <c r="C23" s="136" t="s">
        <v>51</v>
      </c>
      <c r="D23" s="32" t="s">
        <v>92</v>
      </c>
      <c r="E23" s="156">
        <v>60.25</v>
      </c>
      <c r="F23" s="137">
        <f>SUM(E23/100)</f>
        <v>0.60250000000000004</v>
      </c>
      <c r="G23" s="137">
        <v>60.41</v>
      </c>
      <c r="H23" s="86">
        <f t="shared" si="0"/>
        <v>3.6397025E-2</v>
      </c>
      <c r="I23" s="13">
        <f t="shared" si="1"/>
        <v>36.397024999999999</v>
      </c>
      <c r="J23" s="22"/>
      <c r="K23" s="8"/>
      <c r="L23" s="8"/>
      <c r="M23" s="8"/>
    </row>
    <row r="24" spans="1:13" ht="28.5" hidden="1" customHeight="1">
      <c r="A24" s="29"/>
      <c r="B24" s="32" t="s">
        <v>93</v>
      </c>
      <c r="C24" s="136" t="s">
        <v>51</v>
      </c>
      <c r="D24" s="32" t="s">
        <v>94</v>
      </c>
      <c r="E24" s="149">
        <v>19.149999999999999</v>
      </c>
      <c r="F24" s="137">
        <f>E24/100</f>
        <v>0.19149999999999998</v>
      </c>
      <c r="G24" s="137">
        <v>531.55999999999995</v>
      </c>
      <c r="H24" s="86">
        <f t="shared" si="0"/>
        <v>0.10179373999999997</v>
      </c>
      <c r="I24" s="13">
        <f t="shared" si="1"/>
        <v>101.79373999999997</v>
      </c>
      <c r="J24" s="22"/>
      <c r="K24" s="8"/>
      <c r="L24" s="8"/>
      <c r="M24" s="8"/>
    </row>
    <row r="25" spans="1:13" ht="22.5" hidden="1" customHeight="1">
      <c r="A25" s="40">
        <v>6</v>
      </c>
      <c r="B25" s="32" t="s">
        <v>100</v>
      </c>
      <c r="C25" s="136" t="s">
        <v>51</v>
      </c>
      <c r="D25" s="32" t="s">
        <v>52</v>
      </c>
      <c r="E25" s="149">
        <v>31.5</v>
      </c>
      <c r="F25" s="137">
        <v>0.32</v>
      </c>
      <c r="G25" s="137">
        <v>294.77999999999997</v>
      </c>
      <c r="H25" s="86">
        <f t="shared" si="0"/>
        <v>9.43296E-2</v>
      </c>
      <c r="I25" s="13">
        <f t="shared" si="1"/>
        <v>94.329599999999999</v>
      </c>
      <c r="J25" s="22"/>
      <c r="K25" s="8"/>
      <c r="L25" s="8"/>
      <c r="M25" s="8"/>
    </row>
    <row r="26" spans="1:13" ht="17.25" hidden="1" customHeight="1">
      <c r="A26" s="40"/>
      <c r="B26" s="32" t="s">
        <v>99</v>
      </c>
      <c r="C26" s="136" t="s">
        <v>51</v>
      </c>
      <c r="D26" s="32" t="s">
        <v>92</v>
      </c>
      <c r="E26" s="149">
        <v>37.5</v>
      </c>
      <c r="F26" s="137">
        <f>SUM(E26/100)</f>
        <v>0.375</v>
      </c>
      <c r="G26" s="137">
        <v>710.37</v>
      </c>
      <c r="H26" s="86">
        <f t="shared" si="0"/>
        <v>0.26638875000000001</v>
      </c>
      <c r="I26" s="13">
        <f t="shared" si="1"/>
        <v>266.38875000000002</v>
      </c>
      <c r="J26" s="22"/>
      <c r="K26" s="8"/>
      <c r="L26" s="8"/>
      <c r="M26" s="8"/>
    </row>
    <row r="27" spans="1:13" ht="15.75" customHeight="1">
      <c r="A27" s="40">
        <v>6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3" t="s">
        <v>81</v>
      </c>
      <c r="B28" s="224"/>
      <c r="C28" s="224"/>
      <c r="D28" s="224"/>
      <c r="E28" s="224"/>
      <c r="F28" s="224"/>
      <c r="G28" s="224"/>
      <c r="H28" s="224"/>
      <c r="I28" s="225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82" t="s">
        <v>101</v>
      </c>
      <c r="C30" s="83" t="s">
        <v>102</v>
      </c>
      <c r="D30" s="82" t="s">
        <v>103</v>
      </c>
      <c r="E30" s="85">
        <v>1304.45</v>
      </c>
      <c r="F30" s="85">
        <f>SUM(E30*52/1000)</f>
        <v>67.831400000000002</v>
      </c>
      <c r="G30" s="85">
        <v>155.88999999999999</v>
      </c>
      <c r="H30" s="86">
        <f t="shared" ref="H30:H35" si="3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15.75" hidden="1" customHeight="1">
      <c r="A31" s="40">
        <v>3</v>
      </c>
      <c r="B31" s="82" t="s">
        <v>139</v>
      </c>
      <c r="C31" s="83" t="s">
        <v>102</v>
      </c>
      <c r="D31" s="82" t="s">
        <v>104</v>
      </c>
      <c r="E31" s="85">
        <v>287.83999999999997</v>
      </c>
      <c r="F31" s="85">
        <f>SUM(E31*78/1000)</f>
        <v>22.451519999999995</v>
      </c>
      <c r="G31" s="85">
        <v>258.63</v>
      </c>
      <c r="H31" s="86">
        <f t="shared" si="3"/>
        <v>5.8066366175999979</v>
      </c>
      <c r="I31" s="13">
        <f t="shared" ref="I31:I33" si="4">F31/6*G31</f>
        <v>967.77276959999972</v>
      </c>
      <c r="J31" s="22"/>
      <c r="K31" s="8"/>
      <c r="L31" s="8"/>
      <c r="M31" s="8"/>
    </row>
    <row r="32" spans="1:13" ht="31.5" hidden="1" customHeight="1">
      <c r="A32" s="40">
        <v>4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si="3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82" t="s">
        <v>105</v>
      </c>
      <c r="C33" s="83" t="s">
        <v>31</v>
      </c>
      <c r="D33" s="82" t="s">
        <v>61</v>
      </c>
      <c r="E33" s="89">
        <v>0.33333333333333331</v>
      </c>
      <c r="F33" s="85">
        <f>155/3</f>
        <v>51.666666666666664</v>
      </c>
      <c r="G33" s="85">
        <v>56.69</v>
      </c>
      <c r="H33" s="86">
        <f t="shared" si="3"/>
        <v>2.9289833333333331</v>
      </c>
      <c r="I33" s="13">
        <f t="shared" si="4"/>
        <v>488.16388888888883</v>
      </c>
      <c r="J33" s="22"/>
      <c r="K33" s="8"/>
      <c r="L33" s="8"/>
      <c r="M33" s="8"/>
    </row>
    <row r="34" spans="1:14" ht="15.75" hidden="1" customHeight="1">
      <c r="A34" s="40">
        <v>4</v>
      </c>
      <c r="B34" s="82" t="s">
        <v>63</v>
      </c>
      <c r="C34" s="83" t="s">
        <v>33</v>
      </c>
      <c r="D34" s="82" t="s">
        <v>65</v>
      </c>
      <c r="E34" s="84"/>
      <c r="F34" s="85">
        <v>3</v>
      </c>
      <c r="G34" s="85">
        <v>191.32</v>
      </c>
      <c r="H34" s="86">
        <f t="shared" si="3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82" t="s">
        <v>64</v>
      </c>
      <c r="C35" s="83" t="s">
        <v>32</v>
      </c>
      <c r="D35" s="82" t="s">
        <v>65</v>
      </c>
      <c r="E35" s="84"/>
      <c r="F35" s="85">
        <v>2</v>
      </c>
      <c r="G35" s="85">
        <v>1136.32</v>
      </c>
      <c r="H35" s="86">
        <f t="shared" si="3"/>
        <v>2.27264</v>
      </c>
      <c r="I35" s="13">
        <v>0</v>
      </c>
      <c r="J35" s="23"/>
    </row>
    <row r="36" spans="1:14" ht="15.75" hidden="1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5.75" customHeight="1">
      <c r="A37" s="33">
        <v>7</v>
      </c>
      <c r="B37" s="152" t="s">
        <v>27</v>
      </c>
      <c r="C37" s="136" t="s">
        <v>32</v>
      </c>
      <c r="D37" s="179" t="s">
        <v>214</v>
      </c>
      <c r="E37" s="149"/>
      <c r="F37" s="137">
        <v>8</v>
      </c>
      <c r="G37" s="137">
        <v>2083</v>
      </c>
      <c r="H37" s="86">
        <f t="shared" ref="H37:H43" si="5">SUM(F37*G37/1000)</f>
        <v>16.664000000000001</v>
      </c>
      <c r="I37" s="13">
        <f>G37*1.1</f>
        <v>2291.3000000000002</v>
      </c>
      <c r="J37" s="23"/>
    </row>
    <row r="38" spans="1:14" ht="16.5" customHeight="1">
      <c r="A38" s="33">
        <v>8</v>
      </c>
      <c r="B38" s="152" t="s">
        <v>123</v>
      </c>
      <c r="C38" s="153" t="s">
        <v>30</v>
      </c>
      <c r="D38" s="32" t="s">
        <v>192</v>
      </c>
      <c r="E38" s="154">
        <v>287.83999999999997</v>
      </c>
      <c r="F38" s="154">
        <f>SUM(E38*30/1000)</f>
        <v>8.6351999999999993</v>
      </c>
      <c r="G38" s="154">
        <v>2868.09</v>
      </c>
      <c r="H38" s="86">
        <f t="shared" si="5"/>
        <v>24.766530767999999</v>
      </c>
      <c r="I38" s="13">
        <f>F38/6*G38</f>
        <v>4127.7551279999998</v>
      </c>
      <c r="J38" s="23"/>
    </row>
    <row r="39" spans="1:14" ht="33.75" customHeight="1">
      <c r="A39" s="33">
        <v>9</v>
      </c>
      <c r="B39" s="152" t="s">
        <v>170</v>
      </c>
      <c r="C39" s="153" t="s">
        <v>30</v>
      </c>
      <c r="D39" s="32" t="s">
        <v>193</v>
      </c>
      <c r="E39" s="149">
        <v>287.83999999999997</v>
      </c>
      <c r="F39" s="154">
        <f>E39*155/1000</f>
        <v>44.615199999999994</v>
      </c>
      <c r="G39" s="137">
        <v>478.42</v>
      </c>
      <c r="H39" s="86">
        <f>G39*F39/1000</f>
        <v>21.344803983999999</v>
      </c>
      <c r="I39" s="13">
        <f>F39/6*G39</f>
        <v>3557.4673306666664</v>
      </c>
      <c r="J39" s="23"/>
    </row>
    <row r="40" spans="1:14" ht="49.5" customHeight="1">
      <c r="A40" s="33">
        <v>10</v>
      </c>
      <c r="B40" s="32" t="s">
        <v>79</v>
      </c>
      <c r="C40" s="136" t="s">
        <v>102</v>
      </c>
      <c r="D40" s="152" t="s">
        <v>192</v>
      </c>
      <c r="E40" s="137">
        <v>130.6</v>
      </c>
      <c r="F40" s="154">
        <f>SUM(E40*35/1000)</f>
        <v>4.5709999999999997</v>
      </c>
      <c r="G40" s="137">
        <v>7915.6</v>
      </c>
      <c r="H40" s="86">
        <f>G40*F40/1000</f>
        <v>36.182207599999998</v>
      </c>
      <c r="I40" s="13">
        <f>G40*F40/6</f>
        <v>6030.3679333333339</v>
      </c>
      <c r="J40" s="23"/>
    </row>
    <row r="41" spans="1:14" ht="18.75" customHeight="1">
      <c r="A41" s="33">
        <v>11</v>
      </c>
      <c r="B41" s="32" t="s">
        <v>108</v>
      </c>
      <c r="C41" s="136" t="s">
        <v>102</v>
      </c>
      <c r="D41" s="152" t="s">
        <v>196</v>
      </c>
      <c r="E41" s="137">
        <v>287.83999999999997</v>
      </c>
      <c r="F41" s="154">
        <f>SUM(E41*45/1000)</f>
        <v>12.9528</v>
      </c>
      <c r="G41" s="137">
        <v>584.74</v>
      </c>
      <c r="H41" s="86">
        <f t="shared" si="5"/>
        <v>7.5740202719999994</v>
      </c>
      <c r="I41" s="13">
        <f>G41*F41/45</f>
        <v>168.3115616</v>
      </c>
      <c r="J41" s="23"/>
    </row>
    <row r="42" spans="1:14" ht="15.75" customHeight="1">
      <c r="A42" s="33">
        <v>12</v>
      </c>
      <c r="B42" s="152" t="s">
        <v>68</v>
      </c>
      <c r="C42" s="153" t="s">
        <v>33</v>
      </c>
      <c r="D42" s="152" t="s">
        <v>215</v>
      </c>
      <c r="E42" s="155"/>
      <c r="F42" s="154">
        <v>0.9</v>
      </c>
      <c r="G42" s="154">
        <v>800</v>
      </c>
      <c r="H42" s="86">
        <f t="shared" si="5"/>
        <v>0.72</v>
      </c>
      <c r="I42" s="13">
        <f>G42*F42/45</f>
        <v>16</v>
      </c>
      <c r="J42" s="23"/>
    </row>
    <row r="43" spans="1:14" ht="33.75" customHeight="1">
      <c r="A43" s="33">
        <v>13</v>
      </c>
      <c r="B43" s="152" t="s">
        <v>171</v>
      </c>
      <c r="C43" s="153" t="s">
        <v>102</v>
      </c>
      <c r="D43" s="152" t="s">
        <v>189</v>
      </c>
      <c r="E43" s="155">
        <v>0.6</v>
      </c>
      <c r="F43" s="154">
        <v>0.01</v>
      </c>
      <c r="G43" s="154">
        <v>18798.34</v>
      </c>
      <c r="H43" s="86">
        <f t="shared" si="5"/>
        <v>0.18798340000000002</v>
      </c>
      <c r="I43" s="13">
        <f>G43*F43/6</f>
        <v>31.33056666666667</v>
      </c>
      <c r="J43" s="23"/>
      <c r="L43" s="19"/>
      <c r="M43" s="20"/>
      <c r="N43" s="21"/>
    </row>
    <row r="44" spans="1:14" ht="15.75" customHeight="1">
      <c r="A44" s="33"/>
      <c r="B44" s="99"/>
      <c r="C44" s="16"/>
      <c r="D44" s="99"/>
      <c r="E44" s="18"/>
      <c r="F44" s="13"/>
      <c r="G44" s="13"/>
      <c r="H44" s="13"/>
      <c r="I44" s="13"/>
      <c r="J44" s="23"/>
      <c r="L44" s="19"/>
      <c r="M44" s="20"/>
      <c r="N44" s="21"/>
    </row>
    <row r="45" spans="1:14" ht="15.75" customHeight="1">
      <c r="A45" s="226" t="s">
        <v>136</v>
      </c>
      <c r="B45" s="227"/>
      <c r="C45" s="227"/>
      <c r="D45" s="227"/>
      <c r="E45" s="227"/>
      <c r="F45" s="227"/>
      <c r="G45" s="227"/>
      <c r="H45" s="227"/>
      <c r="I45" s="228"/>
      <c r="J45" s="23"/>
      <c r="L45" s="19"/>
      <c r="M45" s="20"/>
      <c r="N45" s="21"/>
    </row>
    <row r="46" spans="1:14" ht="15.75" hidden="1" customHeight="1">
      <c r="A46" s="40">
        <v>15</v>
      </c>
      <c r="B46" s="82" t="s">
        <v>128</v>
      </c>
      <c r="C46" s="83" t="s">
        <v>102</v>
      </c>
      <c r="D46" s="82" t="s">
        <v>41</v>
      </c>
      <c r="E46" s="84">
        <v>1369</v>
      </c>
      <c r="F46" s="85">
        <f>SUM(E46*2/1000)</f>
        <v>2.738</v>
      </c>
      <c r="G46" s="13">
        <v>849.49</v>
      </c>
      <c r="H46" s="86">
        <f t="shared" ref="H46:H54" si="6">SUM(F46*G46/1000)</f>
        <v>2.3259036200000001</v>
      </c>
      <c r="I46" s="13">
        <v>0</v>
      </c>
      <c r="J46" s="23"/>
      <c r="L46" s="19"/>
      <c r="M46" s="20"/>
      <c r="N46" s="21"/>
    </row>
    <row r="47" spans="1:14" ht="15.75" hidden="1" customHeight="1">
      <c r="A47" s="40"/>
      <c r="B47" s="82" t="s">
        <v>34</v>
      </c>
      <c r="C47" s="83" t="s">
        <v>102</v>
      </c>
      <c r="D47" s="82" t="s">
        <v>41</v>
      </c>
      <c r="E47" s="84">
        <v>1418</v>
      </c>
      <c r="F47" s="85">
        <f>SUM(E47*2/1000)</f>
        <v>2.8359999999999999</v>
      </c>
      <c r="G47" s="13">
        <v>579.48</v>
      </c>
      <c r="H47" s="86">
        <f t="shared" si="6"/>
        <v>1.6434052799999999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40">
        <v>16</v>
      </c>
      <c r="B48" s="82" t="s">
        <v>35</v>
      </c>
      <c r="C48" s="83" t="s">
        <v>102</v>
      </c>
      <c r="D48" s="82" t="s">
        <v>41</v>
      </c>
      <c r="E48" s="84">
        <v>4985.21</v>
      </c>
      <c r="F48" s="85">
        <f>SUM(E48*2/1000)</f>
        <v>9.9704200000000007</v>
      </c>
      <c r="G48" s="13">
        <v>579.48</v>
      </c>
      <c r="H48" s="86">
        <f t="shared" si="6"/>
        <v>5.7776589816000001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17</v>
      </c>
      <c r="B49" s="82" t="s">
        <v>36</v>
      </c>
      <c r="C49" s="83" t="s">
        <v>102</v>
      </c>
      <c r="D49" s="82" t="s">
        <v>41</v>
      </c>
      <c r="E49" s="84">
        <v>2474</v>
      </c>
      <c r="F49" s="85">
        <f>SUM(E49*2/1000)</f>
        <v>4.9480000000000004</v>
      </c>
      <c r="G49" s="13">
        <v>606.77</v>
      </c>
      <c r="H49" s="86">
        <f t="shared" si="6"/>
        <v>3.0022979600000004</v>
      </c>
      <c r="I49" s="13">
        <v>0</v>
      </c>
      <c r="J49" s="23"/>
      <c r="L49" s="19"/>
      <c r="M49" s="20"/>
      <c r="N49" s="21"/>
    </row>
    <row r="50" spans="1:14" ht="15.75" customHeight="1">
      <c r="A50" s="40">
        <v>14</v>
      </c>
      <c r="B50" s="32" t="s">
        <v>54</v>
      </c>
      <c r="C50" s="136" t="s">
        <v>102</v>
      </c>
      <c r="D50" s="32" t="s">
        <v>196</v>
      </c>
      <c r="E50" s="149">
        <v>5162.6000000000004</v>
      </c>
      <c r="F50" s="137">
        <f>SUM(E50*5/1000)</f>
        <v>25.812999999999999</v>
      </c>
      <c r="G50" s="36">
        <v>1655.27</v>
      </c>
      <c r="H50" s="86">
        <f t="shared" si="6"/>
        <v>42.727484509999996</v>
      </c>
      <c r="I50" s="13">
        <f>F50/5*G50</f>
        <v>8545.496901999999</v>
      </c>
      <c r="J50" s="23"/>
      <c r="L50" s="19"/>
      <c r="M50" s="20"/>
      <c r="N50" s="21"/>
    </row>
    <row r="51" spans="1:14" ht="30.75" hidden="1" customHeight="1">
      <c r="A51" s="40">
        <v>13</v>
      </c>
      <c r="B51" s="82" t="s">
        <v>109</v>
      </c>
      <c r="C51" s="83" t="s">
        <v>102</v>
      </c>
      <c r="D51" s="82" t="s">
        <v>41</v>
      </c>
      <c r="E51" s="84">
        <v>1349.3</v>
      </c>
      <c r="F51" s="85">
        <f>SUM(E51*2/1000)</f>
        <v>2.6985999999999999</v>
      </c>
      <c r="G51" s="13">
        <v>1213.55</v>
      </c>
      <c r="H51" s="86">
        <f t="shared" si="6"/>
        <v>3.2748860299999998</v>
      </c>
      <c r="I51" s="13">
        <v>0</v>
      </c>
      <c r="J51" s="23"/>
      <c r="L51" s="19"/>
      <c r="M51" s="20"/>
      <c r="N51" s="21"/>
    </row>
    <row r="52" spans="1:14" ht="30.75" hidden="1" customHeight="1">
      <c r="A52" s="40">
        <v>14</v>
      </c>
      <c r="B52" s="82" t="s">
        <v>110</v>
      </c>
      <c r="C52" s="83" t="s">
        <v>37</v>
      </c>
      <c r="D52" s="82" t="s">
        <v>41</v>
      </c>
      <c r="E52" s="84">
        <v>40</v>
      </c>
      <c r="F52" s="85">
        <f>SUM(E52*2/100)</f>
        <v>0.8</v>
      </c>
      <c r="G52" s="13">
        <v>2730.49</v>
      </c>
      <c r="H52" s="86">
        <f t="shared" si="6"/>
        <v>2.1843919999999999</v>
      </c>
      <c r="I52" s="13">
        <v>0</v>
      </c>
      <c r="J52" s="23"/>
      <c r="L52" s="19"/>
      <c r="M52" s="20"/>
      <c r="N52" s="21"/>
    </row>
    <row r="53" spans="1:14" ht="15.75" hidden="1" customHeight="1">
      <c r="A53" s="40">
        <v>15</v>
      </c>
      <c r="B53" s="82" t="s">
        <v>38</v>
      </c>
      <c r="C53" s="83" t="s">
        <v>39</v>
      </c>
      <c r="D53" s="82" t="s">
        <v>41</v>
      </c>
      <c r="E53" s="84">
        <v>1</v>
      </c>
      <c r="F53" s="85">
        <v>0.02</v>
      </c>
      <c r="G53" s="13">
        <v>5652.13</v>
      </c>
      <c r="H53" s="86">
        <f t="shared" si="6"/>
        <v>0.11304260000000001</v>
      </c>
      <c r="I53" s="13">
        <v>0</v>
      </c>
      <c r="J53" s="23"/>
      <c r="L53" s="19"/>
      <c r="M53" s="20"/>
      <c r="N53" s="21"/>
    </row>
    <row r="54" spans="1:14" ht="15" hidden="1" customHeight="1">
      <c r="A54" s="40">
        <v>15</v>
      </c>
      <c r="B54" s="82" t="s">
        <v>40</v>
      </c>
      <c r="C54" s="83" t="s">
        <v>111</v>
      </c>
      <c r="D54" s="180">
        <v>43511</v>
      </c>
      <c r="E54" s="84">
        <v>238</v>
      </c>
      <c r="F54" s="85">
        <f>SUM(E54)*3</f>
        <v>714</v>
      </c>
      <c r="G54" s="169">
        <v>89.59</v>
      </c>
      <c r="H54" s="86">
        <f t="shared" si="6"/>
        <v>63.967260000000003</v>
      </c>
      <c r="I54" s="13">
        <f>E54*G54</f>
        <v>21322.420000000002</v>
      </c>
      <c r="J54" s="23"/>
      <c r="L54" s="19"/>
      <c r="M54" s="20"/>
      <c r="N54" s="21"/>
    </row>
    <row r="55" spans="1:14" ht="15.75" customHeight="1">
      <c r="A55" s="226" t="s">
        <v>137</v>
      </c>
      <c r="B55" s="227"/>
      <c r="C55" s="227"/>
      <c r="D55" s="227"/>
      <c r="E55" s="227"/>
      <c r="F55" s="227"/>
      <c r="G55" s="227"/>
      <c r="H55" s="227"/>
      <c r="I55" s="228"/>
      <c r="J55" s="23"/>
      <c r="L55" s="19"/>
      <c r="M55" s="20"/>
      <c r="N55" s="21"/>
    </row>
    <row r="56" spans="1:14" ht="15.75" customHeight="1">
      <c r="A56" s="166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customHeight="1">
      <c r="A57" s="40">
        <v>15</v>
      </c>
      <c r="B57" s="32" t="s">
        <v>112</v>
      </c>
      <c r="C57" s="136" t="s">
        <v>89</v>
      </c>
      <c r="D57" s="179"/>
      <c r="E57" s="149">
        <v>128.5</v>
      </c>
      <c r="F57" s="137">
        <f>SUM(E57*6/100)</f>
        <v>7.71</v>
      </c>
      <c r="G57" s="36">
        <v>2110.4699999999998</v>
      </c>
      <c r="H57" s="86">
        <f>SUM(F57*G57/1000)</f>
        <v>16.271723699999999</v>
      </c>
      <c r="I57" s="13">
        <f>G57*3.76</f>
        <v>7935.3671999999988</v>
      </c>
      <c r="J57" s="23"/>
      <c r="L57" s="19"/>
      <c r="M57" s="20"/>
      <c r="N57" s="21"/>
    </row>
    <row r="58" spans="1:14" ht="15.75" hidden="1" customHeight="1">
      <c r="A58" s="40">
        <v>17</v>
      </c>
      <c r="B58" s="32" t="s">
        <v>172</v>
      </c>
      <c r="C58" s="136" t="s">
        <v>89</v>
      </c>
      <c r="D58" s="32" t="s">
        <v>113</v>
      </c>
      <c r="E58" s="150">
        <v>69.5</v>
      </c>
      <c r="F58" s="151">
        <f>E58*6/100</f>
        <v>4.17</v>
      </c>
      <c r="G58" s="137">
        <v>2110.4699999999998</v>
      </c>
      <c r="H58" s="86">
        <f>F58*G58/1000</f>
        <v>8.8006598999999994</v>
      </c>
      <c r="I58" s="13">
        <f>F58/6*G58</f>
        <v>1466.7766499999998</v>
      </c>
      <c r="J58" s="23"/>
      <c r="L58" s="19"/>
      <c r="M58" s="20"/>
      <c r="N58" s="21"/>
    </row>
    <row r="59" spans="1:14" ht="15.75" hidden="1" customHeight="1">
      <c r="A59" s="40"/>
      <c r="B59" s="82" t="s">
        <v>130</v>
      </c>
      <c r="C59" s="83" t="s">
        <v>131</v>
      </c>
      <c r="D59" s="82" t="s">
        <v>41</v>
      </c>
      <c r="E59" s="91">
        <v>8</v>
      </c>
      <c r="F59" s="13">
        <v>16</v>
      </c>
      <c r="G59" s="85">
        <v>180.78</v>
      </c>
      <c r="H59" s="86">
        <f>SUM(F59*G59/1000)</f>
        <v>2.8924799999999999</v>
      </c>
      <c r="I59" s="13">
        <v>0</v>
      </c>
      <c r="J59" s="23"/>
      <c r="L59" s="19"/>
      <c r="M59" s="20"/>
      <c r="N59" s="21"/>
    </row>
    <row r="60" spans="1:14" ht="15.75" customHeight="1">
      <c r="A60" s="40"/>
      <c r="B60" s="165" t="s">
        <v>43</v>
      </c>
      <c r="C60" s="165"/>
      <c r="D60" s="165"/>
      <c r="E60" s="165"/>
      <c r="F60" s="165"/>
      <c r="G60" s="165"/>
      <c r="H60" s="165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82" t="s">
        <v>141</v>
      </c>
      <c r="C61" s="83"/>
      <c r="D61" s="82" t="s">
        <v>52</v>
      </c>
      <c r="E61" s="84">
        <v>1349.3</v>
      </c>
      <c r="F61" s="86">
        <v>13.493</v>
      </c>
      <c r="G61" s="13">
        <v>793.61</v>
      </c>
      <c r="H61" s="92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16</v>
      </c>
      <c r="B62" s="111" t="s">
        <v>88</v>
      </c>
      <c r="C62" s="112" t="s">
        <v>26</v>
      </c>
      <c r="D62" s="111"/>
      <c r="E62" s="113">
        <v>200</v>
      </c>
      <c r="F62" s="114">
        <f>E62*12</f>
        <v>2400</v>
      </c>
      <c r="G62" s="115">
        <v>1.4</v>
      </c>
      <c r="H62" s="116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40"/>
      <c r="B63" s="165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customHeight="1">
      <c r="A64" s="40">
        <v>17</v>
      </c>
      <c r="B64" s="148" t="s">
        <v>45</v>
      </c>
      <c r="C64" s="38" t="s">
        <v>111</v>
      </c>
      <c r="D64" s="37" t="s">
        <v>196</v>
      </c>
      <c r="E64" s="17">
        <v>40</v>
      </c>
      <c r="F64" s="137">
        <f>E64</f>
        <v>40</v>
      </c>
      <c r="G64" s="36">
        <v>303.35000000000002</v>
      </c>
      <c r="H64" s="100">
        <f t="shared" ref="H64:H71" si="7">SUM(F64*G64/1000)</f>
        <v>12.134</v>
      </c>
      <c r="I64" s="13">
        <f>G64*1</f>
        <v>303.35000000000002</v>
      </c>
    </row>
    <row r="65" spans="1:22" ht="15.75" hidden="1" customHeight="1">
      <c r="A65" s="29">
        <v>29</v>
      </c>
      <c r="B65" s="99" t="s">
        <v>46</v>
      </c>
      <c r="C65" s="16" t="s">
        <v>111</v>
      </c>
      <c r="D65" s="99" t="s">
        <v>65</v>
      </c>
      <c r="E65" s="18">
        <v>20</v>
      </c>
      <c r="F65" s="85">
        <v>20</v>
      </c>
      <c r="G65" s="13">
        <v>76.25</v>
      </c>
      <c r="H65" s="100">
        <f t="shared" si="7"/>
        <v>1.5249999999999999</v>
      </c>
      <c r="I65" s="13">
        <v>0</v>
      </c>
    </row>
    <row r="66" spans="1:22" ht="15.75" hidden="1" customHeight="1">
      <c r="A66" s="29">
        <v>8</v>
      </c>
      <c r="B66" s="99" t="s">
        <v>47</v>
      </c>
      <c r="C66" s="16" t="s">
        <v>114</v>
      </c>
      <c r="D66" s="99" t="s">
        <v>52</v>
      </c>
      <c r="E66" s="84">
        <v>18890</v>
      </c>
      <c r="F66" s="13">
        <f>SUM(E66/100)</f>
        <v>188.9</v>
      </c>
      <c r="G66" s="13">
        <v>212.15</v>
      </c>
      <c r="H66" s="100">
        <f t="shared" si="7"/>
        <v>40.075135000000003</v>
      </c>
      <c r="I66" s="13">
        <v>0</v>
      </c>
    </row>
    <row r="67" spans="1:22" ht="15.75" hidden="1" customHeight="1">
      <c r="A67" s="29">
        <v>9</v>
      </c>
      <c r="B67" s="99" t="s">
        <v>48</v>
      </c>
      <c r="C67" s="16" t="s">
        <v>115</v>
      </c>
      <c r="D67" s="99"/>
      <c r="E67" s="84">
        <v>18890</v>
      </c>
      <c r="F67" s="13">
        <f>SUM(E67/1000)</f>
        <v>18.89</v>
      </c>
      <c r="G67" s="13">
        <v>165.21</v>
      </c>
      <c r="H67" s="100">
        <f t="shared" si="7"/>
        <v>3.1208169000000003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9" t="s">
        <v>49</v>
      </c>
      <c r="C68" s="16" t="s">
        <v>75</v>
      </c>
      <c r="D68" s="99" t="s">
        <v>52</v>
      </c>
      <c r="E68" s="84">
        <v>3004</v>
      </c>
      <c r="F68" s="13">
        <f>SUM(E68/100)</f>
        <v>30.04</v>
      </c>
      <c r="G68" s="13">
        <v>2074.63</v>
      </c>
      <c r="H68" s="100">
        <f t="shared" si="7"/>
        <v>62.321885200000004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101" t="s">
        <v>116</v>
      </c>
      <c r="C69" s="16" t="s">
        <v>33</v>
      </c>
      <c r="D69" s="99"/>
      <c r="E69" s="84">
        <v>15.8</v>
      </c>
      <c r="F69" s="13">
        <f>SUM(E69)</f>
        <v>15.8</v>
      </c>
      <c r="G69" s="13">
        <v>42.67</v>
      </c>
      <c r="H69" s="100">
        <f t="shared" si="7"/>
        <v>0.67418600000000006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101" t="s">
        <v>117</v>
      </c>
      <c r="C70" s="16" t="s">
        <v>33</v>
      </c>
      <c r="D70" s="99"/>
      <c r="E70" s="84">
        <v>15.8</v>
      </c>
      <c r="F70" s="13">
        <f>SUM(E70)</f>
        <v>15.8</v>
      </c>
      <c r="G70" s="13">
        <v>39.81</v>
      </c>
      <c r="H70" s="100">
        <f t="shared" si="7"/>
        <v>0.62899800000000006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201"/>
      <c r="S70" s="201"/>
      <c r="T70" s="201"/>
      <c r="U70" s="201"/>
    </row>
    <row r="71" spans="1:22" ht="15.75" hidden="1" customHeight="1">
      <c r="A71" s="29">
        <v>13</v>
      </c>
      <c r="B71" s="99" t="s">
        <v>55</v>
      </c>
      <c r="C71" s="16" t="s">
        <v>56</v>
      </c>
      <c r="D71" s="99" t="s">
        <v>52</v>
      </c>
      <c r="E71" s="18">
        <v>15</v>
      </c>
      <c r="F71" s="85">
        <v>15</v>
      </c>
      <c r="G71" s="13">
        <v>49.88</v>
      </c>
      <c r="H71" s="100">
        <f t="shared" si="7"/>
        <v>0.74820000000000009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/>
      <c r="B72" s="159" t="s">
        <v>173</v>
      </c>
      <c r="C72" s="38"/>
      <c r="D72" s="37"/>
      <c r="E72" s="17"/>
      <c r="F72" s="115"/>
      <c r="G72" s="36"/>
      <c r="H72" s="100"/>
      <c r="I72" s="13"/>
    </row>
    <row r="73" spans="1:22" ht="33" customHeight="1">
      <c r="A73" s="29">
        <v>18</v>
      </c>
      <c r="B73" s="37" t="s">
        <v>174</v>
      </c>
      <c r="C73" s="40" t="s">
        <v>175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100"/>
      <c r="I73" s="13">
        <f>G73*F73/12</f>
        <v>12235.362000000001</v>
      </c>
    </row>
    <row r="74" spans="1:22" ht="28.5" hidden="1" customHeight="1">
      <c r="A74" s="166"/>
      <c r="B74" s="165" t="s">
        <v>118</v>
      </c>
      <c r="C74" s="165"/>
      <c r="D74" s="165"/>
      <c r="E74" s="165"/>
      <c r="F74" s="165"/>
      <c r="G74" s="165"/>
      <c r="H74" s="165"/>
      <c r="I74" s="18"/>
    </row>
    <row r="75" spans="1:22" ht="26.25" hidden="1" customHeight="1">
      <c r="A75" s="29">
        <v>19</v>
      </c>
      <c r="B75" s="82" t="s">
        <v>119</v>
      </c>
      <c r="C75" s="16"/>
      <c r="D75" s="99"/>
      <c r="E75" s="77"/>
      <c r="F75" s="13">
        <v>1</v>
      </c>
      <c r="G75" s="13">
        <v>27865.200000000001</v>
      </c>
      <c r="H75" s="100">
        <f>G75*F75/1000</f>
        <v>27.865200000000002</v>
      </c>
      <c r="I75" s="13">
        <v>0</v>
      </c>
    </row>
    <row r="76" spans="1:22" ht="18.75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36.75" customHeight="1">
      <c r="A77" s="29">
        <v>19</v>
      </c>
      <c r="B77" s="37" t="s">
        <v>184</v>
      </c>
      <c r="C77" s="38" t="s">
        <v>111</v>
      </c>
      <c r="D77" s="37" t="s">
        <v>216</v>
      </c>
      <c r="E77" s="17">
        <v>2</v>
      </c>
      <c r="F77" s="36">
        <f>E77</f>
        <v>2</v>
      </c>
      <c r="G77" s="36">
        <v>2112.2800000000002</v>
      </c>
      <c r="H77" s="177"/>
      <c r="I77" s="18">
        <f>G77*1</f>
        <v>2112.2800000000002</v>
      </c>
    </row>
    <row r="78" spans="1:22" ht="18" customHeight="1">
      <c r="A78" s="29">
        <v>20</v>
      </c>
      <c r="B78" s="99" t="s">
        <v>71</v>
      </c>
      <c r="C78" s="16" t="s">
        <v>73</v>
      </c>
      <c r="D78" s="99" t="s">
        <v>182</v>
      </c>
      <c r="E78" s="18">
        <v>10</v>
      </c>
      <c r="F78" s="13">
        <v>1</v>
      </c>
      <c r="G78" s="124">
        <v>684.19</v>
      </c>
      <c r="H78" s="100">
        <f t="shared" ref="H78:H82" si="8">SUM(F78*G78/1000)</f>
        <v>0.68419000000000008</v>
      </c>
      <c r="I78" s="13">
        <f>G78*0.4</f>
        <v>273.67600000000004</v>
      </c>
    </row>
    <row r="79" spans="1:22" ht="23.25" hidden="1" customHeight="1">
      <c r="A79" s="29"/>
      <c r="B79" s="99" t="s">
        <v>132</v>
      </c>
      <c r="C79" s="16" t="s">
        <v>31</v>
      </c>
      <c r="D79" s="99"/>
      <c r="E79" s="18">
        <v>1</v>
      </c>
      <c r="F79" s="13">
        <v>1</v>
      </c>
      <c r="G79" s="13">
        <v>99.85</v>
      </c>
      <c r="H79" s="100">
        <f>F79*G79/1000</f>
        <v>9.9849999999999994E-2</v>
      </c>
      <c r="I79" s="13">
        <v>0</v>
      </c>
    </row>
    <row r="80" spans="1:22" ht="18.75" hidden="1" customHeight="1">
      <c r="A80" s="29"/>
      <c r="B80" s="99" t="s">
        <v>133</v>
      </c>
      <c r="C80" s="16" t="s">
        <v>31</v>
      </c>
      <c r="D80" s="99"/>
      <c r="E80" s="18">
        <v>1</v>
      </c>
      <c r="F80" s="13">
        <v>1</v>
      </c>
      <c r="G80" s="13">
        <v>120.26</v>
      </c>
      <c r="H80" s="100">
        <f>F80*G80/1000</f>
        <v>0.12026000000000001</v>
      </c>
      <c r="I80" s="13">
        <v>0</v>
      </c>
    </row>
    <row r="81" spans="1:9" ht="15.75" hidden="1" customHeight="1">
      <c r="A81" s="29">
        <v>20</v>
      </c>
      <c r="B81" s="37" t="s">
        <v>72</v>
      </c>
      <c r="C81" s="38" t="s">
        <v>31</v>
      </c>
      <c r="D81" s="37" t="s">
        <v>169</v>
      </c>
      <c r="E81" s="17">
        <v>2</v>
      </c>
      <c r="F81" s="115">
        <v>2</v>
      </c>
      <c r="G81" s="36">
        <v>1163.47</v>
      </c>
      <c r="H81" s="100">
        <f>F81*G81/1000</f>
        <v>2.32694</v>
      </c>
      <c r="I81" s="13">
        <f>G81*1</f>
        <v>1163.47</v>
      </c>
    </row>
    <row r="82" spans="1:9" ht="15.75" hidden="1" customHeight="1">
      <c r="A82" s="29">
        <v>17</v>
      </c>
      <c r="B82" s="99" t="s">
        <v>83</v>
      </c>
      <c r="C82" s="16" t="s">
        <v>111</v>
      </c>
      <c r="D82" s="99"/>
      <c r="E82" s="18">
        <v>1</v>
      </c>
      <c r="F82" s="85">
        <f>SUM(E82)</f>
        <v>1</v>
      </c>
      <c r="G82" s="13">
        <v>358.51</v>
      </c>
      <c r="H82" s="100">
        <f t="shared" si="8"/>
        <v>0.35851</v>
      </c>
      <c r="I82" s="13">
        <v>0</v>
      </c>
    </row>
    <row r="83" spans="1:9" ht="34.5" customHeight="1">
      <c r="A83" s="29">
        <v>21</v>
      </c>
      <c r="B83" s="37" t="s">
        <v>176</v>
      </c>
      <c r="C83" s="38" t="s">
        <v>111</v>
      </c>
      <c r="D83" s="37" t="s">
        <v>190</v>
      </c>
      <c r="E83" s="17">
        <v>1</v>
      </c>
      <c r="F83" s="36">
        <f>E83*12</f>
        <v>12</v>
      </c>
      <c r="G83" s="36">
        <v>55.55</v>
      </c>
      <c r="H83" s="100"/>
      <c r="I83" s="13">
        <f>G83*1</f>
        <v>55.55</v>
      </c>
    </row>
    <row r="84" spans="1:9" ht="15.75" hidden="1" customHeight="1">
      <c r="A84" s="29"/>
      <c r="B84" s="49" t="s">
        <v>74</v>
      </c>
      <c r="C84" s="38"/>
      <c r="D84" s="29"/>
      <c r="E84" s="18"/>
      <c r="F84" s="18"/>
      <c r="G84" s="36"/>
      <c r="H84" s="36"/>
      <c r="I84" s="18"/>
    </row>
    <row r="85" spans="1:9" ht="31.5" hidden="1" customHeight="1">
      <c r="A85" s="29">
        <v>39</v>
      </c>
      <c r="B85" s="51" t="s">
        <v>120</v>
      </c>
      <c r="C85" s="16" t="s">
        <v>75</v>
      </c>
      <c r="D85" s="99"/>
      <c r="E85" s="18"/>
      <c r="F85" s="13">
        <v>1.35</v>
      </c>
      <c r="G85" s="13">
        <v>2759.44</v>
      </c>
      <c r="H85" s="100">
        <f t="shared" ref="H85" si="9">SUM(F85*G85/1000)</f>
        <v>3.725244</v>
      </c>
      <c r="I85" s="13">
        <v>0</v>
      </c>
    </row>
    <row r="86" spans="1:9" ht="15.75" customHeight="1">
      <c r="A86" s="210" t="s">
        <v>138</v>
      </c>
      <c r="B86" s="211"/>
      <c r="C86" s="211"/>
      <c r="D86" s="211"/>
      <c r="E86" s="211"/>
      <c r="F86" s="211"/>
      <c r="G86" s="211"/>
      <c r="H86" s="211"/>
      <c r="I86" s="212"/>
    </row>
    <row r="87" spans="1:9" ht="15.75" customHeight="1">
      <c r="A87" s="29">
        <v>22</v>
      </c>
      <c r="B87" s="32" t="s">
        <v>121</v>
      </c>
      <c r="C87" s="38" t="s">
        <v>53</v>
      </c>
      <c r="D87" s="63"/>
      <c r="E87" s="36">
        <v>5162.6000000000004</v>
      </c>
      <c r="F87" s="36">
        <f>SUM(E87*12)</f>
        <v>61951.200000000004</v>
      </c>
      <c r="G87" s="36">
        <v>3.22</v>
      </c>
      <c r="H87" s="102">
        <f>SUM(F87*G87/1000)</f>
        <v>199.48286400000003</v>
      </c>
      <c r="I87" s="13">
        <f>F87/12*G87</f>
        <v>16623.572000000004</v>
      </c>
    </row>
    <row r="88" spans="1:9" ht="30" customHeight="1">
      <c r="A88" s="29">
        <v>23</v>
      </c>
      <c r="B88" s="37" t="s">
        <v>177</v>
      </c>
      <c r="C88" s="112" t="s">
        <v>178</v>
      </c>
      <c r="D88" s="37"/>
      <c r="E88" s="17">
        <v>5162.6000000000004</v>
      </c>
      <c r="F88" s="36">
        <f>E88*12</f>
        <v>61951.200000000004</v>
      </c>
      <c r="G88" s="36">
        <v>3.64</v>
      </c>
      <c r="H88" s="100">
        <f>F88*G88/1000</f>
        <v>225.50236800000002</v>
      </c>
      <c r="I88" s="13">
        <f>F88/12*G88</f>
        <v>18791.864000000001</v>
      </c>
    </row>
    <row r="89" spans="1:9" ht="18" customHeight="1">
      <c r="A89" s="166"/>
      <c r="B89" s="39" t="s">
        <v>78</v>
      </c>
      <c r="C89" s="40"/>
      <c r="D89" s="15"/>
      <c r="E89" s="15"/>
      <c r="F89" s="15"/>
      <c r="G89" s="18"/>
      <c r="H89" s="18"/>
      <c r="I89" s="31">
        <f>I88+I87+I83+I78+I77+I73+I62+I57+I50+I43+I42+I41+I40+I39+I38+I37+I27+I21+I20+I18+I17+I16+I64</f>
        <v>103957.10925693333</v>
      </c>
    </row>
    <row r="90" spans="1:9" ht="15.75" customHeight="1">
      <c r="A90" s="213" t="s">
        <v>58</v>
      </c>
      <c r="B90" s="214"/>
      <c r="C90" s="214"/>
      <c r="D90" s="214"/>
      <c r="E90" s="214"/>
      <c r="F90" s="214"/>
      <c r="G90" s="214"/>
      <c r="H90" s="214"/>
      <c r="I90" s="215"/>
    </row>
    <row r="91" spans="1:9" ht="15.75" customHeight="1">
      <c r="A91" s="29">
        <v>24</v>
      </c>
      <c r="B91" s="66" t="s">
        <v>217</v>
      </c>
      <c r="C91" s="67" t="s">
        <v>30</v>
      </c>
      <c r="D91" s="51" t="s">
        <v>196</v>
      </c>
      <c r="E91" s="13"/>
      <c r="F91" s="13">
        <v>1</v>
      </c>
      <c r="G91" s="36">
        <v>1300.1199999999999</v>
      </c>
      <c r="H91" s="100">
        <f t="shared" ref="H91:H95" si="10">G91*F91/1000</f>
        <v>1.3001199999999999</v>
      </c>
      <c r="I91" s="117">
        <v>0</v>
      </c>
    </row>
    <row r="92" spans="1:9" ht="30" customHeight="1">
      <c r="A92" s="29">
        <v>25</v>
      </c>
      <c r="B92" s="66" t="s">
        <v>145</v>
      </c>
      <c r="C92" s="67" t="s">
        <v>146</v>
      </c>
      <c r="D92" s="51" t="s">
        <v>221</v>
      </c>
      <c r="E92" s="13"/>
      <c r="F92" s="13">
        <v>3</v>
      </c>
      <c r="G92" s="36">
        <v>61.58</v>
      </c>
      <c r="H92" s="100">
        <f t="shared" si="10"/>
        <v>0.18474000000000002</v>
      </c>
      <c r="I92" s="117">
        <f>G92*1</f>
        <v>61.58</v>
      </c>
    </row>
    <row r="93" spans="1:9" ht="15.75" customHeight="1">
      <c r="A93" s="29">
        <v>26</v>
      </c>
      <c r="B93" s="66" t="s">
        <v>142</v>
      </c>
      <c r="C93" s="67" t="s">
        <v>80</v>
      </c>
      <c r="D93" s="51" t="s">
        <v>222</v>
      </c>
      <c r="E93" s="13"/>
      <c r="F93" s="13">
        <v>4</v>
      </c>
      <c r="G93" s="36">
        <v>222.63</v>
      </c>
      <c r="H93" s="100">
        <f t="shared" si="10"/>
        <v>0.89051999999999998</v>
      </c>
      <c r="I93" s="117">
        <f>G93*1</f>
        <v>222.63</v>
      </c>
    </row>
    <row r="94" spans="1:9" ht="31.5" customHeight="1">
      <c r="A94" s="29">
        <v>27</v>
      </c>
      <c r="B94" s="66" t="s">
        <v>218</v>
      </c>
      <c r="C94" s="67" t="s">
        <v>164</v>
      </c>
      <c r="D94" s="51" t="s">
        <v>221</v>
      </c>
      <c r="E94" s="13"/>
      <c r="F94" s="13">
        <v>1</v>
      </c>
      <c r="G94" s="36">
        <v>1523.6</v>
      </c>
      <c r="H94" s="100">
        <f t="shared" si="10"/>
        <v>1.5235999999999998</v>
      </c>
      <c r="I94" s="117">
        <f>G94*1</f>
        <v>1523.6</v>
      </c>
    </row>
    <row r="95" spans="1:9" ht="15.75" customHeight="1">
      <c r="A95" s="29">
        <v>28</v>
      </c>
      <c r="B95" s="66" t="s">
        <v>219</v>
      </c>
      <c r="C95" s="67" t="s">
        <v>111</v>
      </c>
      <c r="D95" s="99" t="s">
        <v>221</v>
      </c>
      <c r="E95" s="18"/>
      <c r="F95" s="13">
        <v>55</v>
      </c>
      <c r="G95" s="36">
        <v>4372.16</v>
      </c>
      <c r="H95" s="100">
        <f t="shared" si="10"/>
        <v>240.46879999999999</v>
      </c>
      <c r="I95" s="117">
        <f>G95*1</f>
        <v>4372.16</v>
      </c>
    </row>
    <row r="96" spans="1:9" ht="30.75" customHeight="1">
      <c r="A96" s="29">
        <v>29</v>
      </c>
      <c r="B96" s="66" t="s">
        <v>220</v>
      </c>
      <c r="C96" s="67" t="s">
        <v>37</v>
      </c>
      <c r="D96" s="99" t="s">
        <v>196</v>
      </c>
      <c r="E96" s="18"/>
      <c r="F96" s="13"/>
      <c r="G96" s="36">
        <v>4070.89</v>
      </c>
      <c r="H96" s="100"/>
      <c r="I96" s="117">
        <v>0</v>
      </c>
    </row>
    <row r="97" spans="1:9">
      <c r="A97" s="29"/>
      <c r="B97" s="45" t="s">
        <v>50</v>
      </c>
      <c r="C97" s="41"/>
      <c r="D97" s="53"/>
      <c r="E97" s="41">
        <v>1</v>
      </c>
      <c r="F97" s="41"/>
      <c r="G97" s="41"/>
      <c r="H97" s="41"/>
      <c r="I97" s="31">
        <f>SUM(I91:I96)</f>
        <v>6179.9699999999993</v>
      </c>
    </row>
    <row r="98" spans="1:9">
      <c r="A98" s="29"/>
      <c r="B98" s="51" t="s">
        <v>76</v>
      </c>
      <c r="C98" s="15"/>
      <c r="D98" s="15"/>
      <c r="E98" s="42"/>
      <c r="F98" s="42"/>
      <c r="G98" s="43"/>
      <c r="H98" s="43"/>
      <c r="I98" s="17">
        <v>0</v>
      </c>
    </row>
    <row r="99" spans="1:9">
      <c r="A99" s="54"/>
      <c r="B99" s="46" t="s">
        <v>143</v>
      </c>
      <c r="C99" s="34"/>
      <c r="D99" s="34"/>
      <c r="E99" s="34"/>
      <c r="F99" s="34"/>
      <c r="G99" s="34"/>
      <c r="H99" s="34"/>
      <c r="I99" s="44">
        <f>I89+I97</f>
        <v>110137.07925693333</v>
      </c>
    </row>
    <row r="100" spans="1:9" ht="15.75" customHeight="1">
      <c r="A100" s="207" t="s">
        <v>330</v>
      </c>
      <c r="B100" s="207"/>
      <c r="C100" s="207"/>
      <c r="D100" s="207"/>
      <c r="E100" s="207"/>
      <c r="F100" s="207"/>
      <c r="G100" s="207"/>
      <c r="H100" s="207"/>
      <c r="I100" s="207"/>
    </row>
    <row r="101" spans="1:9" ht="15.75">
      <c r="A101" s="61"/>
      <c r="B101" s="208" t="s">
        <v>331</v>
      </c>
      <c r="C101" s="208"/>
      <c r="D101" s="208"/>
      <c r="E101" s="208"/>
      <c r="F101" s="208"/>
      <c r="G101" s="208"/>
      <c r="H101" s="80"/>
      <c r="I101" s="3"/>
    </row>
    <row r="102" spans="1:9">
      <c r="A102" s="161"/>
      <c r="B102" s="206" t="s">
        <v>6</v>
      </c>
      <c r="C102" s="206"/>
      <c r="D102" s="206"/>
      <c r="E102" s="206"/>
      <c r="F102" s="206"/>
      <c r="G102" s="206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09" t="s">
        <v>7</v>
      </c>
      <c r="B104" s="209"/>
      <c r="C104" s="209"/>
      <c r="D104" s="209"/>
      <c r="E104" s="209"/>
      <c r="F104" s="209"/>
      <c r="G104" s="209"/>
      <c r="H104" s="209"/>
      <c r="I104" s="209"/>
    </row>
    <row r="105" spans="1:9" ht="15.75">
      <c r="A105" s="209" t="s">
        <v>8</v>
      </c>
      <c r="B105" s="209"/>
      <c r="C105" s="209"/>
      <c r="D105" s="209"/>
      <c r="E105" s="209"/>
      <c r="F105" s="209"/>
      <c r="G105" s="209"/>
      <c r="H105" s="209"/>
      <c r="I105" s="209"/>
    </row>
    <row r="106" spans="1:9" ht="15.75">
      <c r="A106" s="203" t="s">
        <v>59</v>
      </c>
      <c r="B106" s="203"/>
      <c r="C106" s="203"/>
      <c r="D106" s="203"/>
      <c r="E106" s="203"/>
      <c r="F106" s="203"/>
      <c r="G106" s="203"/>
      <c r="H106" s="203"/>
      <c r="I106" s="203"/>
    </row>
    <row r="107" spans="1:9" ht="45" customHeight="1">
      <c r="A107" s="11"/>
    </row>
    <row r="108" spans="1:9" ht="30" customHeight="1">
      <c r="A108" s="204" t="s">
        <v>9</v>
      </c>
      <c r="B108" s="204"/>
      <c r="C108" s="204"/>
      <c r="D108" s="204"/>
      <c r="E108" s="204"/>
      <c r="F108" s="204"/>
      <c r="G108" s="204"/>
      <c r="H108" s="204"/>
      <c r="I108" s="204"/>
    </row>
    <row r="109" spans="1:9" ht="30" customHeight="1">
      <c r="A109" s="4"/>
    </row>
    <row r="110" spans="1:9" ht="15" customHeight="1">
      <c r="B110" s="162" t="s">
        <v>10</v>
      </c>
      <c r="C110" s="205" t="s">
        <v>84</v>
      </c>
      <c r="D110" s="205"/>
      <c r="E110" s="205"/>
      <c r="F110" s="78"/>
      <c r="I110" s="160"/>
    </row>
    <row r="111" spans="1:9">
      <c r="A111" s="161"/>
      <c r="C111" s="206" t="s">
        <v>11</v>
      </c>
      <c r="D111" s="206"/>
      <c r="E111" s="206"/>
      <c r="F111" s="24"/>
      <c r="I111" s="163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162" t="s">
        <v>13</v>
      </c>
      <c r="C113" s="200"/>
      <c r="D113" s="200"/>
      <c r="E113" s="200"/>
      <c r="F113" s="79"/>
      <c r="I113" s="160"/>
    </row>
    <row r="114" spans="1:9">
      <c r="A114" s="161"/>
      <c r="C114" s="201" t="s">
        <v>11</v>
      </c>
      <c r="D114" s="201"/>
      <c r="E114" s="201"/>
      <c r="F114" s="161"/>
      <c r="I114" s="163" t="s">
        <v>12</v>
      </c>
    </row>
    <row r="115" spans="1:9" ht="15.75">
      <c r="A115" s="4" t="s">
        <v>14</v>
      </c>
    </row>
    <row r="116" spans="1:9">
      <c r="A116" s="202" t="s">
        <v>15</v>
      </c>
      <c r="B116" s="202"/>
      <c r="C116" s="202"/>
      <c r="D116" s="202"/>
      <c r="E116" s="202"/>
      <c r="F116" s="202"/>
      <c r="G116" s="202"/>
      <c r="H116" s="202"/>
      <c r="I116" s="202"/>
    </row>
    <row r="117" spans="1:9" ht="15.75">
      <c r="A117" s="199" t="s">
        <v>16</v>
      </c>
      <c r="B117" s="199"/>
      <c r="C117" s="199"/>
      <c r="D117" s="199"/>
      <c r="E117" s="199"/>
      <c r="F117" s="199"/>
      <c r="G117" s="199"/>
      <c r="H117" s="199"/>
      <c r="I117" s="199"/>
    </row>
    <row r="118" spans="1:9" ht="15.75">
      <c r="A118" s="199" t="s">
        <v>17</v>
      </c>
      <c r="B118" s="199"/>
      <c r="C118" s="199"/>
      <c r="D118" s="199"/>
      <c r="E118" s="199"/>
      <c r="F118" s="199"/>
      <c r="G118" s="199"/>
      <c r="H118" s="199"/>
      <c r="I118" s="199"/>
    </row>
    <row r="119" spans="1:9" ht="15.75">
      <c r="A119" s="199" t="s">
        <v>21</v>
      </c>
      <c r="B119" s="199"/>
      <c r="C119" s="199"/>
      <c r="D119" s="199"/>
      <c r="E119" s="199"/>
      <c r="F119" s="199"/>
      <c r="G119" s="199"/>
      <c r="H119" s="199"/>
      <c r="I119" s="199"/>
    </row>
    <row r="120" spans="1:9" ht="15.75">
      <c r="A120" s="199" t="s">
        <v>20</v>
      </c>
      <c r="B120" s="199"/>
      <c r="C120" s="199"/>
      <c r="D120" s="199"/>
      <c r="E120" s="199"/>
      <c r="F120" s="199"/>
      <c r="G120" s="199"/>
      <c r="H120" s="199"/>
      <c r="I120" s="199"/>
    </row>
  </sheetData>
  <autoFilter ref="I12:I65"/>
  <mergeCells count="29">
    <mergeCell ref="A14:I14"/>
    <mergeCell ref="A15:I15"/>
    <mergeCell ref="A45:I45"/>
    <mergeCell ref="A55:I55"/>
    <mergeCell ref="A28:I28"/>
    <mergeCell ref="A3:I3"/>
    <mergeCell ref="A4:I4"/>
    <mergeCell ref="A5:I5"/>
    <mergeCell ref="A8:I8"/>
    <mergeCell ref="A10:I10"/>
    <mergeCell ref="A106:I106"/>
    <mergeCell ref="A108:I108"/>
    <mergeCell ref="C110:E110"/>
    <mergeCell ref="R70:U70"/>
    <mergeCell ref="A86:I86"/>
    <mergeCell ref="A90:I90"/>
    <mergeCell ref="A100:I100"/>
    <mergeCell ref="B101:G101"/>
    <mergeCell ref="B102:G102"/>
    <mergeCell ref="A104:I104"/>
    <mergeCell ref="A105:I105"/>
    <mergeCell ref="A118:I118"/>
    <mergeCell ref="A119:I119"/>
    <mergeCell ref="A120:I120"/>
    <mergeCell ref="C111:E111"/>
    <mergeCell ref="C113:E113"/>
    <mergeCell ref="C114:E114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2"/>
  <sheetViews>
    <sheetView view="pageBreakPreview" topLeftCell="A81" zoomScale="60" workbookViewId="0">
      <selection activeCell="J95" sqref="J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147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223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43921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181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189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F18/18*G18</f>
        <v>4468.7811599999995</v>
      </c>
      <c r="J18" s="22"/>
      <c r="K18" s="8"/>
      <c r="L18" s="8"/>
      <c r="M18" s="8"/>
    </row>
    <row r="19" spans="1:13" ht="15.75" hidden="1" customHeight="1">
      <c r="A19" s="29"/>
      <c r="B19" s="32" t="s">
        <v>90</v>
      </c>
      <c r="C19" s="136" t="s">
        <v>91</v>
      </c>
      <c r="D19" s="32" t="s">
        <v>92</v>
      </c>
      <c r="E19" s="149">
        <v>124.8</v>
      </c>
      <c r="F19" s="137">
        <f>SUM(E19/10)</f>
        <v>12.48</v>
      </c>
      <c r="G19" s="137">
        <v>232.1</v>
      </c>
      <c r="H19" s="86">
        <f t="shared" si="0"/>
        <v>2.8966080000000001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6" t="s">
        <v>89</v>
      </c>
      <c r="D20" s="32" t="s">
        <v>190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G20*F20/12</f>
        <v>170.88424999999998</v>
      </c>
      <c r="J20" s="22"/>
      <c r="K20" s="8"/>
      <c r="L20" s="8"/>
      <c r="M20" s="8"/>
    </row>
    <row r="21" spans="1:13" ht="18" customHeight="1">
      <c r="A21" s="29">
        <v>5</v>
      </c>
      <c r="B21" s="32" t="s">
        <v>96</v>
      </c>
      <c r="C21" s="136" t="s">
        <v>89</v>
      </c>
      <c r="D21" s="32" t="s">
        <v>190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G21*F21/12</f>
        <v>39.529997999999999</v>
      </c>
      <c r="J21" s="22"/>
      <c r="K21" s="8"/>
      <c r="L21" s="8"/>
      <c r="M21" s="8"/>
    </row>
    <row r="22" spans="1:13" ht="18" hidden="1" customHeight="1">
      <c r="A22" s="29"/>
      <c r="B22" s="32" t="s">
        <v>97</v>
      </c>
      <c r="C22" s="136" t="s">
        <v>51</v>
      </c>
      <c r="D22" s="32" t="s">
        <v>92</v>
      </c>
      <c r="E22" s="149">
        <v>820.5</v>
      </c>
      <c r="F22" s="137">
        <f>SUM(E22/100)</f>
        <v>8.2050000000000001</v>
      </c>
      <c r="G22" s="137">
        <v>367.27</v>
      </c>
      <c r="H22" s="86">
        <f t="shared" si="0"/>
        <v>3.0134503500000003</v>
      </c>
      <c r="I22" s="13">
        <v>0</v>
      </c>
      <c r="J22" s="22"/>
      <c r="K22" s="8"/>
      <c r="L22" s="8"/>
      <c r="M22" s="8"/>
    </row>
    <row r="23" spans="1:13" ht="20.25" hidden="1" customHeight="1">
      <c r="A23" s="29"/>
      <c r="B23" s="32" t="s">
        <v>98</v>
      </c>
      <c r="C23" s="136" t="s">
        <v>51</v>
      </c>
      <c r="D23" s="32" t="s">
        <v>92</v>
      </c>
      <c r="E23" s="156">
        <v>60.25</v>
      </c>
      <c r="F23" s="137">
        <f>SUM(E23/100)</f>
        <v>0.60250000000000004</v>
      </c>
      <c r="G23" s="137">
        <v>60.41</v>
      </c>
      <c r="H23" s="86">
        <f t="shared" si="0"/>
        <v>3.6397025E-2</v>
      </c>
      <c r="I23" s="13">
        <v>0</v>
      </c>
      <c r="J23" s="22"/>
      <c r="K23" s="8"/>
      <c r="L23" s="8"/>
      <c r="M23" s="8"/>
    </row>
    <row r="24" spans="1:13" ht="21" hidden="1" customHeight="1">
      <c r="A24" s="29"/>
      <c r="B24" s="32" t="s">
        <v>93</v>
      </c>
      <c r="C24" s="136" t="s">
        <v>51</v>
      </c>
      <c r="D24" s="32" t="s">
        <v>94</v>
      </c>
      <c r="E24" s="149">
        <v>19.149999999999999</v>
      </c>
      <c r="F24" s="137">
        <f>E24/100</f>
        <v>0.19149999999999998</v>
      </c>
      <c r="G24" s="137">
        <v>531.55999999999995</v>
      </c>
      <c r="H24" s="86">
        <f t="shared" si="0"/>
        <v>0.10179373999999997</v>
      </c>
      <c r="I24" s="13">
        <v>0</v>
      </c>
      <c r="J24" s="22"/>
      <c r="K24" s="8"/>
      <c r="L24" s="8"/>
      <c r="M24" s="8"/>
    </row>
    <row r="25" spans="1:13" ht="18.75" hidden="1" customHeight="1">
      <c r="A25" s="40">
        <v>6</v>
      </c>
      <c r="B25" s="32" t="s">
        <v>100</v>
      </c>
      <c r="C25" s="136" t="s">
        <v>51</v>
      </c>
      <c r="D25" s="32" t="s">
        <v>52</v>
      </c>
      <c r="E25" s="149">
        <v>31.5</v>
      </c>
      <c r="F25" s="137">
        <v>0.32</v>
      </c>
      <c r="G25" s="137">
        <v>294.77999999999997</v>
      </c>
      <c r="H25" s="86">
        <f t="shared" si="0"/>
        <v>9.43296E-2</v>
      </c>
      <c r="I25" s="13">
        <v>0</v>
      </c>
      <c r="J25" s="22"/>
      <c r="K25" s="8"/>
      <c r="L25" s="8"/>
      <c r="M25" s="8"/>
    </row>
    <row r="26" spans="1:13" ht="18" hidden="1" customHeight="1">
      <c r="A26" s="40"/>
      <c r="B26" s="32" t="s">
        <v>99</v>
      </c>
      <c r="C26" s="136" t="s">
        <v>51</v>
      </c>
      <c r="D26" s="32" t="s">
        <v>92</v>
      </c>
      <c r="E26" s="149">
        <v>37.5</v>
      </c>
      <c r="F26" s="137">
        <f>SUM(E26/100)</f>
        <v>0.375</v>
      </c>
      <c r="G26" s="137">
        <v>710.37</v>
      </c>
      <c r="H26" s="86">
        <f t="shared" si="0"/>
        <v>0.26638875000000001</v>
      </c>
      <c r="I26" s="13">
        <v>0</v>
      </c>
      <c r="J26" s="22"/>
      <c r="K26" s="8"/>
      <c r="L26" s="8"/>
      <c r="M26" s="8"/>
    </row>
    <row r="27" spans="1:13" ht="15.75" customHeight="1">
      <c r="A27" s="40">
        <v>6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ref="H27" si="1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2" t="s">
        <v>81</v>
      </c>
      <c r="B28" s="222"/>
      <c r="C28" s="222"/>
      <c r="D28" s="222"/>
      <c r="E28" s="222"/>
      <c r="F28" s="222"/>
      <c r="G28" s="222"/>
      <c r="H28" s="222"/>
      <c r="I28" s="222"/>
      <c r="J28" s="22"/>
      <c r="K28" s="8"/>
      <c r="L28" s="8"/>
      <c r="M28" s="8"/>
    </row>
    <row r="29" spans="1:13" ht="15.7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82" t="s">
        <v>101</v>
      </c>
      <c r="C30" s="83" t="s">
        <v>102</v>
      </c>
      <c r="D30" s="82" t="s">
        <v>103</v>
      </c>
      <c r="E30" s="85">
        <v>1304.45</v>
      </c>
      <c r="F30" s="85">
        <f>SUM(E30*52/1000)</f>
        <v>67.831400000000002</v>
      </c>
      <c r="G30" s="85">
        <v>155.88999999999999</v>
      </c>
      <c r="H30" s="86">
        <f t="shared" ref="H30:H35" si="2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31.5" hidden="1" customHeight="1">
      <c r="A31" s="40">
        <v>3</v>
      </c>
      <c r="B31" s="82" t="s">
        <v>139</v>
      </c>
      <c r="C31" s="83" t="s">
        <v>102</v>
      </c>
      <c r="D31" s="82" t="s">
        <v>104</v>
      </c>
      <c r="E31" s="85">
        <v>287.83999999999997</v>
      </c>
      <c r="F31" s="85">
        <f>SUM(E31*78/1000)</f>
        <v>22.451519999999995</v>
      </c>
      <c r="G31" s="85">
        <v>258.63</v>
      </c>
      <c r="H31" s="86">
        <f t="shared" si="2"/>
        <v>5.8066366175999979</v>
      </c>
      <c r="I31" s="13">
        <f t="shared" ref="I31:I33" si="3">F31/6*G31</f>
        <v>967.77276959999972</v>
      </c>
      <c r="J31" s="22"/>
      <c r="K31" s="8"/>
      <c r="L31" s="8"/>
      <c r="M31" s="8"/>
    </row>
    <row r="32" spans="1:13" ht="15.75" hidden="1" customHeight="1">
      <c r="A32" s="40">
        <v>4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si="2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82" t="s">
        <v>105</v>
      </c>
      <c r="C33" s="83" t="s">
        <v>31</v>
      </c>
      <c r="D33" s="82" t="s">
        <v>61</v>
      </c>
      <c r="E33" s="89">
        <v>0.33333333333333331</v>
      </c>
      <c r="F33" s="85">
        <f>155/3</f>
        <v>51.666666666666664</v>
      </c>
      <c r="G33" s="85">
        <v>56.69</v>
      </c>
      <c r="H33" s="86">
        <f t="shared" si="2"/>
        <v>2.9289833333333331</v>
      </c>
      <c r="I33" s="13">
        <f t="shared" si="3"/>
        <v>488.16388888888883</v>
      </c>
      <c r="J33" s="23"/>
    </row>
    <row r="34" spans="1:14" ht="15.75" hidden="1" customHeight="1">
      <c r="A34" s="40">
        <v>4</v>
      </c>
      <c r="B34" s="82" t="s">
        <v>63</v>
      </c>
      <c r="C34" s="83" t="s">
        <v>33</v>
      </c>
      <c r="D34" s="82" t="s">
        <v>65</v>
      </c>
      <c r="E34" s="84"/>
      <c r="F34" s="85">
        <v>3</v>
      </c>
      <c r="G34" s="85">
        <v>191.32</v>
      </c>
      <c r="H34" s="86">
        <f t="shared" si="2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82" t="s">
        <v>64</v>
      </c>
      <c r="C35" s="83" t="s">
        <v>32</v>
      </c>
      <c r="D35" s="82" t="s">
        <v>65</v>
      </c>
      <c r="E35" s="84"/>
      <c r="F35" s="85">
        <v>2</v>
      </c>
      <c r="G35" s="85">
        <v>1136.32</v>
      </c>
      <c r="H35" s="86">
        <f t="shared" si="2"/>
        <v>2.27264</v>
      </c>
      <c r="I35" s="13">
        <v>0</v>
      </c>
      <c r="J35" s="23"/>
    </row>
    <row r="36" spans="1:14" ht="15.75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5.75" customHeight="1">
      <c r="A37" s="33">
        <v>7</v>
      </c>
      <c r="B37" s="152" t="s">
        <v>27</v>
      </c>
      <c r="C37" s="136" t="s">
        <v>32</v>
      </c>
      <c r="D37" s="179" t="s">
        <v>224</v>
      </c>
      <c r="E37" s="149"/>
      <c r="F37" s="137">
        <v>8</v>
      </c>
      <c r="G37" s="137">
        <v>2083</v>
      </c>
      <c r="H37" s="86">
        <f t="shared" ref="H37:H43" si="4">SUM(F37*G37/1000)</f>
        <v>16.664000000000001</v>
      </c>
      <c r="I37" s="13">
        <f>G37*0.6</f>
        <v>1249.8</v>
      </c>
      <c r="J37" s="23"/>
    </row>
    <row r="38" spans="1:14" ht="15.75" customHeight="1">
      <c r="A38" s="33">
        <v>8</v>
      </c>
      <c r="B38" s="152" t="s">
        <v>123</v>
      </c>
      <c r="C38" s="153" t="s">
        <v>30</v>
      </c>
      <c r="D38" s="152" t="s">
        <v>192</v>
      </c>
      <c r="E38" s="154">
        <v>287.83999999999997</v>
      </c>
      <c r="F38" s="154">
        <f>SUM(E38*30/1000)</f>
        <v>8.6351999999999993</v>
      </c>
      <c r="G38" s="154">
        <v>2868.09</v>
      </c>
      <c r="H38" s="86">
        <f t="shared" si="4"/>
        <v>24.766530767999999</v>
      </c>
      <c r="I38" s="13">
        <f>F38/6*G38</f>
        <v>4127.7551279999998</v>
      </c>
      <c r="J38" s="23"/>
    </row>
    <row r="39" spans="1:14" ht="15.75" customHeight="1">
      <c r="A39" s="33">
        <v>9</v>
      </c>
      <c r="B39" s="152" t="s">
        <v>170</v>
      </c>
      <c r="C39" s="153" t="s">
        <v>30</v>
      </c>
      <c r="D39" s="32" t="s">
        <v>193</v>
      </c>
      <c r="E39" s="149">
        <v>287.83999999999997</v>
      </c>
      <c r="F39" s="154">
        <f>E39*155/1000</f>
        <v>44.615199999999994</v>
      </c>
      <c r="G39" s="137">
        <v>478.42</v>
      </c>
      <c r="H39" s="86">
        <f>G39*F39/1000</f>
        <v>21.344803983999999</v>
      </c>
      <c r="I39" s="13">
        <f>F39/6*G39</f>
        <v>3557.4673306666664</v>
      </c>
      <c r="J39" s="23"/>
    </row>
    <row r="40" spans="1:14" ht="15.75" hidden="1" customHeight="1">
      <c r="A40" s="33">
        <v>7</v>
      </c>
      <c r="B40" s="82" t="s">
        <v>87</v>
      </c>
      <c r="C40" s="83" t="s">
        <v>126</v>
      </c>
      <c r="D40" s="82" t="s">
        <v>65</v>
      </c>
      <c r="E40" s="84"/>
      <c r="F40" s="85">
        <v>80</v>
      </c>
      <c r="G40" s="85">
        <v>199.44</v>
      </c>
      <c r="H40" s="86">
        <f>G40*F40/1000</f>
        <v>15.955200000000001</v>
      </c>
      <c r="I40" s="13">
        <v>0</v>
      </c>
      <c r="J40" s="23"/>
    </row>
    <row r="41" spans="1:14" ht="47.25" customHeight="1">
      <c r="A41" s="33">
        <v>10</v>
      </c>
      <c r="B41" s="32" t="s">
        <v>79</v>
      </c>
      <c r="C41" s="136" t="s">
        <v>102</v>
      </c>
      <c r="D41" s="32" t="s">
        <v>192</v>
      </c>
      <c r="E41" s="137">
        <v>130.6</v>
      </c>
      <c r="F41" s="154">
        <f>SUM(E41*35/1000)</f>
        <v>4.5709999999999997</v>
      </c>
      <c r="G41" s="137">
        <v>7915.6</v>
      </c>
      <c r="H41" s="86">
        <f t="shared" si="4"/>
        <v>36.182207599999998</v>
      </c>
      <c r="I41" s="13">
        <f>F41/6*G41</f>
        <v>6030.367933333333</v>
      </c>
      <c r="J41" s="23"/>
      <c r="L41" s="19"/>
      <c r="M41" s="20"/>
      <c r="N41" s="21"/>
    </row>
    <row r="42" spans="1:14" ht="15.75" hidden="1" customHeight="1">
      <c r="A42" s="33">
        <v>11</v>
      </c>
      <c r="B42" s="32" t="s">
        <v>108</v>
      </c>
      <c r="C42" s="136" t="s">
        <v>102</v>
      </c>
      <c r="D42" s="32" t="s">
        <v>194</v>
      </c>
      <c r="E42" s="137">
        <v>287.83999999999997</v>
      </c>
      <c r="F42" s="154">
        <f>SUM(E42*45/1000)</f>
        <v>12.9528</v>
      </c>
      <c r="G42" s="137">
        <v>584.74</v>
      </c>
      <c r="H42" s="86">
        <f t="shared" si="4"/>
        <v>7.5740202719999994</v>
      </c>
      <c r="I42" s="13">
        <f>(F42/7.5*1.5)*G42</f>
        <v>1514.8040544</v>
      </c>
      <c r="J42" s="23"/>
      <c r="L42" s="19"/>
      <c r="M42" s="20"/>
      <c r="N42" s="21"/>
    </row>
    <row r="43" spans="1:14" ht="15.75" hidden="1" customHeight="1">
      <c r="A43" s="33">
        <v>12</v>
      </c>
      <c r="B43" s="152" t="s">
        <v>68</v>
      </c>
      <c r="C43" s="153" t="s">
        <v>33</v>
      </c>
      <c r="D43" s="152"/>
      <c r="E43" s="155"/>
      <c r="F43" s="154">
        <v>0.9</v>
      </c>
      <c r="G43" s="154">
        <v>800</v>
      </c>
      <c r="H43" s="86">
        <f t="shared" si="4"/>
        <v>0.72</v>
      </c>
      <c r="I43" s="13">
        <f>(F43/7.5*1.5)*G43</f>
        <v>144.00000000000003</v>
      </c>
      <c r="J43" s="23"/>
      <c r="L43" s="19"/>
      <c r="M43" s="20"/>
      <c r="N43" s="21"/>
    </row>
    <row r="44" spans="1:14" ht="15.75" hidden="1" customHeight="1">
      <c r="A44" s="226" t="s">
        <v>136</v>
      </c>
      <c r="B44" s="227"/>
      <c r="C44" s="227"/>
      <c r="D44" s="227"/>
      <c r="E44" s="227"/>
      <c r="F44" s="227"/>
      <c r="G44" s="227"/>
      <c r="H44" s="227"/>
      <c r="I44" s="228"/>
      <c r="J44" s="23"/>
      <c r="L44" s="19"/>
      <c r="M44" s="20"/>
      <c r="N44" s="21"/>
    </row>
    <row r="45" spans="1:14" ht="15.75" hidden="1" customHeight="1">
      <c r="A45" s="40">
        <v>15</v>
      </c>
      <c r="B45" s="82" t="s">
        <v>128</v>
      </c>
      <c r="C45" s="83" t="s">
        <v>102</v>
      </c>
      <c r="D45" s="82" t="s">
        <v>41</v>
      </c>
      <c r="E45" s="84">
        <v>1369</v>
      </c>
      <c r="F45" s="85">
        <f>SUM(E45*2/1000)</f>
        <v>2.738</v>
      </c>
      <c r="G45" s="13">
        <v>849.49</v>
      </c>
      <c r="H45" s="86">
        <f t="shared" ref="H45:H53" si="5">SUM(F45*G45/1000)</f>
        <v>2.3259036200000001</v>
      </c>
      <c r="I45" s="13">
        <v>0</v>
      </c>
      <c r="J45" s="23"/>
      <c r="L45" s="19"/>
      <c r="M45" s="20"/>
      <c r="N45" s="21"/>
    </row>
    <row r="46" spans="1:14" ht="15.75" hidden="1" customHeight="1">
      <c r="A46" s="40"/>
      <c r="B46" s="82" t="s">
        <v>34</v>
      </c>
      <c r="C46" s="83" t="s">
        <v>102</v>
      </c>
      <c r="D46" s="82" t="s">
        <v>41</v>
      </c>
      <c r="E46" s="84">
        <v>1418</v>
      </c>
      <c r="F46" s="85">
        <f>SUM(E46*2/1000)</f>
        <v>2.8359999999999999</v>
      </c>
      <c r="G46" s="13">
        <v>579.48</v>
      </c>
      <c r="H46" s="86">
        <f t="shared" si="5"/>
        <v>1.6434052799999999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40">
        <v>16</v>
      </c>
      <c r="B47" s="82" t="s">
        <v>35</v>
      </c>
      <c r="C47" s="83" t="s">
        <v>102</v>
      </c>
      <c r="D47" s="82" t="s">
        <v>41</v>
      </c>
      <c r="E47" s="84">
        <v>4985.21</v>
      </c>
      <c r="F47" s="85">
        <f>SUM(E47*2/1000)</f>
        <v>9.9704200000000007</v>
      </c>
      <c r="G47" s="13">
        <v>579.48</v>
      </c>
      <c r="H47" s="86">
        <f t="shared" si="5"/>
        <v>5.7776589816000001</v>
      </c>
      <c r="I47" s="13">
        <v>0</v>
      </c>
      <c r="J47" s="23"/>
      <c r="L47" s="19"/>
      <c r="M47" s="20"/>
      <c r="N47" s="21"/>
    </row>
    <row r="48" spans="1:14" ht="15.75" hidden="1" customHeight="1">
      <c r="A48" s="40">
        <v>17</v>
      </c>
      <c r="B48" s="82" t="s">
        <v>36</v>
      </c>
      <c r="C48" s="83" t="s">
        <v>102</v>
      </c>
      <c r="D48" s="82" t="s">
        <v>41</v>
      </c>
      <c r="E48" s="84">
        <v>2474</v>
      </c>
      <c r="F48" s="85">
        <f>SUM(E48*2/1000)</f>
        <v>4.9480000000000004</v>
      </c>
      <c r="G48" s="13">
        <v>606.77</v>
      </c>
      <c r="H48" s="86">
        <f t="shared" si="5"/>
        <v>3.0022979600000004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13</v>
      </c>
      <c r="B49" s="82" t="s">
        <v>54</v>
      </c>
      <c r="C49" s="83" t="s">
        <v>102</v>
      </c>
      <c r="D49" s="82" t="s">
        <v>140</v>
      </c>
      <c r="E49" s="84">
        <v>1349.3</v>
      </c>
      <c r="F49" s="85">
        <f>SUM(E49*5/1000)</f>
        <v>6.7465000000000002</v>
      </c>
      <c r="G49" s="13">
        <v>1213.55</v>
      </c>
      <c r="H49" s="86">
        <f t="shared" si="5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82" t="s">
        <v>109</v>
      </c>
      <c r="C50" s="83" t="s">
        <v>102</v>
      </c>
      <c r="D50" s="82" t="s">
        <v>41</v>
      </c>
      <c r="E50" s="84">
        <v>1349.3</v>
      </c>
      <c r="F50" s="85">
        <f>SUM(E50*2/1000)</f>
        <v>2.6985999999999999</v>
      </c>
      <c r="G50" s="13">
        <v>1213.55</v>
      </c>
      <c r="H50" s="86">
        <f t="shared" si="5"/>
        <v>3.2748860299999998</v>
      </c>
      <c r="I50" s="13">
        <v>0</v>
      </c>
      <c r="J50" s="23"/>
      <c r="L50" s="19"/>
      <c r="M50" s="20"/>
      <c r="N50" s="21"/>
    </row>
    <row r="51" spans="1:14" ht="30.75" hidden="1" customHeight="1">
      <c r="A51" s="40">
        <v>14</v>
      </c>
      <c r="B51" s="82" t="s">
        <v>110</v>
      </c>
      <c r="C51" s="83" t="s">
        <v>37</v>
      </c>
      <c r="D51" s="82" t="s">
        <v>41</v>
      </c>
      <c r="E51" s="84">
        <v>40</v>
      </c>
      <c r="F51" s="85">
        <f>SUM(E51*2/100)</f>
        <v>0.8</v>
      </c>
      <c r="G51" s="13">
        <v>2730.49</v>
      </c>
      <c r="H51" s="86">
        <f t="shared" si="5"/>
        <v>2.1843919999999999</v>
      </c>
      <c r="I51" s="13">
        <v>0</v>
      </c>
      <c r="J51" s="23"/>
      <c r="L51" s="19"/>
      <c r="M51" s="20"/>
      <c r="N51" s="21"/>
    </row>
    <row r="52" spans="1:14" ht="15.75" hidden="1" customHeight="1">
      <c r="A52" s="40">
        <v>15</v>
      </c>
      <c r="B52" s="82" t="s">
        <v>38</v>
      </c>
      <c r="C52" s="83" t="s">
        <v>39</v>
      </c>
      <c r="D52" s="82" t="s">
        <v>41</v>
      </c>
      <c r="E52" s="84">
        <v>1</v>
      </c>
      <c r="F52" s="85">
        <v>0.02</v>
      </c>
      <c r="G52" s="13">
        <v>5652.13</v>
      </c>
      <c r="H52" s="86">
        <f t="shared" si="5"/>
        <v>0.11304260000000001</v>
      </c>
      <c r="I52" s="13">
        <v>0</v>
      </c>
      <c r="J52" s="23"/>
      <c r="L52" s="19"/>
      <c r="M52" s="20"/>
      <c r="N52" s="21"/>
    </row>
    <row r="53" spans="1:14" ht="15.75" hidden="1" customHeight="1">
      <c r="A53" s="127">
        <v>14</v>
      </c>
      <c r="B53" s="93" t="s">
        <v>40</v>
      </c>
      <c r="C53" s="94" t="s">
        <v>111</v>
      </c>
      <c r="D53" s="93" t="s">
        <v>69</v>
      </c>
      <c r="E53" s="95">
        <v>238</v>
      </c>
      <c r="F53" s="96">
        <f>SUM(E53)*3</f>
        <v>714</v>
      </c>
      <c r="G53" s="117">
        <v>65.67</v>
      </c>
      <c r="H53" s="98">
        <f t="shared" si="5"/>
        <v>46.888380000000005</v>
      </c>
      <c r="I53" s="117">
        <f>E53*G53</f>
        <v>15629.460000000001</v>
      </c>
      <c r="J53" s="23"/>
      <c r="L53" s="19"/>
      <c r="M53" s="20"/>
      <c r="N53" s="21"/>
    </row>
    <row r="54" spans="1:14" ht="31.5" customHeight="1">
      <c r="A54" s="40">
        <v>11</v>
      </c>
      <c r="B54" s="152" t="s">
        <v>171</v>
      </c>
      <c r="C54" s="153" t="s">
        <v>102</v>
      </c>
      <c r="D54" s="152" t="s">
        <v>195</v>
      </c>
      <c r="E54" s="155">
        <v>0.6</v>
      </c>
      <c r="F54" s="154">
        <v>0.01</v>
      </c>
      <c r="G54" s="154">
        <v>18798.34</v>
      </c>
      <c r="H54" s="86">
        <f t="shared" ref="H54" si="6">SUM(F54*G54/1000)</f>
        <v>0.18798340000000002</v>
      </c>
      <c r="I54" s="13">
        <f>G54*F54/6</f>
        <v>31.33056666666667</v>
      </c>
      <c r="J54" s="23"/>
      <c r="L54" s="19"/>
      <c r="M54" s="20"/>
      <c r="N54" s="21"/>
    </row>
    <row r="55" spans="1:14" ht="15.75" customHeight="1">
      <c r="A55" s="226" t="s">
        <v>148</v>
      </c>
      <c r="B55" s="227"/>
      <c r="C55" s="227"/>
      <c r="D55" s="227"/>
      <c r="E55" s="227"/>
      <c r="F55" s="227"/>
      <c r="G55" s="227"/>
      <c r="H55" s="227"/>
      <c r="I55" s="228"/>
      <c r="J55" s="23"/>
      <c r="L55" s="19"/>
      <c r="M55" s="20"/>
      <c r="N55" s="21"/>
    </row>
    <row r="56" spans="1:14" ht="15.75" customHeight="1">
      <c r="A56" s="168"/>
      <c r="B56" s="47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customHeight="1">
      <c r="A57" s="40">
        <v>12</v>
      </c>
      <c r="B57" s="32" t="s">
        <v>112</v>
      </c>
      <c r="C57" s="136" t="s">
        <v>89</v>
      </c>
      <c r="D57" s="32"/>
      <c r="E57" s="149">
        <v>128.5</v>
      </c>
      <c r="F57" s="137">
        <f>SUM(E57*6/100)</f>
        <v>7.71</v>
      </c>
      <c r="G57" s="36">
        <v>2110.4699999999998</v>
      </c>
      <c r="H57" s="86">
        <f>SUM(F57*G57/1000)</f>
        <v>16.271723699999999</v>
      </c>
      <c r="I57" s="13">
        <f>G57*1</f>
        <v>2110.4699999999998</v>
      </c>
      <c r="J57" s="23"/>
      <c r="L57" s="19"/>
      <c r="M57" s="20"/>
      <c r="N57" s="21"/>
    </row>
    <row r="58" spans="1:14" ht="15.75" hidden="1" customHeight="1">
      <c r="A58" s="40">
        <v>15</v>
      </c>
      <c r="B58" s="32" t="s">
        <v>172</v>
      </c>
      <c r="C58" s="136" t="s">
        <v>89</v>
      </c>
      <c r="D58" s="32"/>
      <c r="E58" s="150">
        <v>69.5</v>
      </c>
      <c r="F58" s="151">
        <f>E58*6/100</f>
        <v>4.17</v>
      </c>
      <c r="G58" s="137">
        <v>2110.4699999999998</v>
      </c>
      <c r="H58" s="86">
        <f>F58*G58/1000</f>
        <v>8.8006598999999994</v>
      </c>
      <c r="I58" s="13">
        <f>F58/6*G58</f>
        <v>1466.7766499999998</v>
      </c>
      <c r="J58" s="23"/>
      <c r="L58" s="19"/>
      <c r="M58" s="20"/>
      <c r="N58" s="21"/>
    </row>
    <row r="59" spans="1:14" ht="15.75" customHeight="1">
      <c r="A59" s="40"/>
      <c r="B59" s="167" t="s">
        <v>43</v>
      </c>
      <c r="C59" s="167"/>
      <c r="D59" s="167"/>
      <c r="E59" s="167"/>
      <c r="F59" s="167"/>
      <c r="G59" s="167"/>
      <c r="H59" s="167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82" t="s">
        <v>141</v>
      </c>
      <c r="C60" s="83"/>
      <c r="D60" s="82" t="s">
        <v>52</v>
      </c>
      <c r="E60" s="84">
        <v>1349.3</v>
      </c>
      <c r="F60" s="86">
        <v>13.493</v>
      </c>
      <c r="G60" s="13">
        <v>793.61</v>
      </c>
      <c r="H60" s="92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13</v>
      </c>
      <c r="B61" s="93" t="s">
        <v>88</v>
      </c>
      <c r="C61" s="94" t="s">
        <v>26</v>
      </c>
      <c r="D61" s="111"/>
      <c r="E61" s="113">
        <v>200</v>
      </c>
      <c r="F61" s="114">
        <f>E61*12</f>
        <v>2400</v>
      </c>
      <c r="G61" s="115">
        <v>1.4</v>
      </c>
      <c r="H61" s="98">
        <f>F61*G61</f>
        <v>3360</v>
      </c>
      <c r="I61" s="13">
        <f>F61/12*G61</f>
        <v>280</v>
      </c>
      <c r="J61" s="23"/>
      <c r="L61" s="19"/>
      <c r="M61" s="20"/>
      <c r="N61" s="21"/>
    </row>
    <row r="62" spans="1:14" ht="15.75" hidden="1" customHeight="1">
      <c r="A62" s="40"/>
      <c r="B62" s="167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5.75" hidden="1" customHeight="1">
      <c r="A63" s="40">
        <v>17</v>
      </c>
      <c r="B63" s="99" t="s">
        <v>45</v>
      </c>
      <c r="C63" s="16" t="s">
        <v>111</v>
      </c>
      <c r="D63" s="99" t="s">
        <v>65</v>
      </c>
      <c r="E63" s="18">
        <v>40</v>
      </c>
      <c r="F63" s="85">
        <v>40</v>
      </c>
      <c r="G63" s="13">
        <v>222.4</v>
      </c>
      <c r="H63" s="100">
        <f t="shared" ref="H63:H69" si="7">SUM(F63*G63/1000)</f>
        <v>8.8960000000000008</v>
      </c>
      <c r="I63" s="13">
        <f>G63*3</f>
        <v>667.2</v>
      </c>
    </row>
    <row r="64" spans="1:14" ht="15.75" hidden="1" customHeight="1">
      <c r="A64" s="29">
        <v>29</v>
      </c>
      <c r="B64" s="99" t="s">
        <v>46</v>
      </c>
      <c r="C64" s="16" t="s">
        <v>111</v>
      </c>
      <c r="D64" s="99" t="s">
        <v>65</v>
      </c>
      <c r="E64" s="18">
        <v>20</v>
      </c>
      <c r="F64" s="85">
        <v>20</v>
      </c>
      <c r="G64" s="13">
        <v>76.25</v>
      </c>
      <c r="H64" s="100">
        <f t="shared" si="7"/>
        <v>1.5249999999999999</v>
      </c>
      <c r="I64" s="13">
        <v>0</v>
      </c>
    </row>
    <row r="65" spans="1:22" ht="15.75" hidden="1" customHeight="1">
      <c r="A65" s="29">
        <v>8</v>
      </c>
      <c r="B65" s="99" t="s">
        <v>47</v>
      </c>
      <c r="C65" s="16" t="s">
        <v>114</v>
      </c>
      <c r="D65" s="99" t="s">
        <v>52</v>
      </c>
      <c r="E65" s="84">
        <v>18890</v>
      </c>
      <c r="F65" s="13">
        <f>SUM(E65/100)</f>
        <v>188.9</v>
      </c>
      <c r="G65" s="13">
        <v>212.15</v>
      </c>
      <c r="H65" s="100">
        <f t="shared" si="7"/>
        <v>40.075135000000003</v>
      </c>
      <c r="I65" s="13">
        <v>0</v>
      </c>
    </row>
    <row r="66" spans="1:22" ht="15.75" hidden="1" customHeight="1">
      <c r="A66" s="29">
        <v>9</v>
      </c>
      <c r="B66" s="99" t="s">
        <v>48</v>
      </c>
      <c r="C66" s="16" t="s">
        <v>115</v>
      </c>
      <c r="D66" s="99"/>
      <c r="E66" s="84">
        <v>18890</v>
      </c>
      <c r="F66" s="13">
        <f>SUM(E66/1000)</f>
        <v>18.89</v>
      </c>
      <c r="G66" s="13">
        <v>165.21</v>
      </c>
      <c r="H66" s="100">
        <f t="shared" si="7"/>
        <v>3.1208169000000003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10</v>
      </c>
      <c r="B67" s="99" t="s">
        <v>49</v>
      </c>
      <c r="C67" s="16" t="s">
        <v>75</v>
      </c>
      <c r="D67" s="99" t="s">
        <v>52</v>
      </c>
      <c r="E67" s="84">
        <v>3004</v>
      </c>
      <c r="F67" s="13">
        <f>SUM(E67/100)</f>
        <v>30.04</v>
      </c>
      <c r="G67" s="13">
        <v>2074.63</v>
      </c>
      <c r="H67" s="100">
        <f t="shared" si="7"/>
        <v>62.321885200000004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11</v>
      </c>
      <c r="B68" s="101" t="s">
        <v>116</v>
      </c>
      <c r="C68" s="16" t="s">
        <v>33</v>
      </c>
      <c r="D68" s="99"/>
      <c r="E68" s="84">
        <v>15.8</v>
      </c>
      <c r="F68" s="13">
        <f>SUM(E68)</f>
        <v>15.8</v>
      </c>
      <c r="G68" s="13">
        <v>42.67</v>
      </c>
      <c r="H68" s="100">
        <f t="shared" si="7"/>
        <v>0.67418600000000006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12</v>
      </c>
      <c r="B69" s="101" t="s">
        <v>117</v>
      </c>
      <c r="C69" s="16" t="s">
        <v>33</v>
      </c>
      <c r="D69" s="99"/>
      <c r="E69" s="84">
        <v>15.8</v>
      </c>
      <c r="F69" s="13">
        <f>SUM(E69)</f>
        <v>15.8</v>
      </c>
      <c r="G69" s="13">
        <v>39.81</v>
      </c>
      <c r="H69" s="100">
        <f t="shared" si="7"/>
        <v>0.62899800000000006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201"/>
      <c r="S69" s="201"/>
      <c r="T69" s="201"/>
      <c r="U69" s="201"/>
    </row>
    <row r="70" spans="1:22" ht="18" customHeight="1">
      <c r="A70" s="29"/>
      <c r="B70" s="159" t="s">
        <v>173</v>
      </c>
      <c r="C70" s="38"/>
      <c r="D70" s="37"/>
      <c r="E70" s="17"/>
      <c r="F70" s="115"/>
      <c r="G70" s="36"/>
      <c r="H70" s="100"/>
      <c r="I70" s="1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34.5" customHeight="1">
      <c r="A71" s="29">
        <v>14</v>
      </c>
      <c r="B71" s="37" t="s">
        <v>174</v>
      </c>
      <c r="C71" s="40" t="s">
        <v>175</v>
      </c>
      <c r="D71" s="37"/>
      <c r="E71" s="17">
        <v>5162.6000000000004</v>
      </c>
      <c r="F71" s="36">
        <f>E71*12</f>
        <v>61951.200000000004</v>
      </c>
      <c r="G71" s="36">
        <v>2.37</v>
      </c>
      <c r="H71" s="100"/>
      <c r="I71" s="13">
        <f>G71*F71/12</f>
        <v>12235.362000000001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4.25" hidden="1" customHeight="1">
      <c r="A72" s="168"/>
      <c r="B72" s="167" t="s">
        <v>118</v>
      </c>
      <c r="C72" s="167"/>
      <c r="D72" s="167"/>
      <c r="E72" s="167"/>
      <c r="F72" s="167"/>
      <c r="G72" s="167"/>
      <c r="H72" s="167"/>
      <c r="I72" s="18"/>
    </row>
    <row r="73" spans="1:22" ht="17.25" hidden="1" customHeight="1">
      <c r="A73" s="29">
        <v>19</v>
      </c>
      <c r="B73" s="82" t="s">
        <v>119</v>
      </c>
      <c r="C73" s="16"/>
      <c r="D73" s="99"/>
      <c r="E73" s="77"/>
      <c r="F73" s="13">
        <v>1</v>
      </c>
      <c r="G73" s="13">
        <v>27865.200000000001</v>
      </c>
      <c r="H73" s="100">
        <f>G73*F73/1000</f>
        <v>27.865200000000002</v>
      </c>
      <c r="I73" s="13">
        <v>0</v>
      </c>
    </row>
    <row r="74" spans="1:22" ht="15.75" customHeight="1">
      <c r="A74" s="29"/>
      <c r="B74" s="48" t="s">
        <v>70</v>
      </c>
      <c r="C74" s="48"/>
      <c r="D74" s="48"/>
      <c r="E74" s="18"/>
      <c r="F74" s="18"/>
      <c r="G74" s="29"/>
      <c r="H74" s="29"/>
      <c r="I74" s="18"/>
    </row>
    <row r="75" spans="1:22" ht="18.75" hidden="1" customHeight="1">
      <c r="A75" s="29">
        <v>18</v>
      </c>
      <c r="B75" s="37" t="s">
        <v>71</v>
      </c>
      <c r="C75" s="38" t="s">
        <v>182</v>
      </c>
      <c r="D75" s="37"/>
      <c r="E75" s="17">
        <v>8</v>
      </c>
      <c r="F75" s="36">
        <f>E75/10</f>
        <v>0.8</v>
      </c>
      <c r="G75" s="36">
        <v>684.19</v>
      </c>
      <c r="H75" s="100">
        <f t="shared" ref="H75" si="8">SUM(F75*G75/1000)</f>
        <v>0.54735200000000006</v>
      </c>
      <c r="I75" s="13">
        <f>G75*0.4</f>
        <v>273.67600000000004</v>
      </c>
    </row>
    <row r="76" spans="1:22" ht="15.75" hidden="1" customHeight="1">
      <c r="A76" s="29"/>
      <c r="B76" s="99" t="s">
        <v>132</v>
      </c>
      <c r="C76" s="16" t="s">
        <v>31</v>
      </c>
      <c r="D76" s="99"/>
      <c r="E76" s="18">
        <v>1</v>
      </c>
      <c r="F76" s="13">
        <v>1</v>
      </c>
      <c r="G76" s="13">
        <v>99.85</v>
      </c>
      <c r="H76" s="100">
        <f>F76*G76/1000</f>
        <v>9.9849999999999994E-2</v>
      </c>
      <c r="I76" s="13">
        <v>0</v>
      </c>
    </row>
    <row r="77" spans="1:22" ht="15.75" hidden="1" customHeight="1">
      <c r="A77" s="29"/>
      <c r="B77" s="99" t="s">
        <v>133</v>
      </c>
      <c r="C77" s="16" t="s">
        <v>31</v>
      </c>
      <c r="D77" s="99"/>
      <c r="E77" s="18">
        <v>1</v>
      </c>
      <c r="F77" s="13">
        <v>1</v>
      </c>
      <c r="G77" s="13">
        <v>120.26</v>
      </c>
      <c r="H77" s="100">
        <f>F77*G77/1000</f>
        <v>0.12026000000000001</v>
      </c>
      <c r="I77" s="13">
        <v>0</v>
      </c>
    </row>
    <row r="78" spans="1:22" ht="33" customHeight="1">
      <c r="A78" s="29">
        <v>15</v>
      </c>
      <c r="B78" s="37" t="s">
        <v>176</v>
      </c>
      <c r="C78" s="38" t="s">
        <v>111</v>
      </c>
      <c r="D78" s="37" t="s">
        <v>190</v>
      </c>
      <c r="E78" s="17">
        <v>1</v>
      </c>
      <c r="F78" s="36">
        <f>E78*12</f>
        <v>12</v>
      </c>
      <c r="G78" s="36">
        <v>55.55</v>
      </c>
      <c r="H78" s="100"/>
      <c r="I78" s="13">
        <f>G78*1</f>
        <v>55.55</v>
      </c>
    </row>
    <row r="79" spans="1:22" ht="16.5" customHeight="1">
      <c r="A79" s="29"/>
      <c r="B79" s="49" t="s">
        <v>74</v>
      </c>
      <c r="C79" s="38"/>
      <c r="D79" s="29"/>
      <c r="E79" s="18"/>
      <c r="F79" s="18"/>
      <c r="G79" s="36"/>
      <c r="H79" s="36"/>
      <c r="I79" s="18"/>
    </row>
    <row r="80" spans="1:22" ht="17.25" hidden="1" customHeight="1">
      <c r="A80" s="29">
        <v>39</v>
      </c>
      <c r="B80" s="51" t="s">
        <v>120</v>
      </c>
      <c r="C80" s="16" t="s">
        <v>75</v>
      </c>
      <c r="D80" s="99"/>
      <c r="E80" s="18"/>
      <c r="F80" s="13">
        <v>1.35</v>
      </c>
      <c r="G80" s="13">
        <v>2759.44</v>
      </c>
      <c r="H80" s="100">
        <f t="shared" ref="H80" si="9">SUM(F80*G80/1000)</f>
        <v>3.725244</v>
      </c>
      <c r="I80" s="13">
        <v>0</v>
      </c>
    </row>
    <row r="81" spans="1:9" ht="15.75" customHeight="1">
      <c r="A81" s="210" t="s">
        <v>149</v>
      </c>
      <c r="B81" s="211"/>
      <c r="C81" s="211"/>
      <c r="D81" s="211"/>
      <c r="E81" s="211"/>
      <c r="F81" s="211"/>
      <c r="G81" s="211"/>
      <c r="H81" s="211"/>
      <c r="I81" s="212"/>
    </row>
    <row r="82" spans="1:9" ht="15.75" customHeight="1">
      <c r="A82" s="29">
        <v>16</v>
      </c>
      <c r="B82" s="32" t="s">
        <v>121</v>
      </c>
      <c r="C82" s="38" t="s">
        <v>53</v>
      </c>
      <c r="D82" s="63"/>
      <c r="E82" s="36">
        <v>5162.6000000000004</v>
      </c>
      <c r="F82" s="36">
        <f>SUM(E82*12)</f>
        <v>61951.200000000004</v>
      </c>
      <c r="G82" s="36">
        <v>3.22</v>
      </c>
      <c r="H82" s="102">
        <f>SUM(F82*G82/1000)</f>
        <v>199.48286400000003</v>
      </c>
      <c r="I82" s="13">
        <f>F82/12*G82</f>
        <v>16623.572000000004</v>
      </c>
    </row>
    <row r="83" spans="1:9" ht="31.5" customHeight="1">
      <c r="A83" s="29">
        <v>17</v>
      </c>
      <c r="B83" s="37" t="s">
        <v>177</v>
      </c>
      <c r="C83" s="112" t="s">
        <v>178</v>
      </c>
      <c r="D83" s="37"/>
      <c r="E83" s="17">
        <v>5162.6000000000004</v>
      </c>
      <c r="F83" s="36">
        <f>E83*12</f>
        <v>61951.200000000004</v>
      </c>
      <c r="G83" s="36">
        <v>3.64</v>
      </c>
      <c r="H83" s="100">
        <f>F83*G83/1000</f>
        <v>225.50236800000002</v>
      </c>
      <c r="I83" s="13">
        <f>F83/12*G83</f>
        <v>18791.864000000001</v>
      </c>
    </row>
    <row r="84" spans="1:9" ht="15.75" customHeight="1">
      <c r="A84" s="168"/>
      <c r="B84" s="39" t="s">
        <v>78</v>
      </c>
      <c r="C84" s="40"/>
      <c r="D84" s="15"/>
      <c r="E84" s="15"/>
      <c r="F84" s="15"/>
      <c r="G84" s="18"/>
      <c r="H84" s="18"/>
      <c r="I84" s="31">
        <f>I83+I82+I78+I71+I61+I57+I54+I41+I39+I38+I37+I27+I21+I20+I18+I17+I16</f>
        <v>85671.597593333325</v>
      </c>
    </row>
    <row r="85" spans="1:9" ht="15.75" customHeight="1">
      <c r="A85" s="213" t="s">
        <v>58</v>
      </c>
      <c r="B85" s="214"/>
      <c r="C85" s="214"/>
      <c r="D85" s="214"/>
      <c r="E85" s="214"/>
      <c r="F85" s="214"/>
      <c r="G85" s="214"/>
      <c r="H85" s="214"/>
      <c r="I85" s="215"/>
    </row>
    <row r="86" spans="1:9" ht="28.5" customHeight="1">
      <c r="A86" s="177">
        <v>18</v>
      </c>
      <c r="B86" s="66" t="s">
        <v>220</v>
      </c>
      <c r="C86" s="67" t="s">
        <v>37</v>
      </c>
      <c r="D86" s="64" t="s">
        <v>207</v>
      </c>
      <c r="E86" s="36"/>
      <c r="F86" s="36">
        <v>0.02</v>
      </c>
      <c r="G86" s="36">
        <v>4070.89</v>
      </c>
      <c r="H86" s="192"/>
      <c r="I86" s="178">
        <v>0</v>
      </c>
    </row>
    <row r="87" spans="1:9" ht="15.75" customHeight="1">
      <c r="A87" s="177">
        <v>19</v>
      </c>
      <c r="B87" s="66" t="s">
        <v>225</v>
      </c>
      <c r="C87" s="67" t="s">
        <v>111</v>
      </c>
      <c r="D87" s="64"/>
      <c r="E87" s="36"/>
      <c r="F87" s="36">
        <v>1</v>
      </c>
      <c r="G87" s="36">
        <v>475.25</v>
      </c>
      <c r="H87" s="192"/>
      <c r="I87" s="178">
        <f>G87*1</f>
        <v>475.25</v>
      </c>
    </row>
    <row r="88" spans="1:9" ht="15.75" customHeight="1">
      <c r="A88" s="177">
        <v>20</v>
      </c>
      <c r="B88" s="66" t="s">
        <v>142</v>
      </c>
      <c r="C88" s="67" t="s">
        <v>80</v>
      </c>
      <c r="D88" s="64" t="s">
        <v>226</v>
      </c>
      <c r="E88" s="36"/>
      <c r="F88" s="36">
        <v>2</v>
      </c>
      <c r="G88" s="36">
        <v>222.63</v>
      </c>
      <c r="H88" s="193"/>
      <c r="I88" s="178">
        <f>G88*1</f>
        <v>222.63</v>
      </c>
    </row>
    <row r="89" spans="1:9" ht="15.75" customHeight="1">
      <c r="A89" s="29"/>
      <c r="B89" s="45" t="s">
        <v>50</v>
      </c>
      <c r="C89" s="41"/>
      <c r="D89" s="53"/>
      <c r="E89" s="41">
        <v>1</v>
      </c>
      <c r="F89" s="41"/>
      <c r="G89" s="41"/>
      <c r="H89" s="41"/>
      <c r="I89" s="31">
        <f>SUM(I86:I88)</f>
        <v>697.88</v>
      </c>
    </row>
    <row r="90" spans="1:9" ht="15.75" customHeight="1">
      <c r="A90" s="29"/>
      <c r="B90" s="51" t="s">
        <v>76</v>
      </c>
      <c r="C90" s="15"/>
      <c r="D90" s="15"/>
      <c r="E90" s="42"/>
      <c r="F90" s="42"/>
      <c r="G90" s="43"/>
      <c r="H90" s="43"/>
      <c r="I90" s="17">
        <v>0</v>
      </c>
    </row>
    <row r="91" spans="1:9" ht="15.75" customHeight="1">
      <c r="A91" s="54"/>
      <c r="B91" s="46" t="s">
        <v>143</v>
      </c>
      <c r="C91" s="34"/>
      <c r="D91" s="34"/>
      <c r="E91" s="34"/>
      <c r="F91" s="34"/>
      <c r="G91" s="34"/>
      <c r="H91" s="34"/>
      <c r="I91" s="44">
        <f>I84+I89</f>
        <v>86369.477593333329</v>
      </c>
    </row>
    <row r="92" spans="1:9" ht="15.75">
      <c r="A92" s="207" t="s">
        <v>332</v>
      </c>
      <c r="B92" s="207"/>
      <c r="C92" s="207"/>
      <c r="D92" s="207"/>
      <c r="E92" s="207"/>
      <c r="F92" s="207"/>
      <c r="G92" s="207"/>
      <c r="H92" s="207"/>
      <c r="I92" s="207"/>
    </row>
    <row r="93" spans="1:9" ht="15.75">
      <c r="A93" s="61"/>
      <c r="B93" s="208" t="s">
        <v>333</v>
      </c>
      <c r="C93" s="208"/>
      <c r="D93" s="208"/>
      <c r="E93" s="208"/>
      <c r="F93" s="208"/>
      <c r="G93" s="208"/>
      <c r="H93" s="80"/>
      <c r="I93" s="3"/>
    </row>
    <row r="94" spans="1:9">
      <c r="A94" s="74"/>
      <c r="B94" s="206" t="s">
        <v>6</v>
      </c>
      <c r="C94" s="206"/>
      <c r="D94" s="206"/>
      <c r="E94" s="206"/>
      <c r="F94" s="206"/>
      <c r="G94" s="206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209" t="s">
        <v>7</v>
      </c>
      <c r="B96" s="209"/>
      <c r="C96" s="209"/>
      <c r="D96" s="209"/>
      <c r="E96" s="209"/>
      <c r="F96" s="209"/>
      <c r="G96" s="209"/>
      <c r="H96" s="209"/>
      <c r="I96" s="209"/>
    </row>
    <row r="97" spans="1:9" ht="15.75">
      <c r="A97" s="209" t="s">
        <v>8</v>
      </c>
      <c r="B97" s="209"/>
      <c r="C97" s="209"/>
      <c r="D97" s="209"/>
      <c r="E97" s="209"/>
      <c r="F97" s="209"/>
      <c r="G97" s="209"/>
      <c r="H97" s="209"/>
      <c r="I97" s="209"/>
    </row>
    <row r="98" spans="1:9" ht="15.75">
      <c r="A98" s="203" t="s">
        <v>59</v>
      </c>
      <c r="B98" s="203"/>
      <c r="C98" s="203"/>
      <c r="D98" s="203"/>
      <c r="E98" s="203"/>
      <c r="F98" s="203"/>
      <c r="G98" s="203"/>
      <c r="H98" s="203"/>
      <c r="I98" s="203"/>
    </row>
    <row r="99" spans="1:9" ht="15.75">
      <c r="A99" s="11"/>
    </row>
    <row r="100" spans="1:9" ht="15.75">
      <c r="A100" s="204" t="s">
        <v>9</v>
      </c>
      <c r="B100" s="204"/>
      <c r="C100" s="204"/>
      <c r="D100" s="204"/>
      <c r="E100" s="204"/>
      <c r="F100" s="204"/>
      <c r="G100" s="204"/>
      <c r="H100" s="204"/>
      <c r="I100" s="204"/>
    </row>
    <row r="101" spans="1:9" ht="15.75">
      <c r="A101" s="4"/>
    </row>
    <row r="102" spans="1:9" ht="15.75">
      <c r="B102" s="72" t="s">
        <v>10</v>
      </c>
      <c r="C102" s="205" t="s">
        <v>84</v>
      </c>
      <c r="D102" s="205"/>
      <c r="E102" s="205"/>
      <c r="F102" s="78"/>
      <c r="I102" s="73"/>
    </row>
    <row r="103" spans="1:9">
      <c r="A103" s="74"/>
      <c r="C103" s="206" t="s">
        <v>11</v>
      </c>
      <c r="D103" s="206"/>
      <c r="E103" s="206"/>
      <c r="F103" s="24"/>
      <c r="I103" s="71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72" t="s">
        <v>13</v>
      </c>
      <c r="C105" s="200"/>
      <c r="D105" s="200"/>
      <c r="E105" s="200"/>
      <c r="F105" s="79"/>
      <c r="I105" s="73"/>
    </row>
    <row r="106" spans="1:9">
      <c r="A106" s="74"/>
      <c r="C106" s="201" t="s">
        <v>11</v>
      </c>
      <c r="D106" s="201"/>
      <c r="E106" s="201"/>
      <c r="F106" s="74"/>
      <c r="I106" s="71" t="s">
        <v>12</v>
      </c>
    </row>
    <row r="107" spans="1:9" ht="15.75">
      <c r="A107" s="4" t="s">
        <v>14</v>
      </c>
    </row>
    <row r="108" spans="1:9">
      <c r="A108" s="202" t="s">
        <v>15</v>
      </c>
      <c r="B108" s="202"/>
      <c r="C108" s="202"/>
      <c r="D108" s="202"/>
      <c r="E108" s="202"/>
      <c r="F108" s="202"/>
      <c r="G108" s="202"/>
      <c r="H108" s="202"/>
      <c r="I108" s="202"/>
    </row>
    <row r="109" spans="1:9" ht="45" customHeight="1">
      <c r="A109" s="199" t="s">
        <v>16</v>
      </c>
      <c r="B109" s="199"/>
      <c r="C109" s="199"/>
      <c r="D109" s="199"/>
      <c r="E109" s="199"/>
      <c r="F109" s="199"/>
      <c r="G109" s="199"/>
      <c r="H109" s="199"/>
      <c r="I109" s="199"/>
    </row>
    <row r="110" spans="1:9" ht="30" customHeight="1">
      <c r="A110" s="199" t="s">
        <v>17</v>
      </c>
      <c r="B110" s="199"/>
      <c r="C110" s="199"/>
      <c r="D110" s="199"/>
      <c r="E110" s="199"/>
      <c r="F110" s="199"/>
      <c r="G110" s="199"/>
      <c r="H110" s="199"/>
      <c r="I110" s="199"/>
    </row>
    <row r="111" spans="1:9" ht="30" customHeight="1">
      <c r="A111" s="199" t="s">
        <v>21</v>
      </c>
      <c r="B111" s="199"/>
      <c r="C111" s="199"/>
      <c r="D111" s="199"/>
      <c r="E111" s="199"/>
      <c r="F111" s="199"/>
      <c r="G111" s="199"/>
      <c r="H111" s="199"/>
      <c r="I111" s="199"/>
    </row>
    <row r="112" spans="1:9" ht="15" customHeight="1">
      <c r="A112" s="199" t="s">
        <v>20</v>
      </c>
      <c r="B112" s="199"/>
      <c r="C112" s="199"/>
      <c r="D112" s="199"/>
      <c r="E112" s="199"/>
      <c r="F112" s="199"/>
      <c r="G112" s="199"/>
      <c r="H112" s="199"/>
      <c r="I112" s="199"/>
    </row>
  </sheetData>
  <autoFilter ref="I12:I64"/>
  <mergeCells count="29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9:U69"/>
    <mergeCell ref="C106:E106"/>
    <mergeCell ref="A85:I85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1:I81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5"/>
  <sheetViews>
    <sheetView topLeftCell="A86" workbookViewId="0">
      <selection activeCell="A101" sqref="A101: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150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227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43951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181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189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F18/18*G18</f>
        <v>4468.7811599999995</v>
      </c>
      <c r="J18" s="22"/>
      <c r="K18" s="8"/>
      <c r="L18" s="8"/>
      <c r="M18" s="8"/>
    </row>
    <row r="19" spans="1:13" ht="19.5" hidden="1" customHeight="1">
      <c r="A19" s="29"/>
      <c r="B19" s="32" t="s">
        <v>90</v>
      </c>
      <c r="C19" s="136" t="s">
        <v>91</v>
      </c>
      <c r="D19" s="32" t="s">
        <v>92</v>
      </c>
      <c r="E19" s="149">
        <v>124.8</v>
      </c>
      <c r="F19" s="137">
        <f>SUM(E19/10)</f>
        <v>12.48</v>
      </c>
      <c r="G19" s="137">
        <v>232.1</v>
      </c>
      <c r="H19" s="86">
        <f t="shared" si="0"/>
        <v>2.8966080000000001</v>
      </c>
      <c r="I19" s="13">
        <v>0</v>
      </c>
      <c r="J19" s="22"/>
      <c r="K19" s="8"/>
      <c r="L19" s="8"/>
      <c r="M19" s="8"/>
    </row>
    <row r="20" spans="1:13" ht="17.25" customHeight="1">
      <c r="A20" s="29">
        <v>4</v>
      </c>
      <c r="B20" s="32" t="s">
        <v>95</v>
      </c>
      <c r="C20" s="136" t="s">
        <v>89</v>
      </c>
      <c r="D20" s="32" t="s">
        <v>190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G20*F20/12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96</v>
      </c>
      <c r="C21" s="136" t="s">
        <v>89</v>
      </c>
      <c r="D21" s="32" t="s">
        <v>190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G21*F21/12</f>
        <v>39.529997999999999</v>
      </c>
      <c r="J21" s="22"/>
      <c r="K21" s="8"/>
      <c r="L21" s="8"/>
      <c r="M21" s="8"/>
    </row>
    <row r="22" spans="1:13" ht="22.5" hidden="1" customHeight="1">
      <c r="A22" s="29"/>
      <c r="B22" s="32" t="s">
        <v>97</v>
      </c>
      <c r="C22" s="136" t="s">
        <v>51</v>
      </c>
      <c r="D22" s="32" t="s">
        <v>92</v>
      </c>
      <c r="E22" s="149">
        <v>820.5</v>
      </c>
      <c r="F22" s="137">
        <f>SUM(E22/100)</f>
        <v>8.2050000000000001</v>
      </c>
      <c r="G22" s="137">
        <v>367.27</v>
      </c>
      <c r="H22" s="86">
        <f t="shared" si="0"/>
        <v>3.0134503500000003</v>
      </c>
      <c r="I22" s="13">
        <v>0</v>
      </c>
      <c r="J22" s="22"/>
      <c r="K22" s="8"/>
      <c r="L22" s="8"/>
      <c r="M22" s="8"/>
    </row>
    <row r="23" spans="1:13" ht="22.5" hidden="1" customHeight="1">
      <c r="A23" s="29"/>
      <c r="B23" s="32" t="s">
        <v>98</v>
      </c>
      <c r="C23" s="136" t="s">
        <v>51</v>
      </c>
      <c r="D23" s="32" t="s">
        <v>92</v>
      </c>
      <c r="E23" s="156">
        <v>60.25</v>
      </c>
      <c r="F23" s="137">
        <f>SUM(E23/100)</f>
        <v>0.60250000000000004</v>
      </c>
      <c r="G23" s="137">
        <v>60.41</v>
      </c>
      <c r="H23" s="86">
        <f t="shared" si="0"/>
        <v>3.6397025E-2</v>
      </c>
      <c r="I23" s="13">
        <v>0</v>
      </c>
      <c r="J23" s="22"/>
      <c r="K23" s="8"/>
      <c r="L23" s="8"/>
      <c r="M23" s="8"/>
    </row>
    <row r="24" spans="1:13" ht="21" hidden="1" customHeight="1">
      <c r="A24" s="29"/>
      <c r="B24" s="32" t="s">
        <v>93</v>
      </c>
      <c r="C24" s="136" t="s">
        <v>51</v>
      </c>
      <c r="D24" s="32" t="s">
        <v>94</v>
      </c>
      <c r="E24" s="149">
        <v>19.149999999999999</v>
      </c>
      <c r="F24" s="137">
        <f>E24/100</f>
        <v>0.19149999999999998</v>
      </c>
      <c r="G24" s="137">
        <v>531.55999999999995</v>
      </c>
      <c r="H24" s="86">
        <f t="shared" si="0"/>
        <v>0.10179373999999997</v>
      </c>
      <c r="I24" s="13">
        <v>0</v>
      </c>
      <c r="J24" s="22"/>
      <c r="K24" s="8"/>
      <c r="L24" s="8"/>
      <c r="M24" s="8"/>
    </row>
    <row r="25" spans="1:13" ht="20.25" hidden="1" customHeight="1">
      <c r="A25" s="40">
        <v>6</v>
      </c>
      <c r="B25" s="32" t="s">
        <v>100</v>
      </c>
      <c r="C25" s="136" t="s">
        <v>51</v>
      </c>
      <c r="D25" s="32" t="s">
        <v>52</v>
      </c>
      <c r="E25" s="149">
        <v>31.5</v>
      </c>
      <c r="F25" s="137">
        <v>0.32</v>
      </c>
      <c r="G25" s="137">
        <v>294.77999999999997</v>
      </c>
      <c r="H25" s="86">
        <f t="shared" si="0"/>
        <v>9.43296E-2</v>
      </c>
      <c r="I25" s="13">
        <v>0</v>
      </c>
      <c r="J25" s="22"/>
      <c r="K25" s="8"/>
      <c r="L25" s="8"/>
      <c r="M25" s="8"/>
    </row>
    <row r="26" spans="1:13" ht="16.5" hidden="1" customHeight="1">
      <c r="A26" s="40"/>
      <c r="B26" s="32" t="s">
        <v>99</v>
      </c>
      <c r="C26" s="136" t="s">
        <v>51</v>
      </c>
      <c r="D26" s="32" t="s">
        <v>92</v>
      </c>
      <c r="E26" s="149">
        <v>37.5</v>
      </c>
      <c r="F26" s="137">
        <f>SUM(E26/100)</f>
        <v>0.375</v>
      </c>
      <c r="G26" s="137">
        <v>710.37</v>
      </c>
      <c r="H26" s="86">
        <f t="shared" si="0"/>
        <v>0.26638875000000001</v>
      </c>
      <c r="I26" s="13">
        <v>0</v>
      </c>
      <c r="J26" s="22"/>
      <c r="K26" s="8"/>
      <c r="L26" s="8"/>
      <c r="M26" s="8"/>
    </row>
    <row r="27" spans="1:13" ht="15.75" customHeight="1">
      <c r="A27" s="40">
        <v>6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ref="H27" si="1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2" t="s">
        <v>81</v>
      </c>
      <c r="B28" s="222"/>
      <c r="C28" s="222"/>
      <c r="D28" s="222"/>
      <c r="E28" s="222"/>
      <c r="F28" s="222"/>
      <c r="G28" s="222"/>
      <c r="H28" s="222"/>
      <c r="I28" s="222"/>
      <c r="J28" s="22"/>
      <c r="K28" s="8"/>
      <c r="L28" s="8"/>
      <c r="M28" s="8"/>
    </row>
    <row r="29" spans="1:13" ht="15.7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hidden="1" customHeight="1">
      <c r="A30" s="40">
        <v>2</v>
      </c>
      <c r="B30" s="82" t="s">
        <v>101</v>
      </c>
      <c r="C30" s="83" t="s">
        <v>102</v>
      </c>
      <c r="D30" s="82" t="s">
        <v>103</v>
      </c>
      <c r="E30" s="85">
        <v>1304.45</v>
      </c>
      <c r="F30" s="85">
        <f>SUM(E30*52/1000)</f>
        <v>67.831400000000002</v>
      </c>
      <c r="G30" s="85">
        <v>155.88999999999999</v>
      </c>
      <c r="H30" s="86">
        <f t="shared" ref="H30:H35" si="2">SUM(F30*G30/1000)</f>
        <v>10.574236945999999</v>
      </c>
      <c r="I30" s="13">
        <f>F30/6*G30</f>
        <v>1762.3728243333333</v>
      </c>
      <c r="J30" s="22"/>
      <c r="K30" s="8"/>
      <c r="L30" s="8"/>
      <c r="M30" s="8"/>
    </row>
    <row r="31" spans="1:13" ht="31.5" hidden="1" customHeight="1">
      <c r="A31" s="40">
        <v>3</v>
      </c>
      <c r="B31" s="82" t="s">
        <v>139</v>
      </c>
      <c r="C31" s="83" t="s">
        <v>102</v>
      </c>
      <c r="D31" s="82" t="s">
        <v>104</v>
      </c>
      <c r="E31" s="85">
        <v>287.83999999999997</v>
      </c>
      <c r="F31" s="85">
        <f>SUM(E31*78/1000)</f>
        <v>22.451519999999995</v>
      </c>
      <c r="G31" s="85">
        <v>258.63</v>
      </c>
      <c r="H31" s="86">
        <f t="shared" si="2"/>
        <v>5.8066366175999979</v>
      </c>
      <c r="I31" s="13">
        <f t="shared" ref="I31:I33" si="3">F31/6*G31</f>
        <v>967.77276959999972</v>
      </c>
      <c r="J31" s="22"/>
      <c r="K31" s="8"/>
      <c r="L31" s="8"/>
      <c r="M31" s="8"/>
    </row>
    <row r="32" spans="1:13" ht="15.75" hidden="1" customHeight="1">
      <c r="A32" s="40">
        <v>4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si="2"/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5</v>
      </c>
      <c r="B33" s="82" t="s">
        <v>105</v>
      </c>
      <c r="C33" s="83" t="s">
        <v>31</v>
      </c>
      <c r="D33" s="82" t="s">
        <v>61</v>
      </c>
      <c r="E33" s="89">
        <v>0.33333333333333331</v>
      </c>
      <c r="F33" s="85">
        <f>155/3</f>
        <v>51.666666666666664</v>
      </c>
      <c r="G33" s="85">
        <v>56.69</v>
      </c>
      <c r="H33" s="86">
        <f t="shared" si="2"/>
        <v>2.9289833333333331</v>
      </c>
      <c r="I33" s="13">
        <f t="shared" si="3"/>
        <v>488.16388888888883</v>
      </c>
      <c r="J33" s="23"/>
    </row>
    <row r="34" spans="1:14" ht="15.75" hidden="1" customHeight="1">
      <c r="A34" s="40">
        <v>4</v>
      </c>
      <c r="B34" s="82" t="s">
        <v>63</v>
      </c>
      <c r="C34" s="83" t="s">
        <v>33</v>
      </c>
      <c r="D34" s="82" t="s">
        <v>65</v>
      </c>
      <c r="E34" s="84"/>
      <c r="F34" s="85">
        <v>3</v>
      </c>
      <c r="G34" s="85">
        <v>191.32</v>
      </c>
      <c r="H34" s="86">
        <f t="shared" si="2"/>
        <v>0.57396000000000003</v>
      </c>
      <c r="I34" s="13">
        <v>0</v>
      </c>
      <c r="J34" s="23"/>
    </row>
    <row r="35" spans="1:14" ht="15.75" hidden="1" customHeight="1">
      <c r="A35" s="29">
        <v>8</v>
      </c>
      <c r="B35" s="82" t="s">
        <v>64</v>
      </c>
      <c r="C35" s="83" t="s">
        <v>32</v>
      </c>
      <c r="D35" s="82" t="s">
        <v>65</v>
      </c>
      <c r="E35" s="84"/>
      <c r="F35" s="85">
        <v>2</v>
      </c>
      <c r="G35" s="85">
        <v>1136.32</v>
      </c>
      <c r="H35" s="86">
        <f t="shared" si="2"/>
        <v>2.27264</v>
      </c>
      <c r="I35" s="13">
        <v>0</v>
      </c>
      <c r="J35" s="23"/>
    </row>
    <row r="36" spans="1:14" ht="15.75" customHeight="1">
      <c r="A36" s="40"/>
      <c r="B36" s="48" t="s">
        <v>5</v>
      </c>
      <c r="C36" s="48"/>
      <c r="D36" s="48"/>
      <c r="E36" s="13"/>
      <c r="F36" s="13"/>
      <c r="G36" s="14"/>
      <c r="H36" s="14"/>
      <c r="I36" s="18"/>
      <c r="J36" s="23"/>
    </row>
    <row r="37" spans="1:14" ht="15.75" hidden="1" customHeight="1">
      <c r="A37" s="33">
        <v>7</v>
      </c>
      <c r="B37" s="152" t="s">
        <v>27</v>
      </c>
      <c r="C37" s="136" t="s">
        <v>32</v>
      </c>
      <c r="D37" s="179">
        <v>43565</v>
      </c>
      <c r="E37" s="149"/>
      <c r="F37" s="137">
        <v>8</v>
      </c>
      <c r="G37" s="137">
        <v>2083</v>
      </c>
      <c r="H37" s="86">
        <f t="shared" ref="H37:H44" si="4">SUM(F37*G37/1000)</f>
        <v>16.664000000000001</v>
      </c>
      <c r="I37" s="13">
        <f>G37*0.9</f>
        <v>1874.7</v>
      </c>
      <c r="J37" s="23"/>
    </row>
    <row r="38" spans="1:14" ht="15.75" customHeight="1">
      <c r="A38" s="33">
        <v>7</v>
      </c>
      <c r="B38" s="152" t="s">
        <v>123</v>
      </c>
      <c r="C38" s="153" t="s">
        <v>30</v>
      </c>
      <c r="D38" s="152" t="s">
        <v>192</v>
      </c>
      <c r="E38" s="154">
        <v>287.83999999999997</v>
      </c>
      <c r="F38" s="154">
        <f>SUM(E38*30/1000)</f>
        <v>8.6351999999999993</v>
      </c>
      <c r="G38" s="154">
        <v>2868.09</v>
      </c>
      <c r="H38" s="86">
        <f t="shared" si="4"/>
        <v>24.766530767999999</v>
      </c>
      <c r="I38" s="13">
        <f>F38/6*G38</f>
        <v>4127.7551279999998</v>
      </c>
      <c r="J38" s="23"/>
    </row>
    <row r="39" spans="1:14" ht="15.75" customHeight="1">
      <c r="A39" s="33">
        <v>8</v>
      </c>
      <c r="B39" s="152" t="s">
        <v>170</v>
      </c>
      <c r="C39" s="153" t="s">
        <v>30</v>
      </c>
      <c r="D39" s="32" t="s">
        <v>193</v>
      </c>
      <c r="E39" s="149">
        <v>287.83999999999997</v>
      </c>
      <c r="F39" s="154">
        <f>E39*155/1000</f>
        <v>44.615199999999994</v>
      </c>
      <c r="G39" s="137">
        <v>478.42</v>
      </c>
      <c r="H39" s="86">
        <f>G39*F39/1000</f>
        <v>21.344803983999999</v>
      </c>
      <c r="I39" s="13">
        <f>F39/6*G39</f>
        <v>3557.4673306666664</v>
      </c>
      <c r="J39" s="23"/>
    </row>
    <row r="40" spans="1:14" ht="15.75" hidden="1" customHeight="1">
      <c r="A40" s="33">
        <v>7</v>
      </c>
      <c r="B40" s="82" t="s">
        <v>87</v>
      </c>
      <c r="C40" s="83" t="s">
        <v>126</v>
      </c>
      <c r="D40" s="82" t="s">
        <v>65</v>
      </c>
      <c r="E40" s="84"/>
      <c r="F40" s="85">
        <v>80</v>
      </c>
      <c r="G40" s="85">
        <v>199.44</v>
      </c>
      <c r="H40" s="86">
        <f>G40*F40/1000</f>
        <v>15.955200000000001</v>
      </c>
      <c r="I40" s="13">
        <v>0</v>
      </c>
      <c r="J40" s="23"/>
    </row>
    <row r="41" spans="1:14" ht="44.25" customHeight="1">
      <c r="A41" s="33">
        <v>9</v>
      </c>
      <c r="B41" s="32" t="s">
        <v>79</v>
      </c>
      <c r="C41" s="136" t="s">
        <v>102</v>
      </c>
      <c r="D41" s="32" t="s">
        <v>192</v>
      </c>
      <c r="E41" s="137">
        <v>130.6</v>
      </c>
      <c r="F41" s="154">
        <f>SUM(E41*35/1000)</f>
        <v>4.5709999999999997</v>
      </c>
      <c r="G41" s="137">
        <v>7915.6</v>
      </c>
      <c r="H41" s="86">
        <f t="shared" si="4"/>
        <v>36.182207599999998</v>
      </c>
      <c r="I41" s="13">
        <f>F41/6*G41</f>
        <v>6030.367933333333</v>
      </c>
      <c r="J41" s="23"/>
    </row>
    <row r="42" spans="1:14" ht="29.25" hidden="1" customHeight="1">
      <c r="A42" s="33">
        <v>11</v>
      </c>
      <c r="B42" s="32" t="s">
        <v>108</v>
      </c>
      <c r="C42" s="136" t="s">
        <v>102</v>
      </c>
      <c r="D42" s="32" t="s">
        <v>194</v>
      </c>
      <c r="E42" s="137">
        <v>287.83999999999997</v>
      </c>
      <c r="F42" s="154">
        <f>SUM(E42*45/1000)</f>
        <v>12.9528</v>
      </c>
      <c r="G42" s="137">
        <v>584.74</v>
      </c>
      <c r="H42" s="86">
        <f t="shared" si="4"/>
        <v>7.5740202719999994</v>
      </c>
      <c r="I42" s="13">
        <f>F42/7.5*1.5*G42</f>
        <v>1514.8040544</v>
      </c>
      <c r="J42" s="23"/>
      <c r="L42" s="19"/>
      <c r="M42" s="20"/>
      <c r="N42" s="21"/>
    </row>
    <row r="43" spans="1:14" ht="15.75" hidden="1" customHeight="1">
      <c r="A43" s="33">
        <v>12</v>
      </c>
      <c r="B43" s="152" t="s">
        <v>68</v>
      </c>
      <c r="C43" s="153" t="s">
        <v>33</v>
      </c>
      <c r="D43" s="152"/>
      <c r="E43" s="155"/>
      <c r="F43" s="154">
        <v>0.9</v>
      </c>
      <c r="G43" s="154">
        <v>800</v>
      </c>
      <c r="H43" s="86">
        <f t="shared" si="4"/>
        <v>0.72</v>
      </c>
      <c r="I43" s="13">
        <f>F43/7.5*1.5*G43</f>
        <v>144.00000000000003</v>
      </c>
      <c r="J43" s="23"/>
      <c r="L43" s="19"/>
      <c r="M43" s="20"/>
      <c r="N43" s="21"/>
    </row>
    <row r="44" spans="1:14" ht="30" customHeight="1">
      <c r="A44" s="33">
        <v>10</v>
      </c>
      <c r="B44" s="152" t="s">
        <v>171</v>
      </c>
      <c r="C44" s="153" t="s">
        <v>102</v>
      </c>
      <c r="D44" s="152" t="s">
        <v>195</v>
      </c>
      <c r="E44" s="155">
        <v>0.6</v>
      </c>
      <c r="F44" s="154">
        <v>0.01</v>
      </c>
      <c r="G44" s="154">
        <v>18798.34</v>
      </c>
      <c r="H44" s="86">
        <f t="shared" si="4"/>
        <v>0.18798340000000002</v>
      </c>
      <c r="I44" s="13">
        <f>G44*F44/6</f>
        <v>31.33056666666667</v>
      </c>
      <c r="J44" s="23"/>
      <c r="L44" s="19"/>
      <c r="M44" s="20"/>
      <c r="N44" s="21"/>
    </row>
    <row r="45" spans="1:14" ht="15.75" hidden="1" customHeight="1">
      <c r="A45" s="127">
        <v>14</v>
      </c>
      <c r="B45" s="93" t="s">
        <v>40</v>
      </c>
      <c r="C45" s="94" t="s">
        <v>111</v>
      </c>
      <c r="D45" s="93" t="s">
        <v>69</v>
      </c>
      <c r="E45" s="95">
        <v>238</v>
      </c>
      <c r="F45" s="96">
        <f>SUM(E45)*3</f>
        <v>714</v>
      </c>
      <c r="G45" s="117">
        <v>65.67</v>
      </c>
      <c r="H45" s="98">
        <f t="shared" ref="H45" si="5">SUM(F45*G45/1000)</f>
        <v>46.888380000000005</v>
      </c>
      <c r="I45" s="117">
        <f>E45*G45</f>
        <v>15629.460000000001</v>
      </c>
      <c r="J45" s="23"/>
      <c r="L45" s="19"/>
      <c r="M45" s="20"/>
      <c r="N45" s="21"/>
    </row>
    <row r="46" spans="1:14" ht="15.75" hidden="1" customHeight="1">
      <c r="A46" s="226" t="s">
        <v>136</v>
      </c>
      <c r="B46" s="229"/>
      <c r="C46" s="229"/>
      <c r="D46" s="229"/>
      <c r="E46" s="229"/>
      <c r="F46" s="229"/>
      <c r="G46" s="229"/>
      <c r="H46" s="229"/>
      <c r="I46" s="229"/>
      <c r="J46" s="131"/>
      <c r="L46" s="19"/>
      <c r="M46" s="20"/>
      <c r="N46" s="21"/>
    </row>
    <row r="47" spans="1:14" ht="31.5" hidden="1" customHeight="1">
      <c r="A47" s="40">
        <v>13</v>
      </c>
      <c r="B47" s="132" t="s">
        <v>109</v>
      </c>
      <c r="C47" s="133" t="s">
        <v>102</v>
      </c>
      <c r="D47" s="128"/>
      <c r="E47" s="129"/>
      <c r="F47" s="134">
        <v>2.6985999999999999</v>
      </c>
      <c r="G47" s="135">
        <v>1213.55</v>
      </c>
      <c r="H47" s="130"/>
      <c r="I47" s="130">
        <f>F47/2*G47</f>
        <v>1637.4430149999998</v>
      </c>
      <c r="J47" s="23"/>
      <c r="L47" s="19"/>
      <c r="M47" s="20"/>
      <c r="N47" s="21"/>
    </row>
    <row r="48" spans="1:14" ht="32.25" hidden="1" customHeight="1">
      <c r="A48" s="40">
        <v>14</v>
      </c>
      <c r="B48" s="32" t="s">
        <v>110</v>
      </c>
      <c r="C48" s="136" t="s">
        <v>37</v>
      </c>
      <c r="D48" s="99"/>
      <c r="E48" s="18"/>
      <c r="F48" s="137">
        <v>0.8</v>
      </c>
      <c r="G48" s="36">
        <v>2730.49</v>
      </c>
      <c r="H48" s="13"/>
      <c r="I48" s="13">
        <f>F48/2*G48</f>
        <v>1092.1959999999999</v>
      </c>
      <c r="J48" s="23"/>
      <c r="L48" s="19"/>
      <c r="M48" s="20"/>
      <c r="N48" s="21"/>
    </row>
    <row r="49" spans="1:22" ht="15.75" hidden="1" customHeight="1">
      <c r="A49" s="40">
        <v>15</v>
      </c>
      <c r="B49" s="32" t="s">
        <v>38</v>
      </c>
      <c r="C49" s="136" t="s">
        <v>39</v>
      </c>
      <c r="D49" s="99"/>
      <c r="E49" s="18"/>
      <c r="F49" s="137">
        <v>0.02</v>
      </c>
      <c r="G49" s="36">
        <v>5652.13</v>
      </c>
      <c r="H49" s="13"/>
      <c r="I49" s="13">
        <f>F49/2*G49</f>
        <v>56.521300000000004</v>
      </c>
      <c r="J49" s="23"/>
      <c r="L49" s="19"/>
      <c r="M49" s="20"/>
      <c r="N49" s="21"/>
    </row>
    <row r="50" spans="1:22" ht="15.75" customHeight="1">
      <c r="A50" s="226" t="s">
        <v>148</v>
      </c>
      <c r="B50" s="227"/>
      <c r="C50" s="227"/>
      <c r="D50" s="227"/>
      <c r="E50" s="227"/>
      <c r="F50" s="227"/>
      <c r="G50" s="227"/>
      <c r="H50" s="227"/>
      <c r="I50" s="228"/>
      <c r="J50" s="23"/>
      <c r="L50" s="19"/>
      <c r="M50" s="20"/>
      <c r="N50" s="21"/>
    </row>
    <row r="51" spans="1:22" ht="15.75" hidden="1" customHeight="1">
      <c r="A51" s="81"/>
      <c r="B51" s="47" t="s">
        <v>42</v>
      </c>
      <c r="C51" s="16"/>
      <c r="D51" s="15"/>
      <c r="E51" s="15"/>
      <c r="F51" s="15"/>
      <c r="G51" s="29"/>
      <c r="H51" s="29"/>
      <c r="I51" s="18"/>
      <c r="J51" s="23"/>
      <c r="L51" s="19"/>
      <c r="M51" s="20"/>
      <c r="N51" s="21"/>
    </row>
    <row r="52" spans="1:22" ht="31.5" hidden="1" customHeight="1">
      <c r="A52" s="40">
        <v>14</v>
      </c>
      <c r="B52" s="32" t="s">
        <v>112</v>
      </c>
      <c r="C52" s="136" t="s">
        <v>89</v>
      </c>
      <c r="D52" s="179">
        <v>43566</v>
      </c>
      <c r="E52" s="149">
        <v>128.5</v>
      </c>
      <c r="F52" s="137">
        <f>SUM(E52*6/100)</f>
        <v>7.71</v>
      </c>
      <c r="G52" s="36">
        <v>2110.4699999999998</v>
      </c>
      <c r="H52" s="86">
        <f>SUM(F52*G52/1000)</f>
        <v>16.271723699999999</v>
      </c>
      <c r="I52" s="13">
        <f>G52*0.434</f>
        <v>915.9439799999999</v>
      </c>
      <c r="J52" s="23"/>
      <c r="L52" s="19"/>
      <c r="M52" s="20"/>
      <c r="N52" s="21"/>
    </row>
    <row r="53" spans="1:22" ht="15.75" hidden="1" customHeight="1">
      <c r="A53" s="40">
        <v>15</v>
      </c>
      <c r="B53" s="32" t="s">
        <v>172</v>
      </c>
      <c r="C53" s="136" t="s">
        <v>89</v>
      </c>
      <c r="D53" s="32"/>
      <c r="E53" s="150">
        <v>69.5</v>
      </c>
      <c r="F53" s="151">
        <f>E53*6/100</f>
        <v>4.17</v>
      </c>
      <c r="G53" s="137">
        <v>2110.4699999999998</v>
      </c>
      <c r="H53" s="86">
        <f>F53*G53/1000</f>
        <v>8.8006598999999994</v>
      </c>
      <c r="I53" s="13">
        <f>F53/6*G53</f>
        <v>1466.7766499999998</v>
      </c>
      <c r="J53" s="23"/>
      <c r="L53" s="19"/>
      <c r="M53" s="20"/>
      <c r="N53" s="21"/>
    </row>
    <row r="54" spans="1:22" ht="15.75" hidden="1" customHeight="1">
      <c r="A54" s="40"/>
      <c r="B54" s="82" t="s">
        <v>130</v>
      </c>
      <c r="C54" s="83" t="s">
        <v>131</v>
      </c>
      <c r="D54" s="82" t="s">
        <v>41</v>
      </c>
      <c r="E54" s="91">
        <v>8</v>
      </c>
      <c r="F54" s="13">
        <v>16</v>
      </c>
      <c r="G54" s="85">
        <v>180.78</v>
      </c>
      <c r="H54" s="86">
        <f>SUM(F54*G54/1000)</f>
        <v>2.8924799999999999</v>
      </c>
      <c r="I54" s="13">
        <v>0</v>
      </c>
      <c r="J54" s="23"/>
      <c r="L54" s="19"/>
      <c r="M54" s="20"/>
      <c r="N54" s="21"/>
    </row>
    <row r="55" spans="1:22" ht="15.75" customHeight="1">
      <c r="A55" s="40"/>
      <c r="B55" s="76" t="s">
        <v>43</v>
      </c>
      <c r="C55" s="76"/>
      <c r="D55" s="76"/>
      <c r="E55" s="76"/>
      <c r="F55" s="76"/>
      <c r="G55" s="76"/>
      <c r="H55" s="76"/>
      <c r="I55" s="35"/>
      <c r="J55" s="23"/>
      <c r="L55" s="19"/>
      <c r="M55" s="20"/>
      <c r="N55" s="21"/>
    </row>
    <row r="56" spans="1:22" ht="15.75" hidden="1" customHeight="1">
      <c r="A56" s="40">
        <v>27</v>
      </c>
      <c r="B56" s="82" t="s">
        <v>141</v>
      </c>
      <c r="C56" s="83"/>
      <c r="D56" s="82" t="s">
        <v>52</v>
      </c>
      <c r="E56" s="84">
        <v>1349.3</v>
      </c>
      <c r="F56" s="86">
        <v>13.493</v>
      </c>
      <c r="G56" s="13">
        <v>793.61</v>
      </c>
      <c r="H56" s="92">
        <f>F56*G56/1000</f>
        <v>10.708179729999999</v>
      </c>
      <c r="I56" s="13">
        <v>0</v>
      </c>
      <c r="J56" s="23"/>
      <c r="L56" s="19"/>
      <c r="M56" s="20"/>
      <c r="N56" s="21"/>
    </row>
    <row r="57" spans="1:22" ht="15.75" customHeight="1">
      <c r="A57" s="40">
        <v>11</v>
      </c>
      <c r="B57" s="93" t="s">
        <v>88</v>
      </c>
      <c r="C57" s="94" t="s">
        <v>26</v>
      </c>
      <c r="D57" s="93"/>
      <c r="E57" s="95">
        <v>270</v>
      </c>
      <c r="F57" s="96">
        <f>E57*12</f>
        <v>3240</v>
      </c>
      <c r="G57" s="126">
        <v>1.4</v>
      </c>
      <c r="H57" s="98">
        <f>F57*G57</f>
        <v>4536</v>
      </c>
      <c r="I57" s="13">
        <f>2400/12*G57</f>
        <v>280</v>
      </c>
      <c r="J57" s="23"/>
      <c r="L57" s="19"/>
      <c r="M57" s="20"/>
      <c r="N57" s="21"/>
    </row>
    <row r="58" spans="1:22" ht="15.75" hidden="1" customHeight="1">
      <c r="A58" s="29">
        <v>29</v>
      </c>
      <c r="B58" s="99" t="s">
        <v>46</v>
      </c>
      <c r="C58" s="16" t="s">
        <v>111</v>
      </c>
      <c r="D58" s="99" t="s">
        <v>65</v>
      </c>
      <c r="E58" s="18">
        <v>20</v>
      </c>
      <c r="F58" s="85">
        <v>20</v>
      </c>
      <c r="G58" s="13">
        <v>76.25</v>
      </c>
      <c r="H58" s="100">
        <f t="shared" ref="H58:H64" si="6">SUM(F58*G58/1000)</f>
        <v>1.5249999999999999</v>
      </c>
      <c r="I58" s="13">
        <v>0</v>
      </c>
    </row>
    <row r="59" spans="1:22" ht="15.75" hidden="1" customHeight="1">
      <c r="A59" s="29">
        <v>8</v>
      </c>
      <c r="B59" s="99" t="s">
        <v>47</v>
      </c>
      <c r="C59" s="16" t="s">
        <v>114</v>
      </c>
      <c r="D59" s="99" t="s">
        <v>52</v>
      </c>
      <c r="E59" s="84">
        <v>18890</v>
      </c>
      <c r="F59" s="13">
        <f>SUM(E59/100)</f>
        <v>188.9</v>
      </c>
      <c r="G59" s="13">
        <v>212.15</v>
      </c>
      <c r="H59" s="100">
        <f t="shared" si="6"/>
        <v>40.075135000000003</v>
      </c>
      <c r="I59" s="13">
        <v>0</v>
      </c>
    </row>
    <row r="60" spans="1:22" ht="15.75" hidden="1" customHeight="1">
      <c r="A60" s="29">
        <v>9</v>
      </c>
      <c r="B60" s="99" t="s">
        <v>48</v>
      </c>
      <c r="C60" s="16" t="s">
        <v>115</v>
      </c>
      <c r="D60" s="99"/>
      <c r="E60" s="84">
        <v>18890</v>
      </c>
      <c r="F60" s="13">
        <f>SUM(E60/1000)</f>
        <v>18.89</v>
      </c>
      <c r="G60" s="13">
        <v>165.21</v>
      </c>
      <c r="H60" s="100">
        <f t="shared" si="6"/>
        <v>3.1208169000000003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10</v>
      </c>
      <c r="B61" s="99" t="s">
        <v>49</v>
      </c>
      <c r="C61" s="16" t="s">
        <v>75</v>
      </c>
      <c r="D61" s="99" t="s">
        <v>52</v>
      </c>
      <c r="E61" s="84">
        <v>3004</v>
      </c>
      <c r="F61" s="13">
        <f>SUM(E61/100)</f>
        <v>30.04</v>
      </c>
      <c r="G61" s="13">
        <v>2074.63</v>
      </c>
      <c r="H61" s="100">
        <f t="shared" si="6"/>
        <v>62.321885200000004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>
        <v>11</v>
      </c>
      <c r="B62" s="101" t="s">
        <v>116</v>
      </c>
      <c r="C62" s="16" t="s">
        <v>33</v>
      </c>
      <c r="D62" s="99"/>
      <c r="E62" s="84">
        <v>15.8</v>
      </c>
      <c r="F62" s="13">
        <f>SUM(E62)</f>
        <v>15.8</v>
      </c>
      <c r="G62" s="13">
        <v>42.67</v>
      </c>
      <c r="H62" s="100">
        <f t="shared" si="6"/>
        <v>0.67418600000000006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" hidden="1" customHeight="1">
      <c r="A63" s="29">
        <v>12</v>
      </c>
      <c r="B63" s="101" t="s">
        <v>117</v>
      </c>
      <c r="C63" s="16" t="s">
        <v>33</v>
      </c>
      <c r="D63" s="99"/>
      <c r="E63" s="84">
        <v>15.8</v>
      </c>
      <c r="F63" s="13">
        <f>SUM(E63)</f>
        <v>15.8</v>
      </c>
      <c r="G63" s="13">
        <v>39.81</v>
      </c>
      <c r="H63" s="100">
        <f t="shared" si="6"/>
        <v>0.62899800000000006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201"/>
      <c r="S63" s="201"/>
      <c r="T63" s="201"/>
      <c r="U63" s="201"/>
    </row>
    <row r="64" spans="1:22" ht="15.75" hidden="1" customHeight="1">
      <c r="A64" s="29">
        <v>13</v>
      </c>
      <c r="B64" s="99" t="s">
        <v>55</v>
      </c>
      <c r="C64" s="16" t="s">
        <v>56</v>
      </c>
      <c r="D64" s="99" t="s">
        <v>52</v>
      </c>
      <c r="E64" s="18">
        <v>15</v>
      </c>
      <c r="F64" s="85">
        <v>15</v>
      </c>
      <c r="G64" s="13">
        <v>49.88</v>
      </c>
      <c r="H64" s="100">
        <f t="shared" si="6"/>
        <v>0.74820000000000009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5.75" customHeight="1">
      <c r="A65" s="29"/>
      <c r="B65" s="159" t="s">
        <v>173</v>
      </c>
      <c r="C65" s="38"/>
      <c r="D65" s="37"/>
      <c r="E65" s="17"/>
      <c r="F65" s="115"/>
      <c r="G65" s="36"/>
      <c r="H65" s="100"/>
      <c r="I65" s="13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29.25" customHeight="1">
      <c r="A66" s="29">
        <v>12</v>
      </c>
      <c r="B66" s="37" t="s">
        <v>174</v>
      </c>
      <c r="C66" s="40" t="s">
        <v>175</v>
      </c>
      <c r="D66" s="37"/>
      <c r="E66" s="17">
        <v>5162.6000000000004</v>
      </c>
      <c r="F66" s="36">
        <f>E66*12</f>
        <v>61951.200000000004</v>
      </c>
      <c r="G66" s="36">
        <v>2.37</v>
      </c>
      <c r="H66" s="100"/>
      <c r="I66" s="13">
        <f>G66*F66/12</f>
        <v>12235.362000000001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6.5" hidden="1" customHeight="1">
      <c r="A67" s="81"/>
      <c r="B67" s="76" t="s">
        <v>118</v>
      </c>
      <c r="C67" s="76"/>
      <c r="D67" s="76"/>
      <c r="E67" s="76"/>
      <c r="F67" s="76"/>
      <c r="G67" s="76"/>
      <c r="H67" s="76"/>
      <c r="I67" s="18"/>
    </row>
    <row r="68" spans="1:21" ht="13.5" hidden="1" customHeight="1">
      <c r="A68" s="29">
        <v>19</v>
      </c>
      <c r="B68" s="82" t="s">
        <v>119</v>
      </c>
      <c r="C68" s="16"/>
      <c r="D68" s="99"/>
      <c r="E68" s="77"/>
      <c r="F68" s="13">
        <v>1</v>
      </c>
      <c r="G68" s="13">
        <v>27865.200000000001</v>
      </c>
      <c r="H68" s="100">
        <f>G68*F68/1000</f>
        <v>27.865200000000002</v>
      </c>
      <c r="I68" s="13">
        <v>0</v>
      </c>
    </row>
    <row r="69" spans="1:21" ht="16.5" hidden="1" customHeight="1">
      <c r="A69" s="29"/>
      <c r="B69" s="48" t="s">
        <v>70</v>
      </c>
      <c r="C69" s="48"/>
      <c r="D69" s="48"/>
      <c r="E69" s="18"/>
      <c r="F69" s="18"/>
      <c r="G69" s="29"/>
      <c r="H69" s="29"/>
      <c r="I69" s="18"/>
    </row>
    <row r="70" spans="1:21" ht="16.5" hidden="1" customHeight="1">
      <c r="A70" s="29">
        <v>18</v>
      </c>
      <c r="B70" s="99" t="s">
        <v>71</v>
      </c>
      <c r="C70" s="16" t="s">
        <v>73</v>
      </c>
      <c r="D70" s="99"/>
      <c r="E70" s="18">
        <v>10</v>
      </c>
      <c r="F70" s="13">
        <v>1</v>
      </c>
      <c r="G70" s="13">
        <v>501.62</v>
      </c>
      <c r="H70" s="100">
        <f t="shared" ref="H70:H74" si="7">SUM(F70*G70/1000)</f>
        <v>0.50161999999999995</v>
      </c>
      <c r="I70" s="13">
        <f>G70*0.1</f>
        <v>50.162000000000006</v>
      </c>
    </row>
    <row r="71" spans="1:21" ht="27.75" hidden="1" customHeight="1">
      <c r="A71" s="29"/>
      <c r="B71" s="99" t="s">
        <v>132</v>
      </c>
      <c r="C71" s="16" t="s">
        <v>31</v>
      </c>
      <c r="D71" s="99"/>
      <c r="E71" s="18">
        <v>1</v>
      </c>
      <c r="F71" s="13">
        <v>1</v>
      </c>
      <c r="G71" s="13">
        <v>99.85</v>
      </c>
      <c r="H71" s="100">
        <f>F71*G71/1000</f>
        <v>9.9849999999999994E-2</v>
      </c>
      <c r="I71" s="13">
        <v>0</v>
      </c>
    </row>
    <row r="72" spans="1:21" ht="20.25" hidden="1" customHeight="1">
      <c r="A72" s="29"/>
      <c r="B72" s="99" t="s">
        <v>133</v>
      </c>
      <c r="C72" s="16" t="s">
        <v>31</v>
      </c>
      <c r="D72" s="99"/>
      <c r="E72" s="18">
        <v>1</v>
      </c>
      <c r="F72" s="13">
        <v>1</v>
      </c>
      <c r="G72" s="13">
        <v>120.26</v>
      </c>
      <c r="H72" s="100">
        <f>F72*G72/1000</f>
        <v>0.12026000000000001</v>
      </c>
      <c r="I72" s="13">
        <v>0</v>
      </c>
    </row>
    <row r="73" spans="1:21" ht="24.75" hidden="1" customHeight="1">
      <c r="A73" s="29">
        <v>19</v>
      </c>
      <c r="B73" s="99" t="s">
        <v>72</v>
      </c>
      <c r="C73" s="16" t="s">
        <v>31</v>
      </c>
      <c r="D73" s="99"/>
      <c r="E73" s="18">
        <v>2</v>
      </c>
      <c r="F73" s="97">
        <v>2</v>
      </c>
      <c r="G73" s="13">
        <v>852.99</v>
      </c>
      <c r="H73" s="100">
        <f>F73*G73/1000</f>
        <v>1.7059800000000001</v>
      </c>
      <c r="I73" s="13">
        <f>G73</f>
        <v>852.99</v>
      </c>
    </row>
    <row r="74" spans="1:21" ht="25.5" hidden="1" customHeight="1">
      <c r="A74" s="29">
        <v>17</v>
      </c>
      <c r="B74" s="99" t="s">
        <v>83</v>
      </c>
      <c r="C74" s="16" t="s">
        <v>111</v>
      </c>
      <c r="D74" s="99"/>
      <c r="E74" s="18">
        <v>1</v>
      </c>
      <c r="F74" s="85">
        <f>SUM(E74)</f>
        <v>1</v>
      </c>
      <c r="G74" s="13">
        <v>358.51</v>
      </c>
      <c r="H74" s="100">
        <f t="shared" si="7"/>
        <v>0.35851</v>
      </c>
      <c r="I74" s="13">
        <v>0</v>
      </c>
    </row>
    <row r="75" spans="1:21" ht="20.25" hidden="1" customHeight="1">
      <c r="A75" s="29"/>
      <c r="B75" s="49" t="s">
        <v>74</v>
      </c>
      <c r="C75" s="38"/>
      <c r="D75" s="29"/>
      <c r="E75" s="18"/>
      <c r="F75" s="18"/>
      <c r="G75" s="36"/>
      <c r="H75" s="36"/>
      <c r="I75" s="18"/>
    </row>
    <row r="76" spans="1:21" ht="20.25" hidden="1" customHeight="1">
      <c r="A76" s="29">
        <v>39</v>
      </c>
      <c r="B76" s="51" t="s">
        <v>120</v>
      </c>
      <c r="C76" s="16" t="s">
        <v>75</v>
      </c>
      <c r="D76" s="99"/>
      <c r="E76" s="18"/>
      <c r="F76" s="13">
        <v>1.35</v>
      </c>
      <c r="G76" s="13">
        <v>2759.44</v>
      </c>
      <c r="H76" s="100">
        <f t="shared" ref="H76" si="8">SUM(F76*G76/1000)</f>
        <v>3.725244</v>
      </c>
      <c r="I76" s="13">
        <v>0</v>
      </c>
    </row>
    <row r="77" spans="1:21" ht="16.5" customHeight="1">
      <c r="A77" s="125"/>
      <c r="B77" s="122" t="s">
        <v>70</v>
      </c>
      <c r="C77" s="118"/>
      <c r="D77" s="119"/>
      <c r="E77" s="119"/>
      <c r="F77" s="119"/>
      <c r="G77" s="120"/>
      <c r="H77" s="120"/>
      <c r="I77" s="121"/>
    </row>
    <row r="78" spans="1:21" ht="18" hidden="1" customHeight="1">
      <c r="A78" s="125">
        <v>19</v>
      </c>
      <c r="B78" s="37" t="s">
        <v>71</v>
      </c>
      <c r="C78" s="123" t="s">
        <v>73</v>
      </c>
      <c r="D78" s="15"/>
      <c r="E78" s="15"/>
      <c r="F78" s="15"/>
      <c r="G78" s="124">
        <v>501.62</v>
      </c>
      <c r="H78" s="18"/>
      <c r="I78" s="18">
        <f>G78*0.2</f>
        <v>100.32400000000001</v>
      </c>
    </row>
    <row r="79" spans="1:21" ht="30" customHeight="1">
      <c r="A79" s="125">
        <v>13</v>
      </c>
      <c r="B79" s="37" t="s">
        <v>176</v>
      </c>
      <c r="C79" s="38" t="s">
        <v>111</v>
      </c>
      <c r="D79" s="37" t="s">
        <v>190</v>
      </c>
      <c r="E79" s="17">
        <v>1</v>
      </c>
      <c r="F79" s="36">
        <f>E79*12</f>
        <v>12</v>
      </c>
      <c r="G79" s="36">
        <v>55.55</v>
      </c>
      <c r="H79" s="13"/>
      <c r="I79" s="13">
        <f>G79*1</f>
        <v>55.55</v>
      </c>
    </row>
    <row r="80" spans="1:21" ht="15.75" customHeight="1">
      <c r="A80" s="210" t="s">
        <v>149</v>
      </c>
      <c r="B80" s="211"/>
      <c r="C80" s="211"/>
      <c r="D80" s="211"/>
      <c r="E80" s="211"/>
      <c r="F80" s="211"/>
      <c r="G80" s="211"/>
      <c r="H80" s="211"/>
      <c r="I80" s="212"/>
    </row>
    <row r="81" spans="1:9" ht="15.75" customHeight="1">
      <c r="A81" s="29">
        <v>14</v>
      </c>
      <c r="B81" s="32" t="s">
        <v>121</v>
      </c>
      <c r="C81" s="38" t="s">
        <v>53</v>
      </c>
      <c r="D81" s="63"/>
      <c r="E81" s="36">
        <v>5162.6000000000004</v>
      </c>
      <c r="F81" s="36">
        <f>SUM(E81*12)</f>
        <v>61951.200000000004</v>
      </c>
      <c r="G81" s="36">
        <v>3.22</v>
      </c>
      <c r="H81" s="102">
        <f>SUM(F81*G81/1000)</f>
        <v>199.48286400000003</v>
      </c>
      <c r="I81" s="13">
        <f>F81/12*G81</f>
        <v>16623.572000000004</v>
      </c>
    </row>
    <row r="82" spans="1:9" ht="31.5" customHeight="1">
      <c r="A82" s="29">
        <v>15</v>
      </c>
      <c r="B82" s="37" t="s">
        <v>177</v>
      </c>
      <c r="C82" s="112" t="s">
        <v>178</v>
      </c>
      <c r="D82" s="37"/>
      <c r="E82" s="17">
        <v>5162.6000000000004</v>
      </c>
      <c r="F82" s="36">
        <f>E82*12</f>
        <v>61951.200000000004</v>
      </c>
      <c r="G82" s="36">
        <v>3.64</v>
      </c>
      <c r="H82" s="100">
        <f>F82*G82/1000</f>
        <v>225.50236800000002</v>
      </c>
      <c r="I82" s="13">
        <f>F82/12*G82</f>
        <v>18791.864000000001</v>
      </c>
    </row>
    <row r="83" spans="1:9" ht="15.75" customHeight="1">
      <c r="A83" s="81"/>
      <c r="B83" s="39" t="s">
        <v>78</v>
      </c>
      <c r="C83" s="40"/>
      <c r="D83" s="15"/>
      <c r="E83" s="15"/>
      <c r="F83" s="15"/>
      <c r="G83" s="18"/>
      <c r="H83" s="18"/>
      <c r="I83" s="31">
        <f>I82+I81+I79+I66+I57+I44+I41+I39+I38+I27+I21+I20+I18+I17+I16</f>
        <v>82311.327593333321</v>
      </c>
    </row>
    <row r="84" spans="1:9" ht="15.75" customHeight="1">
      <c r="A84" s="213" t="s">
        <v>58</v>
      </c>
      <c r="B84" s="214"/>
      <c r="C84" s="214"/>
      <c r="D84" s="214"/>
      <c r="E84" s="214"/>
      <c r="F84" s="214"/>
      <c r="G84" s="214"/>
      <c r="H84" s="214"/>
      <c r="I84" s="215"/>
    </row>
    <row r="85" spans="1:9" ht="15.75" customHeight="1">
      <c r="A85" s="41">
        <v>16</v>
      </c>
      <c r="B85" s="66" t="s">
        <v>228</v>
      </c>
      <c r="C85" s="67" t="s">
        <v>164</v>
      </c>
      <c r="D85" s="64" t="s">
        <v>334</v>
      </c>
      <c r="E85" s="36"/>
      <c r="F85" s="36">
        <v>6</v>
      </c>
      <c r="G85" s="36">
        <v>284</v>
      </c>
      <c r="H85" s="47"/>
      <c r="I85" s="194">
        <v>0</v>
      </c>
    </row>
    <row r="86" spans="1:9" ht="15.75" customHeight="1">
      <c r="A86" s="41">
        <v>17</v>
      </c>
      <c r="B86" s="66" t="s">
        <v>229</v>
      </c>
      <c r="C86" s="67" t="s">
        <v>230</v>
      </c>
      <c r="D86" s="64"/>
      <c r="E86" s="36"/>
      <c r="F86" s="36">
        <v>1</v>
      </c>
      <c r="G86" s="36">
        <v>227</v>
      </c>
      <c r="H86" s="47"/>
      <c r="I86" s="194">
        <f>G86*1</f>
        <v>227</v>
      </c>
    </row>
    <row r="87" spans="1:9" ht="15.75" customHeight="1">
      <c r="A87" s="41">
        <v>18</v>
      </c>
      <c r="B87" s="66" t="s">
        <v>142</v>
      </c>
      <c r="C87" s="67" t="s">
        <v>80</v>
      </c>
      <c r="D87" s="64" t="s">
        <v>231</v>
      </c>
      <c r="E87" s="36"/>
      <c r="F87" s="36">
        <v>3</v>
      </c>
      <c r="G87" s="36">
        <v>222.63</v>
      </c>
      <c r="H87" s="47"/>
      <c r="I87" s="194">
        <f>G87*1</f>
        <v>222.63</v>
      </c>
    </row>
    <row r="88" spans="1:9" ht="29.25" customHeight="1">
      <c r="A88" s="29">
        <v>19</v>
      </c>
      <c r="B88" s="66" t="s">
        <v>232</v>
      </c>
      <c r="C88" s="67" t="s">
        <v>111</v>
      </c>
      <c r="D88" s="64" t="s">
        <v>233</v>
      </c>
      <c r="E88" s="36"/>
      <c r="F88" s="36">
        <v>1</v>
      </c>
      <c r="G88" s="36">
        <v>945.36</v>
      </c>
      <c r="H88" s="47"/>
      <c r="I88" s="195">
        <f>G88*1</f>
        <v>945.36</v>
      </c>
    </row>
    <row r="89" spans="1:9" ht="15" customHeight="1">
      <c r="A89" s="29">
        <v>20</v>
      </c>
      <c r="B89" s="158" t="s">
        <v>234</v>
      </c>
      <c r="C89" s="103" t="s">
        <v>73</v>
      </c>
      <c r="D89" s="64" t="s">
        <v>235</v>
      </c>
      <c r="E89" s="36"/>
      <c r="F89" s="36">
        <v>0.1</v>
      </c>
      <c r="G89" s="36">
        <v>5529.95</v>
      </c>
      <c r="H89" s="47"/>
      <c r="I89" s="195">
        <f>G89*0.1</f>
        <v>552.995</v>
      </c>
    </row>
    <row r="90" spans="1:9" ht="15.75" customHeight="1">
      <c r="A90" s="29">
        <v>21</v>
      </c>
      <c r="B90" s="158" t="s">
        <v>179</v>
      </c>
      <c r="C90" s="67" t="s">
        <v>111</v>
      </c>
      <c r="D90" s="64" t="s">
        <v>236</v>
      </c>
      <c r="E90" s="36"/>
      <c r="F90" s="36">
        <v>1</v>
      </c>
      <c r="G90" s="36">
        <v>215.61</v>
      </c>
      <c r="H90" s="47"/>
      <c r="I90" s="195">
        <f>G90*1</f>
        <v>215.61</v>
      </c>
    </row>
    <row r="91" spans="1:9" ht="15.75" customHeight="1">
      <c r="A91" s="29">
        <v>22</v>
      </c>
      <c r="B91" s="66" t="s">
        <v>237</v>
      </c>
      <c r="C91" s="67" t="s">
        <v>238</v>
      </c>
      <c r="D91" s="64" t="s">
        <v>239</v>
      </c>
      <c r="E91" s="36"/>
      <c r="F91" s="36">
        <v>0.02</v>
      </c>
      <c r="G91" s="36">
        <v>25613.63</v>
      </c>
      <c r="H91" s="47"/>
      <c r="I91" s="195">
        <f>G91*0.02</f>
        <v>512.27260000000001</v>
      </c>
    </row>
    <row r="92" spans="1:9" ht="15.75" customHeight="1">
      <c r="A92" s="29"/>
      <c r="B92" s="45" t="s">
        <v>50</v>
      </c>
      <c r="C92" s="41"/>
      <c r="D92" s="53"/>
      <c r="E92" s="41">
        <v>1</v>
      </c>
      <c r="F92" s="41"/>
      <c r="G92" s="41"/>
      <c r="H92" s="41"/>
      <c r="I92" s="31">
        <f>SUM(I85:I91)</f>
        <v>2675.8676000000005</v>
      </c>
    </row>
    <row r="93" spans="1:9" ht="15.75" customHeight="1">
      <c r="A93" s="29"/>
      <c r="B93" s="51" t="s">
        <v>76</v>
      </c>
      <c r="C93" s="15"/>
      <c r="D93" s="15"/>
      <c r="E93" s="42"/>
      <c r="F93" s="42"/>
      <c r="G93" s="43"/>
      <c r="H93" s="43"/>
      <c r="I93" s="17">
        <v>0</v>
      </c>
    </row>
    <row r="94" spans="1:9" ht="15.75" customHeight="1">
      <c r="A94" s="54"/>
      <c r="B94" s="46" t="s">
        <v>143</v>
      </c>
      <c r="C94" s="34"/>
      <c r="D94" s="34"/>
      <c r="E94" s="34"/>
      <c r="F94" s="34"/>
      <c r="G94" s="34"/>
      <c r="H94" s="34"/>
      <c r="I94" s="44">
        <f>I83+I92</f>
        <v>84987.195193333318</v>
      </c>
    </row>
    <row r="95" spans="1:9" ht="15.75">
      <c r="A95" s="207" t="s">
        <v>335</v>
      </c>
      <c r="B95" s="207"/>
      <c r="C95" s="207"/>
      <c r="D95" s="207"/>
      <c r="E95" s="207"/>
      <c r="F95" s="207"/>
      <c r="G95" s="207"/>
      <c r="H95" s="207"/>
      <c r="I95" s="207"/>
    </row>
    <row r="96" spans="1:9" ht="15.75">
      <c r="A96" s="61"/>
      <c r="B96" s="208" t="s">
        <v>336</v>
      </c>
      <c r="C96" s="208"/>
      <c r="D96" s="208"/>
      <c r="E96" s="208"/>
      <c r="F96" s="208"/>
      <c r="G96" s="208"/>
      <c r="H96" s="80"/>
      <c r="I96" s="3"/>
    </row>
    <row r="97" spans="1:9">
      <c r="A97" s="74"/>
      <c r="B97" s="206" t="s">
        <v>6</v>
      </c>
      <c r="C97" s="206"/>
      <c r="D97" s="206"/>
      <c r="E97" s="206"/>
      <c r="F97" s="206"/>
      <c r="G97" s="206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209" t="s">
        <v>7</v>
      </c>
      <c r="B99" s="209"/>
      <c r="C99" s="209"/>
      <c r="D99" s="209"/>
      <c r="E99" s="209"/>
      <c r="F99" s="209"/>
      <c r="G99" s="209"/>
      <c r="H99" s="209"/>
      <c r="I99" s="209"/>
    </row>
    <row r="100" spans="1:9" ht="15.75">
      <c r="A100" s="209" t="s">
        <v>8</v>
      </c>
      <c r="B100" s="209"/>
      <c r="C100" s="209"/>
      <c r="D100" s="209"/>
      <c r="E100" s="209"/>
      <c r="F100" s="209"/>
      <c r="G100" s="209"/>
      <c r="H100" s="209"/>
      <c r="I100" s="209"/>
    </row>
    <row r="101" spans="1:9" ht="15.75">
      <c r="A101" s="203" t="s">
        <v>59</v>
      </c>
      <c r="B101" s="203"/>
      <c r="C101" s="203"/>
      <c r="D101" s="203"/>
      <c r="E101" s="203"/>
      <c r="F101" s="203"/>
      <c r="G101" s="203"/>
      <c r="H101" s="203"/>
      <c r="I101" s="203"/>
    </row>
    <row r="102" spans="1:9" ht="15.75">
      <c r="A102" s="11"/>
    </row>
    <row r="103" spans="1:9" ht="15.75">
      <c r="A103" s="204" t="s">
        <v>9</v>
      </c>
      <c r="B103" s="204"/>
      <c r="C103" s="204"/>
      <c r="D103" s="204"/>
      <c r="E103" s="204"/>
      <c r="F103" s="204"/>
      <c r="G103" s="204"/>
      <c r="H103" s="204"/>
      <c r="I103" s="204"/>
    </row>
    <row r="104" spans="1:9" ht="15.75">
      <c r="A104" s="4"/>
    </row>
    <row r="105" spans="1:9" ht="15.75">
      <c r="B105" s="72" t="s">
        <v>10</v>
      </c>
      <c r="C105" s="205" t="s">
        <v>84</v>
      </c>
      <c r="D105" s="205"/>
      <c r="E105" s="205"/>
      <c r="F105" s="78"/>
      <c r="I105" s="73"/>
    </row>
    <row r="106" spans="1:9">
      <c r="A106" s="74"/>
      <c r="C106" s="206" t="s">
        <v>11</v>
      </c>
      <c r="D106" s="206"/>
      <c r="E106" s="206"/>
      <c r="F106" s="24"/>
      <c r="I106" s="71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72" t="s">
        <v>13</v>
      </c>
      <c r="C108" s="200"/>
      <c r="D108" s="200"/>
      <c r="E108" s="200"/>
      <c r="F108" s="79"/>
      <c r="I108" s="73"/>
    </row>
    <row r="109" spans="1:9">
      <c r="A109" s="74"/>
      <c r="C109" s="201" t="s">
        <v>11</v>
      </c>
      <c r="D109" s="201"/>
      <c r="E109" s="201"/>
      <c r="F109" s="74"/>
      <c r="I109" s="71" t="s">
        <v>12</v>
      </c>
    </row>
    <row r="110" spans="1:9" ht="15.75">
      <c r="A110" s="4" t="s">
        <v>14</v>
      </c>
    </row>
    <row r="111" spans="1:9">
      <c r="A111" s="202" t="s">
        <v>15</v>
      </c>
      <c r="B111" s="202"/>
      <c r="C111" s="202"/>
      <c r="D111" s="202"/>
      <c r="E111" s="202"/>
      <c r="F111" s="202"/>
      <c r="G111" s="202"/>
      <c r="H111" s="202"/>
      <c r="I111" s="202"/>
    </row>
    <row r="112" spans="1:9" ht="45" customHeight="1">
      <c r="A112" s="199" t="s">
        <v>16</v>
      </c>
      <c r="B112" s="199"/>
      <c r="C112" s="199"/>
      <c r="D112" s="199"/>
      <c r="E112" s="199"/>
      <c r="F112" s="199"/>
      <c r="G112" s="199"/>
      <c r="H112" s="199"/>
      <c r="I112" s="199"/>
    </row>
    <row r="113" spans="1:9" ht="30" customHeight="1">
      <c r="A113" s="199" t="s">
        <v>17</v>
      </c>
      <c r="B113" s="199"/>
      <c r="C113" s="199"/>
      <c r="D113" s="199"/>
      <c r="E113" s="199"/>
      <c r="F113" s="199"/>
      <c r="G113" s="199"/>
      <c r="H113" s="199"/>
      <c r="I113" s="199"/>
    </row>
    <row r="114" spans="1:9" ht="30" customHeight="1">
      <c r="A114" s="199" t="s">
        <v>21</v>
      </c>
      <c r="B114" s="199"/>
      <c r="C114" s="199"/>
      <c r="D114" s="199"/>
      <c r="E114" s="199"/>
      <c r="F114" s="199"/>
      <c r="G114" s="199"/>
      <c r="H114" s="199"/>
      <c r="I114" s="199"/>
    </row>
    <row r="115" spans="1:9" ht="15" customHeight="1">
      <c r="A115" s="199" t="s">
        <v>20</v>
      </c>
      <c r="B115" s="199"/>
      <c r="C115" s="199"/>
      <c r="D115" s="199"/>
      <c r="E115" s="199"/>
      <c r="F115" s="199"/>
      <c r="G115" s="199"/>
      <c r="H115" s="199"/>
      <c r="I115" s="199"/>
    </row>
  </sheetData>
  <autoFilter ref="I12:I58"/>
  <mergeCells count="29">
    <mergeCell ref="A14:I14"/>
    <mergeCell ref="A15:I15"/>
    <mergeCell ref="A28:I28"/>
    <mergeCell ref="A50:I50"/>
    <mergeCell ref="A3:I3"/>
    <mergeCell ref="A4:I4"/>
    <mergeCell ref="A5:I5"/>
    <mergeCell ref="A8:I8"/>
    <mergeCell ref="A10:I10"/>
    <mergeCell ref="A46:I46"/>
    <mergeCell ref="R63:U63"/>
    <mergeCell ref="C109:E109"/>
    <mergeCell ref="A84:I84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0:I80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8"/>
  <sheetViews>
    <sheetView view="pageBreakPreview" topLeftCell="A84" zoomScale="60" workbookViewId="0">
      <selection activeCell="I91" sqref="I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153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240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43982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181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189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F18/18*G18*2</f>
        <v>8937.5623199999991</v>
      </c>
      <c r="J18" s="22"/>
      <c r="K18" s="8"/>
      <c r="L18" s="8"/>
      <c r="M18" s="8"/>
    </row>
    <row r="19" spans="1:13" ht="15.75" hidden="1" customHeight="1">
      <c r="A19" s="29">
        <v>4</v>
      </c>
      <c r="B19" s="32" t="s">
        <v>90</v>
      </c>
      <c r="C19" s="136" t="s">
        <v>91</v>
      </c>
      <c r="D19" s="32" t="s">
        <v>92</v>
      </c>
      <c r="E19" s="149">
        <v>124.8</v>
      </c>
      <c r="F19" s="137">
        <f>SUM(E19/10)</f>
        <v>12.48</v>
      </c>
      <c r="G19" s="137">
        <v>232.1</v>
      </c>
      <c r="H19" s="86">
        <f t="shared" si="0"/>
        <v>2.8966080000000001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6" t="s">
        <v>89</v>
      </c>
      <c r="D20" s="32" t="s">
        <v>190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G20*F20/12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96</v>
      </c>
      <c r="C21" s="136" t="s">
        <v>89</v>
      </c>
      <c r="D21" s="32" t="s">
        <v>190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G21*F21/12</f>
        <v>39.529997999999999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32" t="s">
        <v>97</v>
      </c>
      <c r="C22" s="136" t="s">
        <v>51</v>
      </c>
      <c r="D22" s="32" t="s">
        <v>92</v>
      </c>
      <c r="E22" s="149">
        <v>820.5</v>
      </c>
      <c r="F22" s="137">
        <f>SUM(E22/100)</f>
        <v>8.2050000000000001</v>
      </c>
      <c r="G22" s="137">
        <v>367.27</v>
      </c>
      <c r="H22" s="86">
        <f t="shared" si="0"/>
        <v>3.0134503500000003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32" t="s">
        <v>98</v>
      </c>
      <c r="C23" s="136" t="s">
        <v>51</v>
      </c>
      <c r="D23" s="32" t="s">
        <v>92</v>
      </c>
      <c r="E23" s="156">
        <v>60.25</v>
      </c>
      <c r="F23" s="137">
        <f>SUM(E23/100)</f>
        <v>0.60250000000000004</v>
      </c>
      <c r="G23" s="137">
        <v>60.41</v>
      </c>
      <c r="H23" s="86">
        <f t="shared" si="0"/>
        <v>3.6397025E-2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32" t="s">
        <v>93</v>
      </c>
      <c r="C24" s="136" t="s">
        <v>51</v>
      </c>
      <c r="D24" s="32" t="s">
        <v>94</v>
      </c>
      <c r="E24" s="149">
        <v>19.149999999999999</v>
      </c>
      <c r="F24" s="137">
        <f>E24/100</f>
        <v>0.19149999999999998</v>
      </c>
      <c r="G24" s="137">
        <v>531.55999999999995</v>
      </c>
      <c r="H24" s="86">
        <f t="shared" si="0"/>
        <v>0.10179373999999997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32" t="s">
        <v>100</v>
      </c>
      <c r="C25" s="136" t="s">
        <v>51</v>
      </c>
      <c r="D25" s="32" t="s">
        <v>52</v>
      </c>
      <c r="E25" s="149">
        <v>31.5</v>
      </c>
      <c r="F25" s="137">
        <v>0.32</v>
      </c>
      <c r="G25" s="137">
        <v>294.77999999999997</v>
      </c>
      <c r="H25" s="86">
        <f t="shared" si="0"/>
        <v>9.43296E-2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32" t="s">
        <v>99</v>
      </c>
      <c r="C26" s="136" t="s">
        <v>51</v>
      </c>
      <c r="D26" s="32" t="s">
        <v>92</v>
      </c>
      <c r="E26" s="149">
        <v>37.5</v>
      </c>
      <c r="F26" s="137">
        <f>SUM(E26/100)</f>
        <v>0.375</v>
      </c>
      <c r="G26" s="137">
        <v>710.37</v>
      </c>
      <c r="H26" s="86">
        <f t="shared" si="0"/>
        <v>0.26638875000000001</v>
      </c>
      <c r="I26" s="13">
        <v>0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ref="H27" si="1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2" t="s">
        <v>81</v>
      </c>
      <c r="B28" s="222"/>
      <c r="C28" s="222"/>
      <c r="D28" s="222"/>
      <c r="E28" s="222"/>
      <c r="F28" s="222"/>
      <c r="G28" s="222"/>
      <c r="H28" s="222"/>
      <c r="I28" s="222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7</v>
      </c>
      <c r="B30" s="32" t="s">
        <v>101</v>
      </c>
      <c r="C30" s="136" t="s">
        <v>102</v>
      </c>
      <c r="D30" s="32" t="s">
        <v>188</v>
      </c>
      <c r="E30" s="137">
        <v>1304.45</v>
      </c>
      <c r="F30" s="137">
        <f>SUM(E30*52/1000)</f>
        <v>67.831400000000002</v>
      </c>
      <c r="G30" s="137">
        <v>212.62</v>
      </c>
      <c r="H30" s="86">
        <f t="shared" ref="H30:H34" si="2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8</v>
      </c>
      <c r="B31" s="32" t="s">
        <v>139</v>
      </c>
      <c r="C31" s="136" t="s">
        <v>102</v>
      </c>
      <c r="D31" s="32" t="s">
        <v>188</v>
      </c>
      <c r="E31" s="137">
        <v>287.83999999999997</v>
      </c>
      <c r="F31" s="137">
        <f>SUM(E31*52/1000)</f>
        <v>14.967679999999998</v>
      </c>
      <c r="G31" s="137">
        <v>352.77</v>
      </c>
      <c r="H31" s="86">
        <f t="shared" si="2"/>
        <v>5.2801484735999997</v>
      </c>
      <c r="I31" s="13">
        <f t="shared" ref="I31" si="3">F31/6*G31</f>
        <v>880.02474559999985</v>
      </c>
      <c r="J31" s="22"/>
      <c r="K31" s="8"/>
      <c r="L31" s="8"/>
      <c r="M31" s="8"/>
    </row>
    <row r="32" spans="1:13" ht="15.75" customHeight="1">
      <c r="A32" s="40">
        <v>9</v>
      </c>
      <c r="B32" s="32" t="s">
        <v>28</v>
      </c>
      <c r="C32" s="136" t="s">
        <v>102</v>
      </c>
      <c r="D32" s="32" t="s">
        <v>190</v>
      </c>
      <c r="E32" s="137">
        <v>1304.45</v>
      </c>
      <c r="F32" s="137">
        <f>SUM(E32/1000)</f>
        <v>1.3044500000000001</v>
      </c>
      <c r="G32" s="137">
        <v>4119.68</v>
      </c>
      <c r="H32" s="86">
        <f t="shared" si="2"/>
        <v>5.3739165760000009</v>
      </c>
      <c r="I32" s="13">
        <f>F32*G32</f>
        <v>5373.9165760000005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63</v>
      </c>
      <c r="C33" s="83" t="s">
        <v>33</v>
      </c>
      <c r="D33" s="82" t="s">
        <v>65</v>
      </c>
      <c r="E33" s="84"/>
      <c r="F33" s="85">
        <v>3</v>
      </c>
      <c r="G33" s="85">
        <v>191.32</v>
      </c>
      <c r="H33" s="86">
        <f t="shared" si="2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82" t="s">
        <v>64</v>
      </c>
      <c r="C34" s="83" t="s">
        <v>32</v>
      </c>
      <c r="D34" s="82" t="s">
        <v>65</v>
      </c>
      <c r="E34" s="84"/>
      <c r="F34" s="85">
        <v>2</v>
      </c>
      <c r="G34" s="85">
        <v>1136.32</v>
      </c>
      <c r="H34" s="86">
        <f t="shared" si="2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4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4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4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4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4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226" t="s">
        <v>136</v>
      </c>
      <c r="B44" s="227"/>
      <c r="C44" s="227"/>
      <c r="D44" s="227"/>
      <c r="E44" s="227"/>
      <c r="F44" s="227"/>
      <c r="G44" s="227"/>
      <c r="H44" s="227"/>
      <c r="I44" s="228"/>
      <c r="J44" s="23"/>
      <c r="L44" s="19"/>
      <c r="M44" s="20"/>
      <c r="N44" s="21"/>
    </row>
    <row r="45" spans="1:14" ht="15.75" customHeight="1">
      <c r="A45" s="40">
        <v>10</v>
      </c>
      <c r="B45" s="32" t="s">
        <v>128</v>
      </c>
      <c r="C45" s="136" t="s">
        <v>102</v>
      </c>
      <c r="D45" s="32" t="s">
        <v>196</v>
      </c>
      <c r="E45" s="149">
        <v>1369</v>
      </c>
      <c r="F45" s="137">
        <f>SUM(E45*2/1000)</f>
        <v>2.738</v>
      </c>
      <c r="G45" s="36">
        <v>1158.7</v>
      </c>
      <c r="H45" s="86">
        <f t="shared" ref="H45:H53" si="5">SUM(F45*G45/1000)</f>
        <v>3.1725206000000004</v>
      </c>
      <c r="I45" s="13">
        <f t="shared" ref="I45:I47" si="6">F45/2*G45</f>
        <v>1586.2603000000001</v>
      </c>
      <c r="J45" s="23"/>
      <c r="L45" s="19"/>
      <c r="M45" s="20"/>
      <c r="N45" s="21"/>
    </row>
    <row r="46" spans="1:14" ht="15.75" customHeight="1">
      <c r="A46" s="40">
        <v>11</v>
      </c>
      <c r="B46" s="32" t="s">
        <v>183</v>
      </c>
      <c r="C46" s="136" t="s">
        <v>102</v>
      </c>
      <c r="D46" s="32" t="s">
        <v>196</v>
      </c>
      <c r="E46" s="149">
        <v>185.3</v>
      </c>
      <c r="F46" s="137">
        <f>SUM(E46*2/1000)</f>
        <v>0.37060000000000004</v>
      </c>
      <c r="G46" s="36">
        <v>790.38</v>
      </c>
      <c r="H46" s="86">
        <f t="shared" si="5"/>
        <v>0.29291482800000007</v>
      </c>
      <c r="I46" s="13">
        <f t="shared" si="6"/>
        <v>146.45741400000003</v>
      </c>
      <c r="J46" s="23"/>
      <c r="L46" s="19"/>
      <c r="M46" s="20"/>
      <c r="N46" s="21"/>
    </row>
    <row r="47" spans="1:14" ht="15.75" customHeight="1">
      <c r="A47" s="40">
        <v>12</v>
      </c>
      <c r="B47" s="32" t="s">
        <v>35</v>
      </c>
      <c r="C47" s="136" t="s">
        <v>102</v>
      </c>
      <c r="D47" s="32" t="s">
        <v>196</v>
      </c>
      <c r="E47" s="149">
        <v>4985.21</v>
      </c>
      <c r="F47" s="137">
        <f>SUM(E47*2/1000)</f>
        <v>9.9704200000000007</v>
      </c>
      <c r="G47" s="36">
        <v>790.38</v>
      </c>
      <c r="H47" s="86">
        <f t="shared" si="5"/>
        <v>7.8804205596000001</v>
      </c>
      <c r="I47" s="13">
        <f t="shared" si="6"/>
        <v>3940.2102798000001</v>
      </c>
      <c r="J47" s="23"/>
      <c r="L47" s="19"/>
      <c r="M47" s="20"/>
      <c r="N47" s="21"/>
    </row>
    <row r="48" spans="1:14" ht="15.75" customHeight="1">
      <c r="A48" s="40">
        <v>13</v>
      </c>
      <c r="B48" s="32" t="s">
        <v>36</v>
      </c>
      <c r="C48" s="136" t="s">
        <v>102</v>
      </c>
      <c r="D48" s="32" t="s">
        <v>196</v>
      </c>
      <c r="E48" s="149">
        <v>2474</v>
      </c>
      <c r="F48" s="137">
        <f>SUM(E48*2/1000)</f>
        <v>4.9480000000000004</v>
      </c>
      <c r="G48" s="36">
        <v>827.65</v>
      </c>
      <c r="H48" s="86">
        <f t="shared" si="5"/>
        <v>4.0952122000000006</v>
      </c>
      <c r="I48" s="13">
        <f>F48/2*G48</f>
        <v>2047.6061000000002</v>
      </c>
      <c r="J48" s="23"/>
      <c r="L48" s="19"/>
      <c r="M48" s="20"/>
      <c r="N48" s="21"/>
    </row>
    <row r="49" spans="1:14" ht="15.75" customHeight="1">
      <c r="A49" s="40">
        <v>14</v>
      </c>
      <c r="B49" s="32" t="s">
        <v>54</v>
      </c>
      <c r="C49" s="136" t="s">
        <v>102</v>
      </c>
      <c r="D49" s="32" t="s">
        <v>196</v>
      </c>
      <c r="E49" s="149">
        <v>5162.6000000000004</v>
      </c>
      <c r="F49" s="137">
        <f>SUM(E49*5/1000)</f>
        <v>25.812999999999999</v>
      </c>
      <c r="G49" s="36">
        <v>1655.27</v>
      </c>
      <c r="H49" s="86">
        <f t="shared" si="5"/>
        <v>42.727484509999996</v>
      </c>
      <c r="I49" s="13">
        <f>F49/5*G49</f>
        <v>8545.496901999999</v>
      </c>
      <c r="J49" s="23"/>
      <c r="L49" s="19"/>
      <c r="M49" s="20"/>
      <c r="N49" s="21"/>
    </row>
    <row r="50" spans="1:14" ht="33" customHeight="1">
      <c r="A50" s="40">
        <v>15</v>
      </c>
      <c r="B50" s="32" t="s">
        <v>109</v>
      </c>
      <c r="C50" s="136" t="s">
        <v>102</v>
      </c>
      <c r="D50" s="32" t="s">
        <v>196</v>
      </c>
      <c r="E50" s="149">
        <v>5162.6000000000004</v>
      </c>
      <c r="F50" s="137">
        <f>SUM(E50*2/1000)</f>
        <v>10.325200000000001</v>
      </c>
      <c r="G50" s="36">
        <v>1655.27</v>
      </c>
      <c r="H50" s="86">
        <f t="shared" si="5"/>
        <v>17.090993804</v>
      </c>
      <c r="I50" s="13">
        <f>F50/2*G50</f>
        <v>8545.4969020000008</v>
      </c>
      <c r="J50" s="23"/>
      <c r="L50" s="19"/>
      <c r="M50" s="20"/>
      <c r="N50" s="21"/>
    </row>
    <row r="51" spans="1:14" ht="30.75" customHeight="1">
      <c r="A51" s="40">
        <v>16</v>
      </c>
      <c r="B51" s="32" t="s">
        <v>110</v>
      </c>
      <c r="C51" s="136" t="s">
        <v>37</v>
      </c>
      <c r="D51" s="32" t="s">
        <v>196</v>
      </c>
      <c r="E51" s="149">
        <v>40</v>
      </c>
      <c r="F51" s="137">
        <f>SUM(E51*2/100)</f>
        <v>0.8</v>
      </c>
      <c r="G51" s="36">
        <v>3724.37</v>
      </c>
      <c r="H51" s="86">
        <f t="shared" si="5"/>
        <v>2.9794960000000001</v>
      </c>
      <c r="I51" s="13">
        <f t="shared" ref="I51:I52" si="7">F51/2*G51</f>
        <v>1489.748</v>
      </c>
      <c r="J51" s="23"/>
      <c r="L51" s="19"/>
      <c r="M51" s="20"/>
      <c r="N51" s="21"/>
    </row>
    <row r="52" spans="1:14" ht="21" customHeight="1">
      <c r="A52" s="40">
        <v>17</v>
      </c>
      <c r="B52" s="32" t="s">
        <v>38</v>
      </c>
      <c r="C52" s="136" t="s">
        <v>39</v>
      </c>
      <c r="D52" s="32" t="s">
        <v>196</v>
      </c>
      <c r="E52" s="149">
        <v>1</v>
      </c>
      <c r="F52" s="137">
        <v>0.02</v>
      </c>
      <c r="G52" s="36">
        <v>7709.44</v>
      </c>
      <c r="H52" s="86">
        <f t="shared" si="5"/>
        <v>0.15418879999999999</v>
      </c>
      <c r="I52" s="13">
        <f t="shared" si="7"/>
        <v>77.094399999999993</v>
      </c>
      <c r="J52" s="23"/>
      <c r="L52" s="19"/>
      <c r="M52" s="20"/>
      <c r="N52" s="21"/>
    </row>
    <row r="53" spans="1:14" ht="21.75" customHeight="1">
      <c r="A53" s="40">
        <v>18</v>
      </c>
      <c r="B53" s="32" t="s">
        <v>40</v>
      </c>
      <c r="C53" s="136" t="s">
        <v>111</v>
      </c>
      <c r="D53" s="179">
        <v>43980</v>
      </c>
      <c r="E53" s="149">
        <v>238</v>
      </c>
      <c r="F53" s="137">
        <f>SUM(E53)*3</f>
        <v>714</v>
      </c>
      <c r="G53" s="169">
        <v>89.59</v>
      </c>
      <c r="H53" s="86">
        <f t="shared" si="5"/>
        <v>63.967260000000003</v>
      </c>
      <c r="I53" s="13">
        <f>E53*G53</f>
        <v>21322.420000000002</v>
      </c>
      <c r="J53" s="23"/>
      <c r="L53" s="19"/>
      <c r="M53" s="20"/>
      <c r="N53" s="21"/>
    </row>
    <row r="54" spans="1:14" ht="15.75" customHeight="1">
      <c r="A54" s="226" t="s">
        <v>137</v>
      </c>
      <c r="B54" s="227"/>
      <c r="C54" s="227"/>
      <c r="D54" s="227"/>
      <c r="E54" s="227"/>
      <c r="F54" s="227"/>
      <c r="G54" s="227"/>
      <c r="H54" s="227"/>
      <c r="I54" s="228"/>
      <c r="J54" s="23"/>
      <c r="L54" s="19"/>
      <c r="M54" s="20"/>
      <c r="N54" s="21"/>
    </row>
    <row r="55" spans="1:14" ht="15.75" hidden="1" customHeight="1">
      <c r="A55" s="171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82" t="s">
        <v>112</v>
      </c>
      <c r="C56" s="83" t="s">
        <v>89</v>
      </c>
      <c r="D56" s="82" t="s">
        <v>113</v>
      </c>
      <c r="E56" s="84">
        <v>176.9</v>
      </c>
      <c r="F56" s="85">
        <f>SUM(E56*6/100)</f>
        <v>10.614000000000001</v>
      </c>
      <c r="G56" s="13">
        <v>1547.28</v>
      </c>
      <c r="H56" s="86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82" t="s">
        <v>129</v>
      </c>
      <c r="C57" s="83" t="s">
        <v>89</v>
      </c>
      <c r="D57" s="82" t="s">
        <v>113</v>
      </c>
      <c r="E57" s="77">
        <v>56</v>
      </c>
      <c r="F57" s="90">
        <v>3.36</v>
      </c>
      <c r="G57" s="85">
        <v>1547.28</v>
      </c>
      <c r="H57" s="86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82" t="s">
        <v>130</v>
      </c>
      <c r="C58" s="83" t="s">
        <v>131</v>
      </c>
      <c r="D58" s="82" t="s">
        <v>41</v>
      </c>
      <c r="E58" s="91">
        <v>8</v>
      </c>
      <c r="F58" s="13">
        <v>16</v>
      </c>
      <c r="G58" s="85">
        <v>180.78</v>
      </c>
      <c r="H58" s="86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customHeight="1">
      <c r="A59" s="40"/>
      <c r="B59" s="170" t="s">
        <v>43</v>
      </c>
      <c r="C59" s="170"/>
      <c r="D59" s="170"/>
      <c r="E59" s="170"/>
      <c r="F59" s="170"/>
      <c r="G59" s="170"/>
      <c r="H59" s="170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82" t="s">
        <v>141</v>
      </c>
      <c r="C60" s="83"/>
      <c r="D60" s="82" t="s">
        <v>52</v>
      </c>
      <c r="E60" s="84">
        <v>1349.3</v>
      </c>
      <c r="F60" s="86">
        <v>13.493</v>
      </c>
      <c r="G60" s="13">
        <v>793.61</v>
      </c>
      <c r="H60" s="92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19</v>
      </c>
      <c r="B61" s="93" t="s">
        <v>88</v>
      </c>
      <c r="C61" s="94" t="s">
        <v>26</v>
      </c>
      <c r="D61" s="93"/>
      <c r="E61" s="95">
        <v>270</v>
      </c>
      <c r="F61" s="96">
        <f>E61*12</f>
        <v>3240</v>
      </c>
      <c r="G61" s="97">
        <v>1.4</v>
      </c>
      <c r="H61" s="98">
        <f>F61*G61</f>
        <v>4536</v>
      </c>
      <c r="I61" s="13">
        <f>2400/12*G61</f>
        <v>280</v>
      </c>
      <c r="J61" s="23"/>
      <c r="L61" s="19"/>
      <c r="M61" s="20"/>
      <c r="N61" s="21"/>
    </row>
    <row r="62" spans="1:14" ht="15.75" customHeight="1">
      <c r="A62" s="40"/>
      <c r="B62" s="170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5.75" customHeight="1">
      <c r="A63" s="40">
        <v>20</v>
      </c>
      <c r="B63" s="99" t="s">
        <v>45</v>
      </c>
      <c r="C63" s="16" t="s">
        <v>111</v>
      </c>
      <c r="D63" s="99" t="s">
        <v>250</v>
      </c>
      <c r="E63" s="18">
        <v>40</v>
      </c>
      <c r="F63" s="85">
        <v>40</v>
      </c>
      <c r="G63" s="124">
        <v>303.35000000000002</v>
      </c>
      <c r="H63" s="100">
        <f t="shared" ref="H63:H70" si="8">SUM(F63*G63/1000)</f>
        <v>12.134</v>
      </c>
      <c r="I63" s="13">
        <f>G63*4</f>
        <v>1213.4000000000001</v>
      </c>
    </row>
    <row r="64" spans="1:14" ht="15.75" hidden="1" customHeight="1">
      <c r="A64" s="29">
        <v>29</v>
      </c>
      <c r="B64" s="99" t="s">
        <v>46</v>
      </c>
      <c r="C64" s="16" t="s">
        <v>111</v>
      </c>
      <c r="D64" s="99" t="s">
        <v>65</v>
      </c>
      <c r="E64" s="18">
        <v>20</v>
      </c>
      <c r="F64" s="85">
        <v>20</v>
      </c>
      <c r="G64" s="13">
        <v>76.25</v>
      </c>
      <c r="H64" s="100">
        <f t="shared" si="8"/>
        <v>1.5249999999999999</v>
      </c>
      <c r="I64" s="13">
        <v>0</v>
      </c>
    </row>
    <row r="65" spans="1:22" ht="15.75" hidden="1" customHeight="1">
      <c r="A65" s="29">
        <v>27</v>
      </c>
      <c r="B65" s="148" t="s">
        <v>47</v>
      </c>
      <c r="C65" s="173" t="s">
        <v>114</v>
      </c>
      <c r="D65" s="37" t="s">
        <v>52</v>
      </c>
      <c r="E65" s="149">
        <v>18890</v>
      </c>
      <c r="F65" s="169">
        <f>SUM(E65/100)</f>
        <v>188.9</v>
      </c>
      <c r="G65" s="36">
        <v>289.37</v>
      </c>
      <c r="H65" s="100">
        <f t="shared" si="8"/>
        <v>54.661993000000002</v>
      </c>
      <c r="I65" s="13">
        <f>F65*G65</f>
        <v>54661.993000000002</v>
      </c>
    </row>
    <row r="66" spans="1:22" ht="15.75" hidden="1" customHeight="1">
      <c r="A66" s="29">
        <v>28</v>
      </c>
      <c r="B66" s="148" t="s">
        <v>48</v>
      </c>
      <c r="C66" s="38" t="s">
        <v>115</v>
      </c>
      <c r="D66" s="37"/>
      <c r="E66" s="149">
        <v>18890</v>
      </c>
      <c r="F66" s="36">
        <f>SUM(E66/1000)</f>
        <v>18.89</v>
      </c>
      <c r="G66" s="36">
        <v>225.35</v>
      </c>
      <c r="H66" s="100">
        <f t="shared" si="8"/>
        <v>4.2568615000000003</v>
      </c>
      <c r="I66" s="13">
        <f t="shared" ref="I66:I69" si="9">F66*G66</f>
        <v>4256.8615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29</v>
      </c>
      <c r="B67" s="148" t="s">
        <v>49</v>
      </c>
      <c r="C67" s="38" t="s">
        <v>75</v>
      </c>
      <c r="D67" s="37" t="s">
        <v>52</v>
      </c>
      <c r="E67" s="149">
        <v>3004</v>
      </c>
      <c r="F67" s="36">
        <f>SUM(E67/100)</f>
        <v>30.04</v>
      </c>
      <c r="G67" s="36">
        <v>2829.78</v>
      </c>
      <c r="H67" s="100">
        <f t="shared" si="8"/>
        <v>85.006591200000017</v>
      </c>
      <c r="I67" s="13">
        <f t="shared" si="9"/>
        <v>85006.59120000001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30</v>
      </c>
      <c r="B68" s="174" t="s">
        <v>116</v>
      </c>
      <c r="C68" s="38" t="s">
        <v>33</v>
      </c>
      <c r="D68" s="37"/>
      <c r="E68" s="149">
        <v>16.2</v>
      </c>
      <c r="F68" s="36">
        <f>SUM(E68)</f>
        <v>16.2</v>
      </c>
      <c r="G68" s="36">
        <v>46.08</v>
      </c>
      <c r="H68" s="100">
        <f t="shared" si="8"/>
        <v>0.74649599999999994</v>
      </c>
      <c r="I68" s="13">
        <f t="shared" si="9"/>
        <v>746.49599999999998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31</v>
      </c>
      <c r="B69" s="174" t="s">
        <v>117</v>
      </c>
      <c r="C69" s="38" t="s">
        <v>33</v>
      </c>
      <c r="D69" s="37"/>
      <c r="E69" s="149">
        <v>16.2</v>
      </c>
      <c r="F69" s="36">
        <f>SUM(E69)</f>
        <v>16.2</v>
      </c>
      <c r="G69" s="36">
        <v>49.7</v>
      </c>
      <c r="H69" s="100">
        <f t="shared" si="8"/>
        <v>0.80513999999999997</v>
      </c>
      <c r="I69" s="13">
        <f t="shared" si="9"/>
        <v>805.14</v>
      </c>
      <c r="J69" s="5"/>
      <c r="K69" s="5"/>
      <c r="L69" s="5"/>
      <c r="M69" s="5"/>
      <c r="N69" s="5"/>
      <c r="O69" s="5"/>
      <c r="P69" s="5"/>
      <c r="Q69" s="5"/>
      <c r="R69" s="201"/>
      <c r="S69" s="201"/>
      <c r="T69" s="201"/>
      <c r="U69" s="201"/>
    </row>
    <row r="70" spans="1:22" ht="10.5" hidden="1" customHeight="1">
      <c r="A70" s="29">
        <v>13</v>
      </c>
      <c r="B70" s="99" t="s">
        <v>55</v>
      </c>
      <c r="C70" s="16" t="s">
        <v>56</v>
      </c>
      <c r="D70" s="99" t="s">
        <v>52</v>
      </c>
      <c r="E70" s="18">
        <v>15</v>
      </c>
      <c r="F70" s="85">
        <v>15</v>
      </c>
      <c r="G70" s="13">
        <v>49.88</v>
      </c>
      <c r="H70" s="100">
        <f t="shared" si="8"/>
        <v>0.74820000000000009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7.25" customHeight="1">
      <c r="A71" s="29"/>
      <c r="B71" s="159" t="s">
        <v>173</v>
      </c>
      <c r="C71" s="38"/>
      <c r="D71" s="37"/>
      <c r="E71" s="17"/>
      <c r="F71" s="115"/>
      <c r="G71" s="36"/>
      <c r="H71" s="100"/>
      <c r="I71" s="1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37.5" customHeight="1">
      <c r="A72" s="29">
        <v>21</v>
      </c>
      <c r="B72" s="37" t="s">
        <v>174</v>
      </c>
      <c r="C72" s="40" t="s">
        <v>175</v>
      </c>
      <c r="D72" s="37"/>
      <c r="E72" s="17">
        <v>5162.6000000000004</v>
      </c>
      <c r="F72" s="36">
        <f>E72*12</f>
        <v>61951.200000000004</v>
      </c>
      <c r="G72" s="36">
        <v>2.37</v>
      </c>
      <c r="H72" s="100"/>
      <c r="I72" s="13">
        <f>G72*F72/12</f>
        <v>12235.362000000001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32.25" hidden="1" customHeight="1">
      <c r="A73" s="171"/>
      <c r="B73" s="170" t="s">
        <v>118</v>
      </c>
      <c r="C73" s="170"/>
      <c r="D73" s="170"/>
      <c r="E73" s="170"/>
      <c r="F73" s="170"/>
      <c r="G73" s="170"/>
      <c r="H73" s="170"/>
      <c r="I73" s="18"/>
    </row>
    <row r="74" spans="1:22" ht="17.25" hidden="1" customHeight="1">
      <c r="A74" s="29">
        <v>19</v>
      </c>
      <c r="B74" s="82" t="s">
        <v>119</v>
      </c>
      <c r="C74" s="16"/>
      <c r="D74" s="99"/>
      <c r="E74" s="77"/>
      <c r="F74" s="13">
        <v>1</v>
      </c>
      <c r="G74" s="13">
        <v>27865.200000000001</v>
      </c>
      <c r="H74" s="100">
        <f>G74*F74/1000</f>
        <v>27.865200000000002</v>
      </c>
      <c r="I74" s="13">
        <v>0</v>
      </c>
    </row>
    <row r="75" spans="1:22" ht="1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29.25" customHeight="1">
      <c r="A76" s="29">
        <v>22</v>
      </c>
      <c r="B76" s="99" t="s">
        <v>71</v>
      </c>
      <c r="C76" s="16" t="s">
        <v>73</v>
      </c>
      <c r="D76" s="99" t="s">
        <v>249</v>
      </c>
      <c r="E76" s="18">
        <v>10</v>
      </c>
      <c r="F76" s="13">
        <v>1</v>
      </c>
      <c r="G76" s="124">
        <v>684.19</v>
      </c>
      <c r="H76" s="100">
        <f t="shared" ref="H76:H80" si="10">SUM(F76*G76/1000)</f>
        <v>0.68419000000000008</v>
      </c>
      <c r="I76" s="13">
        <f>G76*0.4</f>
        <v>273.67600000000004</v>
      </c>
    </row>
    <row r="77" spans="1:22" ht="24" hidden="1" customHeight="1">
      <c r="A77" s="29"/>
      <c r="B77" s="99" t="s">
        <v>132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16.5" hidden="1" customHeight="1">
      <c r="A78" s="29"/>
      <c r="B78" s="99" t="s">
        <v>133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29.25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15.75" hidden="1" customHeight="1">
      <c r="A80" s="29">
        <v>17</v>
      </c>
      <c r="B80" s="99" t="s">
        <v>83</v>
      </c>
      <c r="C80" s="16" t="s">
        <v>111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0"/>
        <v>0.35851</v>
      </c>
      <c r="I80" s="13">
        <v>0</v>
      </c>
    </row>
    <row r="81" spans="1:9" ht="15.75" customHeight="1">
      <c r="A81" s="29">
        <v>23</v>
      </c>
      <c r="B81" s="37" t="s">
        <v>176</v>
      </c>
      <c r="C81" s="38" t="s">
        <v>111</v>
      </c>
      <c r="D81" s="37" t="s">
        <v>190</v>
      </c>
      <c r="E81" s="17">
        <v>1</v>
      </c>
      <c r="F81" s="36">
        <f>E81*12</f>
        <v>12</v>
      </c>
      <c r="G81" s="36">
        <v>55.55</v>
      </c>
      <c r="H81" s="13"/>
      <c r="I81" s="13">
        <f>G81*1</f>
        <v>55.55</v>
      </c>
    </row>
    <row r="82" spans="1:9" ht="12" hidden="1" customHeight="1">
      <c r="A82" s="29"/>
      <c r="B82" s="49" t="s">
        <v>74</v>
      </c>
      <c r="C82" s="38"/>
      <c r="D82" s="29"/>
      <c r="E82" s="18"/>
      <c r="F82" s="18"/>
      <c r="G82" s="36"/>
      <c r="H82" s="36"/>
      <c r="I82" s="18"/>
    </row>
    <row r="83" spans="1:9" ht="15.75" hidden="1" customHeight="1">
      <c r="A83" s="29">
        <v>29</v>
      </c>
      <c r="B83" s="51" t="s">
        <v>120</v>
      </c>
      <c r="C83" s="16" t="s">
        <v>75</v>
      </c>
      <c r="D83" s="99"/>
      <c r="E83" s="18"/>
      <c r="F83" s="13">
        <v>1.35</v>
      </c>
      <c r="G83" s="13">
        <v>2759.44</v>
      </c>
      <c r="H83" s="100">
        <f t="shared" ref="H83" si="11">SUM(F83*G83/1000)</f>
        <v>3.725244</v>
      </c>
      <c r="I83" s="13">
        <v>0</v>
      </c>
    </row>
    <row r="84" spans="1:9" ht="15.75" customHeight="1">
      <c r="A84" s="210" t="s">
        <v>138</v>
      </c>
      <c r="B84" s="211"/>
      <c r="C84" s="211"/>
      <c r="D84" s="211"/>
      <c r="E84" s="211"/>
      <c r="F84" s="211"/>
      <c r="G84" s="211"/>
      <c r="H84" s="211"/>
      <c r="I84" s="212"/>
    </row>
    <row r="85" spans="1:9" ht="15.75" customHeight="1">
      <c r="A85" s="29">
        <v>24</v>
      </c>
      <c r="B85" s="32" t="s">
        <v>121</v>
      </c>
      <c r="C85" s="38" t="s">
        <v>53</v>
      </c>
      <c r="D85" s="63"/>
      <c r="E85" s="36">
        <v>5162.6000000000004</v>
      </c>
      <c r="F85" s="36">
        <f>SUM(E85*12)</f>
        <v>61951.200000000004</v>
      </c>
      <c r="G85" s="36">
        <v>3.22</v>
      </c>
      <c r="H85" s="102">
        <f>SUM(F85*G85/1000)</f>
        <v>199.48286400000003</v>
      </c>
      <c r="I85" s="13">
        <f>F85/12*G85</f>
        <v>16623.572000000004</v>
      </c>
    </row>
    <row r="86" spans="1:9" ht="31.5" customHeight="1">
      <c r="A86" s="29">
        <v>25</v>
      </c>
      <c r="B86" s="37" t="s">
        <v>177</v>
      </c>
      <c r="C86" s="112" t="s">
        <v>178</v>
      </c>
      <c r="D86" s="37"/>
      <c r="E86" s="17">
        <v>5162.6000000000004</v>
      </c>
      <c r="F86" s="36">
        <f>E86*12</f>
        <v>61951.200000000004</v>
      </c>
      <c r="G86" s="36">
        <v>3.64</v>
      </c>
      <c r="H86" s="100">
        <f>F86*G86/1000</f>
        <v>225.50236800000002</v>
      </c>
      <c r="I86" s="13">
        <f>F86/12*G86</f>
        <v>18791.864000000001</v>
      </c>
    </row>
    <row r="87" spans="1:9" ht="15.75" customHeight="1">
      <c r="A87" s="171"/>
      <c r="B87" s="39" t="s">
        <v>78</v>
      </c>
      <c r="C87" s="40"/>
      <c r="D87" s="15"/>
      <c r="E87" s="15"/>
      <c r="F87" s="15"/>
      <c r="G87" s="18"/>
      <c r="H87" s="18"/>
      <c r="I87" s="31">
        <f>I86+I85+I81+I76+I72+I63+I61+I53+I52+I51+I50+I49+I48+I47+I46+I45+I32+I31+I30+I27+I21+I20+I18+I17+I16</f>
        <v>130878.71412540002</v>
      </c>
    </row>
    <row r="88" spans="1:9" ht="15.75" customHeight="1">
      <c r="A88" s="213" t="s">
        <v>58</v>
      </c>
      <c r="B88" s="214"/>
      <c r="C88" s="214"/>
      <c r="D88" s="214"/>
      <c r="E88" s="214"/>
      <c r="F88" s="214"/>
      <c r="G88" s="214"/>
      <c r="H88" s="214"/>
      <c r="I88" s="215"/>
    </row>
    <row r="89" spans="1:9" ht="21" customHeight="1">
      <c r="A89" s="29">
        <v>26</v>
      </c>
      <c r="B89" s="66" t="s">
        <v>142</v>
      </c>
      <c r="C89" s="67" t="s">
        <v>80</v>
      </c>
      <c r="D89" s="64" t="s">
        <v>246</v>
      </c>
      <c r="E89" s="36"/>
      <c r="F89" s="36">
        <v>4</v>
      </c>
      <c r="G89" s="36">
        <v>222.63</v>
      </c>
      <c r="H89" s="102">
        <f t="shared" ref="H89" si="12">G89*F89/1000</f>
        <v>0.89051999999999998</v>
      </c>
      <c r="I89" s="13">
        <f>G89*1</f>
        <v>222.63</v>
      </c>
    </row>
    <row r="90" spans="1:9" ht="30.75" customHeight="1">
      <c r="A90" s="29">
        <v>27</v>
      </c>
      <c r="B90" s="66" t="s">
        <v>157</v>
      </c>
      <c r="C90" s="67" t="s">
        <v>152</v>
      </c>
      <c r="D90" s="64" t="s">
        <v>248</v>
      </c>
      <c r="E90" s="36"/>
      <c r="F90" s="36">
        <v>1</v>
      </c>
      <c r="G90" s="36">
        <v>913.43</v>
      </c>
      <c r="H90" s="102"/>
      <c r="I90" s="13">
        <f>G90*1</f>
        <v>913.43</v>
      </c>
    </row>
    <row r="91" spans="1:9" ht="30.75" customHeight="1">
      <c r="A91" s="29">
        <v>28</v>
      </c>
      <c r="B91" s="66" t="s">
        <v>241</v>
      </c>
      <c r="C91" s="67" t="s">
        <v>164</v>
      </c>
      <c r="D91" s="64" t="s">
        <v>248</v>
      </c>
      <c r="E91" s="36"/>
      <c r="F91" s="36">
        <v>0.5</v>
      </c>
      <c r="G91" s="36">
        <v>1550.64</v>
      </c>
      <c r="H91" s="102"/>
      <c r="I91" s="13">
        <f>G91*0.5</f>
        <v>775.32</v>
      </c>
    </row>
    <row r="92" spans="1:9" ht="30.75" customHeight="1">
      <c r="A92" s="29">
        <v>29</v>
      </c>
      <c r="B92" s="66" t="s">
        <v>242</v>
      </c>
      <c r="C92" s="67" t="s">
        <v>164</v>
      </c>
      <c r="D92" s="64" t="s">
        <v>247</v>
      </c>
      <c r="E92" s="36"/>
      <c r="F92" s="36">
        <v>2</v>
      </c>
      <c r="G92" s="36">
        <v>1421.68</v>
      </c>
      <c r="H92" s="102"/>
      <c r="I92" s="13">
        <f>G92*2</f>
        <v>2843.36</v>
      </c>
    </row>
    <row r="93" spans="1:9" ht="16.5" customHeight="1">
      <c r="A93" s="29">
        <v>30</v>
      </c>
      <c r="B93" s="66" t="s">
        <v>243</v>
      </c>
      <c r="C93" s="67" t="s">
        <v>152</v>
      </c>
      <c r="D93" s="64" t="s">
        <v>245</v>
      </c>
      <c r="E93" s="36"/>
      <c r="F93" s="36">
        <v>1</v>
      </c>
      <c r="G93" s="36">
        <v>304.58</v>
      </c>
      <c r="H93" s="102"/>
      <c r="I93" s="13">
        <f>G93*1</f>
        <v>304.58</v>
      </c>
    </row>
    <row r="94" spans="1:9" ht="17.25" customHeight="1">
      <c r="A94" s="29">
        <v>31</v>
      </c>
      <c r="B94" s="66" t="s">
        <v>244</v>
      </c>
      <c r="C94" s="67" t="s">
        <v>238</v>
      </c>
      <c r="D94" s="64"/>
      <c r="E94" s="36"/>
      <c r="F94" s="36">
        <v>0.04</v>
      </c>
      <c r="G94" s="36">
        <v>16001.85</v>
      </c>
      <c r="H94" s="102"/>
      <c r="I94" s="13">
        <f>G94*0.04</f>
        <v>640.07400000000007</v>
      </c>
    </row>
    <row r="95" spans="1:9" ht="15.75" customHeight="1">
      <c r="A95" s="29"/>
      <c r="B95" s="45" t="s">
        <v>50</v>
      </c>
      <c r="C95" s="41"/>
      <c r="D95" s="53"/>
      <c r="E95" s="41">
        <v>1</v>
      </c>
      <c r="F95" s="41"/>
      <c r="G95" s="41"/>
      <c r="H95" s="41"/>
      <c r="I95" s="31">
        <f>SUM(I89:I94)</f>
        <v>5699.3940000000002</v>
      </c>
    </row>
    <row r="96" spans="1:9" ht="15.75" customHeight="1">
      <c r="A96" s="29"/>
      <c r="B96" s="51" t="s">
        <v>76</v>
      </c>
      <c r="C96" s="15"/>
      <c r="D96" s="15"/>
      <c r="E96" s="42"/>
      <c r="F96" s="42"/>
      <c r="G96" s="43"/>
      <c r="H96" s="43"/>
      <c r="I96" s="17">
        <v>0</v>
      </c>
    </row>
    <row r="97" spans="1:9" ht="15.75" customHeight="1">
      <c r="A97" s="54"/>
      <c r="B97" s="46" t="s">
        <v>143</v>
      </c>
      <c r="C97" s="34"/>
      <c r="D97" s="34"/>
      <c r="E97" s="34"/>
      <c r="F97" s="34"/>
      <c r="G97" s="34"/>
      <c r="H97" s="34"/>
      <c r="I97" s="44">
        <f>I87+I95</f>
        <v>136578.10812540003</v>
      </c>
    </row>
    <row r="98" spans="1:9" ht="15.75">
      <c r="A98" s="207" t="s">
        <v>251</v>
      </c>
      <c r="B98" s="207"/>
      <c r="C98" s="207"/>
      <c r="D98" s="207"/>
      <c r="E98" s="207"/>
      <c r="F98" s="207"/>
      <c r="G98" s="207"/>
      <c r="H98" s="207"/>
      <c r="I98" s="207"/>
    </row>
    <row r="99" spans="1:9" ht="15.75">
      <c r="A99" s="61"/>
      <c r="B99" s="208" t="s">
        <v>252</v>
      </c>
      <c r="C99" s="208"/>
      <c r="D99" s="208"/>
      <c r="E99" s="208"/>
      <c r="F99" s="208"/>
      <c r="G99" s="208"/>
      <c r="H99" s="80"/>
      <c r="I99" s="3"/>
    </row>
    <row r="100" spans="1:9">
      <c r="A100" s="74"/>
      <c r="B100" s="206" t="s">
        <v>6</v>
      </c>
      <c r="C100" s="206"/>
      <c r="D100" s="206"/>
      <c r="E100" s="206"/>
      <c r="F100" s="206"/>
      <c r="G100" s="206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209" t="s">
        <v>7</v>
      </c>
      <c r="B102" s="209"/>
      <c r="C102" s="209"/>
      <c r="D102" s="209"/>
      <c r="E102" s="209"/>
      <c r="F102" s="209"/>
      <c r="G102" s="209"/>
      <c r="H102" s="209"/>
      <c r="I102" s="209"/>
    </row>
    <row r="103" spans="1:9" ht="15.75">
      <c r="A103" s="209" t="s">
        <v>8</v>
      </c>
      <c r="B103" s="209"/>
      <c r="C103" s="209"/>
      <c r="D103" s="209"/>
      <c r="E103" s="209"/>
      <c r="F103" s="209"/>
      <c r="G103" s="209"/>
      <c r="H103" s="209"/>
      <c r="I103" s="209"/>
    </row>
    <row r="104" spans="1:9" ht="15.75">
      <c r="A104" s="203" t="s">
        <v>59</v>
      </c>
      <c r="B104" s="203"/>
      <c r="C104" s="203"/>
      <c r="D104" s="203"/>
      <c r="E104" s="203"/>
      <c r="F104" s="203"/>
      <c r="G104" s="203"/>
      <c r="H104" s="203"/>
      <c r="I104" s="203"/>
    </row>
    <row r="105" spans="1:9" ht="15.75">
      <c r="A105" s="11"/>
    </row>
    <row r="106" spans="1:9" ht="15.75">
      <c r="A106" s="204" t="s">
        <v>9</v>
      </c>
      <c r="B106" s="204"/>
      <c r="C106" s="204"/>
      <c r="D106" s="204"/>
      <c r="E106" s="204"/>
      <c r="F106" s="204"/>
      <c r="G106" s="204"/>
      <c r="H106" s="204"/>
      <c r="I106" s="204"/>
    </row>
    <row r="107" spans="1:9" ht="15.75">
      <c r="A107" s="4"/>
    </row>
    <row r="108" spans="1:9" ht="15.75">
      <c r="B108" s="72" t="s">
        <v>10</v>
      </c>
      <c r="C108" s="205" t="s">
        <v>84</v>
      </c>
      <c r="D108" s="205"/>
      <c r="E108" s="205"/>
      <c r="F108" s="78"/>
      <c r="I108" s="73"/>
    </row>
    <row r="109" spans="1:9">
      <c r="A109" s="74"/>
      <c r="C109" s="206" t="s">
        <v>11</v>
      </c>
      <c r="D109" s="206"/>
      <c r="E109" s="206"/>
      <c r="F109" s="24"/>
      <c r="I109" s="71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72" t="s">
        <v>13</v>
      </c>
      <c r="C111" s="200"/>
      <c r="D111" s="200"/>
      <c r="E111" s="200"/>
      <c r="F111" s="79"/>
      <c r="I111" s="73"/>
    </row>
    <row r="112" spans="1:9">
      <c r="A112" s="74"/>
      <c r="C112" s="201" t="s">
        <v>11</v>
      </c>
      <c r="D112" s="201"/>
      <c r="E112" s="201"/>
      <c r="F112" s="74"/>
      <c r="I112" s="71" t="s">
        <v>12</v>
      </c>
    </row>
    <row r="113" spans="1:9" ht="15.75">
      <c r="A113" s="4" t="s">
        <v>14</v>
      </c>
    </row>
    <row r="114" spans="1:9">
      <c r="A114" s="202" t="s">
        <v>15</v>
      </c>
      <c r="B114" s="202"/>
      <c r="C114" s="202"/>
      <c r="D114" s="202"/>
      <c r="E114" s="202"/>
      <c r="F114" s="202"/>
      <c r="G114" s="202"/>
      <c r="H114" s="202"/>
      <c r="I114" s="202"/>
    </row>
    <row r="115" spans="1:9" ht="45" customHeight="1">
      <c r="A115" s="199" t="s">
        <v>16</v>
      </c>
      <c r="B115" s="199"/>
      <c r="C115" s="199"/>
      <c r="D115" s="199"/>
      <c r="E115" s="199"/>
      <c r="F115" s="199"/>
      <c r="G115" s="199"/>
      <c r="H115" s="199"/>
      <c r="I115" s="199"/>
    </row>
    <row r="116" spans="1:9" ht="30" customHeight="1">
      <c r="A116" s="199" t="s">
        <v>17</v>
      </c>
      <c r="B116" s="199"/>
      <c r="C116" s="199"/>
      <c r="D116" s="199"/>
      <c r="E116" s="199"/>
      <c r="F116" s="199"/>
      <c r="G116" s="199"/>
      <c r="H116" s="199"/>
      <c r="I116" s="199"/>
    </row>
    <row r="117" spans="1:9" ht="30" customHeight="1">
      <c r="A117" s="199" t="s">
        <v>21</v>
      </c>
      <c r="B117" s="199"/>
      <c r="C117" s="199"/>
      <c r="D117" s="199"/>
      <c r="E117" s="199"/>
      <c r="F117" s="199"/>
      <c r="G117" s="199"/>
      <c r="H117" s="199"/>
      <c r="I117" s="199"/>
    </row>
    <row r="118" spans="1:9" ht="15" customHeight="1">
      <c r="A118" s="199" t="s">
        <v>20</v>
      </c>
      <c r="B118" s="199"/>
      <c r="C118" s="199"/>
      <c r="D118" s="199"/>
      <c r="E118" s="199"/>
      <c r="F118" s="199"/>
      <c r="G118" s="199"/>
      <c r="H118" s="199"/>
      <c r="I118" s="199"/>
    </row>
  </sheetData>
  <autoFilter ref="I12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69:U69"/>
    <mergeCell ref="C112:E112"/>
    <mergeCell ref="A88:I88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4:I84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00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36"/>
  <sheetViews>
    <sheetView topLeftCell="A104" workbookViewId="0">
      <selection activeCell="I113" sqref="I11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154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253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44012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181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189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F18/18*2*G18</f>
        <v>8937.5623199999991</v>
      </c>
      <c r="J18" s="22"/>
      <c r="K18" s="8"/>
      <c r="L18" s="8"/>
      <c r="M18" s="8"/>
    </row>
    <row r="19" spans="1:13" ht="15.75" customHeight="1">
      <c r="A19" s="29">
        <v>4</v>
      </c>
      <c r="B19" s="32" t="s">
        <v>90</v>
      </c>
      <c r="C19" s="139" t="s">
        <v>91</v>
      </c>
      <c r="D19" s="138" t="s">
        <v>196</v>
      </c>
      <c r="E19" s="140">
        <v>124.8</v>
      </c>
      <c r="F19" s="141">
        <f>SUM(E19/10)</f>
        <v>12.48</v>
      </c>
      <c r="G19" s="141">
        <v>232.1</v>
      </c>
      <c r="H19" s="86">
        <f t="shared" si="0"/>
        <v>2.8966080000000001</v>
      </c>
      <c r="I19" s="13">
        <f>F19*G19</f>
        <v>2896.6080000000002</v>
      </c>
      <c r="J19" s="22"/>
      <c r="K19" s="8"/>
      <c r="L19" s="8"/>
      <c r="M19" s="8"/>
    </row>
    <row r="20" spans="1:13" ht="18" customHeight="1">
      <c r="A20" s="29">
        <v>5</v>
      </c>
      <c r="B20" s="32" t="s">
        <v>95</v>
      </c>
      <c r="C20" s="136" t="s">
        <v>89</v>
      </c>
      <c r="D20" s="32" t="s">
        <v>196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7.25" customHeight="1">
      <c r="A21" s="29">
        <v>6</v>
      </c>
      <c r="B21" s="32" t="s">
        <v>96</v>
      </c>
      <c r="C21" s="136" t="s">
        <v>89</v>
      </c>
      <c r="D21" s="32" t="s">
        <v>196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7.25" customHeight="1">
      <c r="A22" s="29">
        <v>7</v>
      </c>
      <c r="B22" s="32" t="s">
        <v>97</v>
      </c>
      <c r="C22" s="136" t="s">
        <v>51</v>
      </c>
      <c r="D22" s="32" t="s">
        <v>254</v>
      </c>
      <c r="E22" s="149">
        <v>820.5</v>
      </c>
      <c r="F22" s="137">
        <f>SUM(E22/100)</f>
        <v>8.2050000000000001</v>
      </c>
      <c r="G22" s="137">
        <v>367.27</v>
      </c>
      <c r="H22" s="86">
        <f t="shared" si="0"/>
        <v>3.0134503500000003</v>
      </c>
      <c r="I22" s="13">
        <f t="shared" ref="I22:I26" si="1">F22*G22</f>
        <v>3013.4503500000001</v>
      </c>
      <c r="J22" s="22"/>
      <c r="K22" s="8"/>
      <c r="L22" s="8"/>
      <c r="M22" s="8"/>
    </row>
    <row r="23" spans="1:13" ht="17.25" customHeight="1">
      <c r="A23" s="29">
        <v>8</v>
      </c>
      <c r="B23" s="32" t="s">
        <v>98</v>
      </c>
      <c r="C23" s="136" t="s">
        <v>51</v>
      </c>
      <c r="D23" s="32" t="s">
        <v>265</v>
      </c>
      <c r="E23" s="156">
        <v>60.25</v>
      </c>
      <c r="F23" s="137">
        <f>SUM(E23/100)</f>
        <v>0.60250000000000004</v>
      </c>
      <c r="G23" s="137">
        <v>60.41</v>
      </c>
      <c r="H23" s="86">
        <f t="shared" si="0"/>
        <v>3.6397025E-2</v>
      </c>
      <c r="I23" s="13">
        <f t="shared" si="1"/>
        <v>36.397024999999999</v>
      </c>
      <c r="J23" s="22"/>
      <c r="K23" s="8"/>
      <c r="L23" s="8"/>
      <c r="M23" s="8"/>
    </row>
    <row r="24" spans="1:13" ht="15.75" customHeight="1">
      <c r="A24" s="29">
        <v>9</v>
      </c>
      <c r="B24" s="32" t="s">
        <v>93</v>
      </c>
      <c r="C24" s="136" t="s">
        <v>51</v>
      </c>
      <c r="D24" s="32" t="s">
        <v>196</v>
      </c>
      <c r="E24" s="149">
        <v>19.149999999999999</v>
      </c>
      <c r="F24" s="137">
        <f>E24/100</f>
        <v>0.19149999999999998</v>
      </c>
      <c r="G24" s="137">
        <v>531.55999999999995</v>
      </c>
      <c r="H24" s="86">
        <f t="shared" si="0"/>
        <v>0.10179373999999997</v>
      </c>
      <c r="I24" s="13">
        <f t="shared" si="1"/>
        <v>101.79373999999997</v>
      </c>
      <c r="J24" s="22"/>
      <c r="K24" s="8"/>
      <c r="L24" s="8"/>
      <c r="M24" s="8"/>
    </row>
    <row r="25" spans="1:13" ht="14.25" customHeight="1">
      <c r="A25" s="29">
        <v>10</v>
      </c>
      <c r="B25" s="32" t="s">
        <v>100</v>
      </c>
      <c r="C25" s="136" t="s">
        <v>51</v>
      </c>
      <c r="D25" s="32" t="s">
        <v>190</v>
      </c>
      <c r="E25" s="149">
        <v>31.5</v>
      </c>
      <c r="F25" s="137">
        <v>0.32</v>
      </c>
      <c r="G25" s="137">
        <v>294.77999999999997</v>
      </c>
      <c r="H25" s="86">
        <f t="shared" si="0"/>
        <v>9.43296E-2</v>
      </c>
      <c r="I25" s="13">
        <f t="shared" si="1"/>
        <v>94.329599999999999</v>
      </c>
      <c r="J25" s="22"/>
      <c r="K25" s="8"/>
      <c r="L25" s="8"/>
      <c r="M25" s="8"/>
    </row>
    <row r="26" spans="1:13" ht="16.5" customHeight="1">
      <c r="A26" s="29">
        <v>11</v>
      </c>
      <c r="B26" s="32" t="s">
        <v>99</v>
      </c>
      <c r="C26" s="136" t="s">
        <v>51</v>
      </c>
      <c r="D26" s="32" t="s">
        <v>266</v>
      </c>
      <c r="E26" s="149">
        <v>37.5</v>
      </c>
      <c r="F26" s="137">
        <f>SUM(E26/100)</f>
        <v>0.375</v>
      </c>
      <c r="G26" s="137">
        <v>710.37</v>
      </c>
      <c r="H26" s="86">
        <f t="shared" si="0"/>
        <v>0.26638875000000001</v>
      </c>
      <c r="I26" s="13">
        <f t="shared" si="1"/>
        <v>266.38875000000002</v>
      </c>
      <c r="J26" s="22"/>
      <c r="K26" s="8"/>
      <c r="L26" s="8"/>
      <c r="M26" s="8"/>
    </row>
    <row r="27" spans="1:13" ht="15.75" customHeight="1">
      <c r="A27" s="29">
        <v>12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2" t="s">
        <v>81</v>
      </c>
      <c r="B28" s="222"/>
      <c r="C28" s="222"/>
      <c r="D28" s="222"/>
      <c r="E28" s="222"/>
      <c r="F28" s="222"/>
      <c r="G28" s="222"/>
      <c r="H28" s="222"/>
      <c r="I28" s="222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13</v>
      </c>
      <c r="B30" s="32" t="s">
        <v>101</v>
      </c>
      <c r="C30" s="136" t="s">
        <v>102</v>
      </c>
      <c r="D30" s="32" t="s">
        <v>188</v>
      </c>
      <c r="E30" s="137">
        <v>1304.45</v>
      </c>
      <c r="F30" s="137">
        <f>SUM(E30*52/1000)</f>
        <v>67.831400000000002</v>
      </c>
      <c r="G30" s="137">
        <v>212.62</v>
      </c>
      <c r="H30" s="86">
        <f t="shared" ref="H30:H34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14</v>
      </c>
      <c r="B31" s="32" t="s">
        <v>139</v>
      </c>
      <c r="C31" s="136" t="s">
        <v>102</v>
      </c>
      <c r="D31" s="32" t="s">
        <v>188</v>
      </c>
      <c r="E31" s="137">
        <v>287.83999999999997</v>
      </c>
      <c r="F31" s="137">
        <f>SUM(E31*52/1000)</f>
        <v>14.967679999999998</v>
      </c>
      <c r="G31" s="137">
        <v>352.77</v>
      </c>
      <c r="H31" s="86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32" t="s">
        <v>28</v>
      </c>
      <c r="C32" s="136" t="s">
        <v>102</v>
      </c>
      <c r="D32" s="32" t="s">
        <v>52</v>
      </c>
      <c r="E32" s="137">
        <v>1304.45</v>
      </c>
      <c r="F32" s="137">
        <f>SUM(E32/1000)</f>
        <v>1.3044500000000001</v>
      </c>
      <c r="G32" s="137">
        <v>4119.68</v>
      </c>
      <c r="H32" s="86">
        <f t="shared" si="3"/>
        <v>5.3739165760000009</v>
      </c>
      <c r="I32" s="13">
        <f>F32*G32</f>
        <v>5373.9165760000005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63</v>
      </c>
      <c r="C33" s="83" t="s">
        <v>33</v>
      </c>
      <c r="D33" s="82" t="s">
        <v>65</v>
      </c>
      <c r="E33" s="84"/>
      <c r="F33" s="85">
        <v>3</v>
      </c>
      <c r="G33" s="85">
        <v>191.32</v>
      </c>
      <c r="H33" s="86">
        <f t="shared" si="3"/>
        <v>0.57396000000000003</v>
      </c>
      <c r="I33" s="13">
        <v>0</v>
      </c>
      <c r="J33" s="23"/>
    </row>
    <row r="34" spans="1:14" ht="15.75" hidden="1" customHeight="1">
      <c r="A34" s="29">
        <v>9</v>
      </c>
      <c r="B34" s="82" t="s">
        <v>64</v>
      </c>
      <c r="C34" s="83" t="s">
        <v>32</v>
      </c>
      <c r="D34" s="82" t="s">
        <v>197</v>
      </c>
      <c r="E34" s="84"/>
      <c r="F34" s="85">
        <v>2</v>
      </c>
      <c r="G34" s="141">
        <v>1549.92</v>
      </c>
      <c r="H34" s="86">
        <f t="shared" si="3"/>
        <v>3.0998399999999999</v>
      </c>
      <c r="I34" s="13">
        <f>G34*1</f>
        <v>1549.92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5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5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5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5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5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5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226" t="s">
        <v>136</v>
      </c>
      <c r="B44" s="227"/>
      <c r="C44" s="227"/>
      <c r="D44" s="227"/>
      <c r="E44" s="227"/>
      <c r="F44" s="227"/>
      <c r="G44" s="227"/>
      <c r="H44" s="227"/>
      <c r="I44" s="228"/>
      <c r="J44" s="23"/>
      <c r="L44" s="19"/>
      <c r="M44" s="20"/>
      <c r="N44" s="21"/>
    </row>
    <row r="45" spans="1:14" ht="15.75" hidden="1" customHeight="1">
      <c r="A45" s="40">
        <v>18</v>
      </c>
      <c r="B45" s="82" t="s">
        <v>128</v>
      </c>
      <c r="C45" s="83" t="s">
        <v>102</v>
      </c>
      <c r="D45" s="82" t="s">
        <v>41</v>
      </c>
      <c r="E45" s="84">
        <v>1369</v>
      </c>
      <c r="F45" s="85">
        <f>SUM(E45*2/1000)</f>
        <v>2.738</v>
      </c>
      <c r="G45" s="13">
        <v>849.49</v>
      </c>
      <c r="H45" s="86">
        <f t="shared" ref="H45:H53" si="6">SUM(F45*G45/1000)</f>
        <v>2.3259036200000001</v>
      </c>
      <c r="I45" s="13">
        <f t="shared" ref="I45:I47" si="7">F45/2*G45</f>
        <v>1162.95181</v>
      </c>
      <c r="J45" s="23"/>
      <c r="L45" s="19"/>
      <c r="M45" s="20"/>
      <c r="N45" s="21"/>
    </row>
    <row r="46" spans="1:14" ht="15.75" hidden="1" customHeight="1">
      <c r="A46" s="40">
        <v>19</v>
      </c>
      <c r="B46" s="82" t="s">
        <v>34</v>
      </c>
      <c r="C46" s="83" t="s">
        <v>102</v>
      </c>
      <c r="D46" s="82" t="s">
        <v>41</v>
      </c>
      <c r="E46" s="84">
        <v>1418</v>
      </c>
      <c r="F46" s="85">
        <f>SUM(E46*2/1000)</f>
        <v>2.8359999999999999</v>
      </c>
      <c r="G46" s="13">
        <v>579.48</v>
      </c>
      <c r="H46" s="86">
        <f t="shared" si="6"/>
        <v>1.6434052799999999</v>
      </c>
      <c r="I46" s="13">
        <f t="shared" si="7"/>
        <v>821.70263999999997</v>
      </c>
      <c r="J46" s="23"/>
      <c r="L46" s="19"/>
      <c r="M46" s="20"/>
      <c r="N46" s="21"/>
    </row>
    <row r="47" spans="1:14" ht="15.75" hidden="1" customHeight="1">
      <c r="A47" s="40">
        <v>20</v>
      </c>
      <c r="B47" s="82" t="s">
        <v>35</v>
      </c>
      <c r="C47" s="83" t="s">
        <v>102</v>
      </c>
      <c r="D47" s="82" t="s">
        <v>41</v>
      </c>
      <c r="E47" s="84">
        <v>4985.21</v>
      </c>
      <c r="F47" s="85">
        <f>SUM(E47*2/1000)</f>
        <v>9.9704200000000007</v>
      </c>
      <c r="G47" s="13">
        <v>579.48</v>
      </c>
      <c r="H47" s="86">
        <f t="shared" si="6"/>
        <v>5.7776589816000001</v>
      </c>
      <c r="I47" s="13">
        <f t="shared" si="7"/>
        <v>2888.8294908000003</v>
      </c>
      <c r="J47" s="23"/>
      <c r="L47" s="19"/>
      <c r="M47" s="20"/>
      <c r="N47" s="21"/>
    </row>
    <row r="48" spans="1:14" ht="15.75" hidden="1" customHeight="1">
      <c r="A48" s="40">
        <v>21</v>
      </c>
      <c r="B48" s="82" t="s">
        <v>36</v>
      </c>
      <c r="C48" s="83" t="s">
        <v>102</v>
      </c>
      <c r="D48" s="82" t="s">
        <v>41</v>
      </c>
      <c r="E48" s="84">
        <v>2474</v>
      </c>
      <c r="F48" s="85">
        <f>SUM(E48*2/1000)</f>
        <v>4.9480000000000004</v>
      </c>
      <c r="G48" s="13">
        <v>606.77</v>
      </c>
      <c r="H48" s="86">
        <f t="shared" si="6"/>
        <v>3.0022979600000004</v>
      </c>
      <c r="I48" s="13">
        <f>F48/2*G48</f>
        <v>1501.1489800000002</v>
      </c>
      <c r="J48" s="23"/>
      <c r="L48" s="19"/>
      <c r="M48" s="20"/>
      <c r="N48" s="21"/>
    </row>
    <row r="49" spans="1:14" ht="15.75" hidden="1" customHeight="1">
      <c r="A49" s="40">
        <v>22</v>
      </c>
      <c r="B49" s="82" t="s">
        <v>54</v>
      </c>
      <c r="C49" s="83" t="s">
        <v>102</v>
      </c>
      <c r="D49" s="82" t="s">
        <v>140</v>
      </c>
      <c r="E49" s="84">
        <v>1349.3</v>
      </c>
      <c r="F49" s="85">
        <f>SUM(E49*5/1000)</f>
        <v>6.7465000000000002</v>
      </c>
      <c r="G49" s="13">
        <v>1213.55</v>
      </c>
      <c r="H49" s="86">
        <f t="shared" si="6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82" t="s">
        <v>109</v>
      </c>
      <c r="C50" s="83" t="s">
        <v>102</v>
      </c>
      <c r="D50" s="82" t="s">
        <v>41</v>
      </c>
      <c r="E50" s="84">
        <v>1349.3</v>
      </c>
      <c r="F50" s="85">
        <f>SUM(E50*2/1000)</f>
        <v>2.6985999999999999</v>
      </c>
      <c r="G50" s="13">
        <v>1213.55</v>
      </c>
      <c r="H50" s="86">
        <f t="shared" si="6"/>
        <v>3.2748860299999998</v>
      </c>
      <c r="I50" s="13">
        <f>F50/2*G50</f>
        <v>1637.4430149999998</v>
      </c>
      <c r="J50" s="23"/>
      <c r="L50" s="19"/>
      <c r="M50" s="20"/>
      <c r="N50" s="21"/>
    </row>
    <row r="51" spans="1:14" ht="30.75" hidden="1" customHeight="1">
      <c r="A51" s="40">
        <v>14</v>
      </c>
      <c r="B51" s="82" t="s">
        <v>110</v>
      </c>
      <c r="C51" s="83" t="s">
        <v>37</v>
      </c>
      <c r="D51" s="82" t="s">
        <v>41</v>
      </c>
      <c r="E51" s="84">
        <v>40</v>
      </c>
      <c r="F51" s="85">
        <f>SUM(E51*2/100)</f>
        <v>0.8</v>
      </c>
      <c r="G51" s="13">
        <v>2730.49</v>
      </c>
      <c r="H51" s="86">
        <f t="shared" si="6"/>
        <v>2.1843919999999999</v>
      </c>
      <c r="I51" s="13">
        <f t="shared" ref="I51:I52" si="8">F51/2*G51</f>
        <v>1092.1959999999999</v>
      </c>
      <c r="J51" s="23"/>
      <c r="L51" s="19"/>
      <c r="M51" s="20"/>
      <c r="N51" s="21"/>
    </row>
    <row r="52" spans="1:14" ht="15.75" hidden="1" customHeight="1">
      <c r="A52" s="40">
        <v>15</v>
      </c>
      <c r="B52" s="82" t="s">
        <v>38</v>
      </c>
      <c r="C52" s="83" t="s">
        <v>39</v>
      </c>
      <c r="D52" s="82" t="s">
        <v>41</v>
      </c>
      <c r="E52" s="84">
        <v>1</v>
      </c>
      <c r="F52" s="85">
        <v>0.02</v>
      </c>
      <c r="G52" s="13">
        <v>5652.13</v>
      </c>
      <c r="H52" s="86">
        <f t="shared" si="6"/>
        <v>0.11304260000000001</v>
      </c>
      <c r="I52" s="13">
        <f t="shared" si="8"/>
        <v>56.521300000000004</v>
      </c>
      <c r="J52" s="23"/>
      <c r="L52" s="19"/>
      <c r="M52" s="20"/>
      <c r="N52" s="21"/>
    </row>
    <row r="53" spans="1:14" ht="15.75" hidden="1" customHeight="1">
      <c r="A53" s="40">
        <v>9</v>
      </c>
      <c r="B53" s="82" t="s">
        <v>40</v>
      </c>
      <c r="C53" s="83" t="s">
        <v>111</v>
      </c>
      <c r="D53" s="82" t="s">
        <v>69</v>
      </c>
      <c r="E53" s="84">
        <v>238</v>
      </c>
      <c r="F53" s="85">
        <f>SUM(E53)*3</f>
        <v>714</v>
      </c>
      <c r="G53" s="13">
        <v>65.67</v>
      </c>
      <c r="H53" s="86">
        <f t="shared" si="6"/>
        <v>46.888380000000005</v>
      </c>
      <c r="I53" s="13">
        <f>E53*G53</f>
        <v>15629.460000000001</v>
      </c>
      <c r="J53" s="23"/>
      <c r="L53" s="19"/>
      <c r="M53" s="20"/>
      <c r="N53" s="21"/>
    </row>
    <row r="54" spans="1:14" ht="15.75" customHeight="1">
      <c r="A54" s="226" t="s">
        <v>148</v>
      </c>
      <c r="B54" s="227"/>
      <c r="C54" s="227"/>
      <c r="D54" s="227"/>
      <c r="E54" s="227"/>
      <c r="F54" s="227"/>
      <c r="G54" s="227"/>
      <c r="H54" s="227"/>
      <c r="I54" s="228"/>
      <c r="J54" s="23"/>
      <c r="L54" s="19"/>
      <c r="M54" s="20"/>
      <c r="N54" s="21"/>
    </row>
    <row r="55" spans="1:14" ht="15.75" customHeight="1">
      <c r="A55" s="176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82" t="s">
        <v>112</v>
      </c>
      <c r="C56" s="83" t="s">
        <v>89</v>
      </c>
      <c r="D56" s="82" t="s">
        <v>113</v>
      </c>
      <c r="E56" s="84">
        <v>176.9</v>
      </c>
      <c r="F56" s="85">
        <f>SUM(E56*6/100)</f>
        <v>10.614000000000001</v>
      </c>
      <c r="G56" s="13">
        <v>1547.28</v>
      </c>
      <c r="H56" s="86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82" t="s">
        <v>129</v>
      </c>
      <c r="C57" s="83" t="s">
        <v>89</v>
      </c>
      <c r="D57" s="82" t="s">
        <v>113</v>
      </c>
      <c r="E57" s="77">
        <v>56</v>
      </c>
      <c r="F57" s="90">
        <v>3.36</v>
      </c>
      <c r="G57" s="85">
        <v>1547.28</v>
      </c>
      <c r="H57" s="86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82" t="s">
        <v>130</v>
      </c>
      <c r="C58" s="83" t="s">
        <v>131</v>
      </c>
      <c r="D58" s="82" t="s">
        <v>41</v>
      </c>
      <c r="E58" s="91">
        <v>8</v>
      </c>
      <c r="F58" s="13">
        <v>16</v>
      </c>
      <c r="G58" s="85">
        <v>180.78</v>
      </c>
      <c r="H58" s="86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customHeight="1">
      <c r="A59" s="40">
        <v>15</v>
      </c>
      <c r="B59" s="32" t="s">
        <v>165</v>
      </c>
      <c r="C59" s="136" t="s">
        <v>166</v>
      </c>
      <c r="D59" s="32" t="s">
        <v>255</v>
      </c>
      <c r="E59" s="183"/>
      <c r="F59" s="36">
        <v>8</v>
      </c>
      <c r="G59" s="154">
        <v>1645</v>
      </c>
      <c r="H59" s="97"/>
      <c r="I59" s="13">
        <f>G59*2</f>
        <v>3290</v>
      </c>
      <c r="J59" s="23"/>
      <c r="L59" s="19"/>
      <c r="M59" s="20"/>
      <c r="N59" s="21"/>
    </row>
    <row r="60" spans="1:14" ht="15.75" customHeight="1">
      <c r="A60" s="40"/>
      <c r="B60" s="175" t="s">
        <v>43</v>
      </c>
      <c r="C60" s="175"/>
      <c r="D60" s="175"/>
      <c r="E60" s="175"/>
      <c r="F60" s="175"/>
      <c r="G60" s="175"/>
      <c r="H60" s="175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82" t="s">
        <v>141</v>
      </c>
      <c r="C61" s="83"/>
      <c r="D61" s="82" t="s">
        <v>52</v>
      </c>
      <c r="E61" s="84">
        <v>1349.3</v>
      </c>
      <c r="F61" s="86">
        <v>13.493</v>
      </c>
      <c r="G61" s="13">
        <v>793.61</v>
      </c>
      <c r="H61" s="92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16</v>
      </c>
      <c r="B62" s="111" t="s">
        <v>88</v>
      </c>
      <c r="C62" s="112" t="s">
        <v>26</v>
      </c>
      <c r="D62" s="111" t="s">
        <v>196</v>
      </c>
      <c r="E62" s="113">
        <v>200</v>
      </c>
      <c r="F62" s="114">
        <f>E62*12</f>
        <v>2400</v>
      </c>
      <c r="G62" s="115">
        <v>1.4</v>
      </c>
      <c r="H62" s="98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40"/>
      <c r="B63" s="175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5.75" customHeight="1">
      <c r="A64" s="40">
        <v>17</v>
      </c>
      <c r="B64" s="99" t="s">
        <v>45</v>
      </c>
      <c r="C64" s="16" t="s">
        <v>111</v>
      </c>
      <c r="D64" s="99" t="s">
        <v>189</v>
      </c>
      <c r="E64" s="18">
        <v>40</v>
      </c>
      <c r="F64" s="85">
        <v>40</v>
      </c>
      <c r="G64" s="124">
        <v>303.35000000000002</v>
      </c>
      <c r="H64" s="100">
        <f t="shared" ref="H64" si="9">SUM(F64*G64/1000)</f>
        <v>12.134</v>
      </c>
      <c r="I64" s="13">
        <f>G64*2</f>
        <v>606.70000000000005</v>
      </c>
      <c r="J64" s="23"/>
      <c r="L64" s="19"/>
    </row>
    <row r="65" spans="1:22" ht="19.5" hidden="1" customHeight="1">
      <c r="A65" s="29">
        <v>29</v>
      </c>
      <c r="B65" s="99" t="s">
        <v>46</v>
      </c>
      <c r="C65" s="16" t="s">
        <v>111</v>
      </c>
      <c r="D65" s="99" t="s">
        <v>65</v>
      </c>
      <c r="E65" s="18">
        <v>20</v>
      </c>
      <c r="F65" s="85">
        <v>20</v>
      </c>
      <c r="G65" s="13">
        <v>76.25</v>
      </c>
      <c r="H65" s="100">
        <f t="shared" ref="H65:H71" si="10">SUM(F65*G65/1000)</f>
        <v>1.5249999999999999</v>
      </c>
      <c r="I65" s="13">
        <v>0</v>
      </c>
    </row>
    <row r="66" spans="1:22" ht="22.5" hidden="1" customHeight="1">
      <c r="A66" s="29">
        <v>25</v>
      </c>
      <c r="B66" s="99" t="s">
        <v>47</v>
      </c>
      <c r="C66" s="16" t="s">
        <v>114</v>
      </c>
      <c r="D66" s="99" t="s">
        <v>52</v>
      </c>
      <c r="E66" s="84">
        <v>18890</v>
      </c>
      <c r="F66" s="13">
        <f>SUM(E66/100)</f>
        <v>188.9</v>
      </c>
      <c r="G66" s="13">
        <v>212.15</v>
      </c>
      <c r="H66" s="100">
        <f t="shared" si="10"/>
        <v>40.075135000000003</v>
      </c>
      <c r="I66" s="13">
        <f>F66*G66</f>
        <v>40075.135000000002</v>
      </c>
    </row>
    <row r="67" spans="1:22" ht="23.25" hidden="1" customHeight="1">
      <c r="A67" s="29">
        <v>26</v>
      </c>
      <c r="B67" s="99" t="s">
        <v>48</v>
      </c>
      <c r="C67" s="16" t="s">
        <v>115</v>
      </c>
      <c r="D67" s="99"/>
      <c r="E67" s="84">
        <v>18890</v>
      </c>
      <c r="F67" s="13">
        <f>SUM(E67/1000)</f>
        <v>18.89</v>
      </c>
      <c r="G67" s="13">
        <v>165.21</v>
      </c>
      <c r="H67" s="100">
        <f t="shared" si="10"/>
        <v>3.1208169000000003</v>
      </c>
      <c r="I67" s="13">
        <f t="shared" ref="I67:I70" si="11">F67*G67</f>
        <v>3120.8169000000003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20.25" hidden="1" customHeight="1">
      <c r="A68" s="29">
        <v>27</v>
      </c>
      <c r="B68" s="99" t="s">
        <v>49</v>
      </c>
      <c r="C68" s="16" t="s">
        <v>75</v>
      </c>
      <c r="D68" s="99" t="s">
        <v>52</v>
      </c>
      <c r="E68" s="84">
        <v>3004</v>
      </c>
      <c r="F68" s="13">
        <f>SUM(E68/100)</f>
        <v>30.04</v>
      </c>
      <c r="G68" s="13">
        <v>2074.63</v>
      </c>
      <c r="H68" s="100">
        <f t="shared" si="10"/>
        <v>62.321885200000004</v>
      </c>
      <c r="I68" s="13">
        <f t="shared" si="11"/>
        <v>62321.885200000004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21" hidden="1" customHeight="1">
      <c r="A69" s="29">
        <v>28</v>
      </c>
      <c r="B69" s="101" t="s">
        <v>116</v>
      </c>
      <c r="C69" s="16" t="s">
        <v>33</v>
      </c>
      <c r="D69" s="99"/>
      <c r="E69" s="84">
        <v>15.8</v>
      </c>
      <c r="F69" s="13">
        <f>SUM(E69)</f>
        <v>15.8</v>
      </c>
      <c r="G69" s="13">
        <v>42.67</v>
      </c>
      <c r="H69" s="100">
        <f t="shared" si="10"/>
        <v>0.67418600000000006</v>
      </c>
      <c r="I69" s="13">
        <f t="shared" si="11"/>
        <v>674.18600000000004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22.5" hidden="1" customHeight="1">
      <c r="A70" s="29">
        <v>29</v>
      </c>
      <c r="B70" s="101" t="s">
        <v>117</v>
      </c>
      <c r="C70" s="16" t="s">
        <v>33</v>
      </c>
      <c r="D70" s="99"/>
      <c r="E70" s="84">
        <v>15.8</v>
      </c>
      <c r="F70" s="13">
        <f>SUM(E70)</f>
        <v>15.8</v>
      </c>
      <c r="G70" s="13">
        <v>39.81</v>
      </c>
      <c r="H70" s="100">
        <f t="shared" si="10"/>
        <v>0.62899800000000006</v>
      </c>
      <c r="I70" s="13">
        <f t="shared" si="11"/>
        <v>628.99800000000005</v>
      </c>
      <c r="J70" s="5"/>
      <c r="K70" s="5"/>
      <c r="L70" s="5"/>
      <c r="M70" s="5"/>
      <c r="N70" s="5"/>
      <c r="O70" s="5"/>
      <c r="P70" s="5"/>
      <c r="Q70" s="5"/>
      <c r="R70" s="201"/>
      <c r="S70" s="201"/>
      <c r="T70" s="201"/>
      <c r="U70" s="201"/>
    </row>
    <row r="71" spans="1:22" ht="18.75" hidden="1" customHeight="1">
      <c r="A71" s="29">
        <v>11</v>
      </c>
      <c r="B71" s="99" t="s">
        <v>55</v>
      </c>
      <c r="C71" s="16" t="s">
        <v>56</v>
      </c>
      <c r="D71" s="99" t="s">
        <v>52</v>
      </c>
      <c r="E71" s="18">
        <v>15</v>
      </c>
      <c r="F71" s="85">
        <v>15</v>
      </c>
      <c r="G71" s="13">
        <v>49.88</v>
      </c>
      <c r="H71" s="100">
        <f t="shared" si="10"/>
        <v>0.74820000000000009</v>
      </c>
      <c r="I71" s="13">
        <f>G71*F71</f>
        <v>748.2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8.75" customHeight="1">
      <c r="A72" s="29"/>
      <c r="B72" s="159" t="s">
        <v>173</v>
      </c>
      <c r="C72" s="38"/>
      <c r="D72" s="37"/>
      <c r="E72" s="17"/>
      <c r="F72" s="115"/>
      <c r="G72" s="36"/>
      <c r="H72" s="100"/>
      <c r="I72" s="1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28.5" customHeight="1">
      <c r="A73" s="29">
        <v>18</v>
      </c>
      <c r="B73" s="37" t="s">
        <v>174</v>
      </c>
      <c r="C73" s="40" t="s">
        <v>175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100"/>
      <c r="I73" s="13">
        <f>G73*F73/12</f>
        <v>12235.362000000001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9.5" hidden="1" customHeight="1">
      <c r="A74" s="176"/>
      <c r="B74" s="175" t="s">
        <v>118</v>
      </c>
      <c r="C74" s="175"/>
      <c r="D74" s="175"/>
      <c r="E74" s="175"/>
      <c r="F74" s="175"/>
      <c r="G74" s="175"/>
      <c r="H74" s="175"/>
      <c r="I74" s="18"/>
    </row>
    <row r="75" spans="1:22" ht="14.25" hidden="1" customHeight="1">
      <c r="A75" s="29">
        <v>19</v>
      </c>
      <c r="B75" s="82" t="s">
        <v>119</v>
      </c>
      <c r="C75" s="16"/>
      <c r="D75" s="99"/>
      <c r="E75" s="77"/>
      <c r="F75" s="13">
        <v>1</v>
      </c>
      <c r="G75" s="13">
        <v>27865.200000000001</v>
      </c>
      <c r="H75" s="100">
        <f>G75*F75/1000</f>
        <v>27.865200000000002</v>
      </c>
      <c r="I75" s="13">
        <v>0</v>
      </c>
    </row>
    <row r="76" spans="1:22" ht="24.75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33.75" hidden="1" customHeight="1">
      <c r="A77" s="29">
        <v>12</v>
      </c>
      <c r="B77" s="37" t="s">
        <v>184</v>
      </c>
      <c r="C77" s="38" t="s">
        <v>111</v>
      </c>
      <c r="D77" s="37"/>
      <c r="E77" s="17">
        <v>2</v>
      </c>
      <c r="F77" s="36">
        <f>E77</f>
        <v>2</v>
      </c>
      <c r="G77" s="36">
        <v>2112.2800000000002</v>
      </c>
      <c r="H77" s="177"/>
      <c r="I77" s="18">
        <f>G77*1</f>
        <v>2112.2800000000002</v>
      </c>
    </row>
    <row r="78" spans="1:22" ht="16.5" customHeight="1">
      <c r="A78" s="29">
        <v>19</v>
      </c>
      <c r="B78" s="37" t="s">
        <v>71</v>
      </c>
      <c r="C78" s="38" t="s">
        <v>73</v>
      </c>
      <c r="D78" s="37" t="s">
        <v>273</v>
      </c>
      <c r="E78" s="17">
        <v>8</v>
      </c>
      <c r="F78" s="36">
        <f>E78/10</f>
        <v>0.8</v>
      </c>
      <c r="G78" s="36">
        <v>684.19</v>
      </c>
      <c r="H78" s="100">
        <f t="shared" ref="H78:H82" si="12">SUM(F78*G78/1000)</f>
        <v>0.54735200000000006</v>
      </c>
      <c r="I78" s="13">
        <f>G78*0.3</f>
        <v>205.25700000000001</v>
      </c>
    </row>
    <row r="79" spans="1:22" ht="27.75" hidden="1" customHeight="1">
      <c r="A79" s="29"/>
      <c r="B79" s="99" t="s">
        <v>132</v>
      </c>
      <c r="C79" s="16" t="s">
        <v>31</v>
      </c>
      <c r="D79" s="99"/>
      <c r="E79" s="18">
        <v>1</v>
      </c>
      <c r="F79" s="13">
        <v>1</v>
      </c>
      <c r="G79" s="13">
        <v>99.85</v>
      </c>
      <c r="H79" s="100">
        <f>F79*G79/1000</f>
        <v>9.9849999999999994E-2</v>
      </c>
      <c r="I79" s="13">
        <v>0</v>
      </c>
    </row>
    <row r="80" spans="1:22" ht="31.5" hidden="1" customHeight="1">
      <c r="A80" s="29"/>
      <c r="B80" s="99" t="s">
        <v>133</v>
      </c>
      <c r="C80" s="16" t="s">
        <v>31</v>
      </c>
      <c r="D80" s="99"/>
      <c r="E80" s="18">
        <v>1</v>
      </c>
      <c r="F80" s="13">
        <v>1</v>
      </c>
      <c r="G80" s="13">
        <v>120.26</v>
      </c>
      <c r="H80" s="100">
        <f>F80*G80/1000</f>
        <v>0.12026000000000001</v>
      </c>
      <c r="I80" s="13">
        <v>0</v>
      </c>
    </row>
    <row r="81" spans="1:9" ht="33" hidden="1" customHeight="1">
      <c r="A81" s="29">
        <v>19</v>
      </c>
      <c r="B81" s="99" t="s">
        <v>72</v>
      </c>
      <c r="C81" s="16" t="s">
        <v>31</v>
      </c>
      <c r="D81" s="99"/>
      <c r="E81" s="18">
        <v>2</v>
      </c>
      <c r="F81" s="97">
        <v>2</v>
      </c>
      <c r="G81" s="13">
        <v>852.99</v>
      </c>
      <c r="H81" s="100">
        <f>F81*G81/1000</f>
        <v>1.7059800000000001</v>
      </c>
      <c r="I81" s="13">
        <f>G81</f>
        <v>852.99</v>
      </c>
    </row>
    <row r="82" spans="1:9" ht="20.25" hidden="1" customHeight="1">
      <c r="A82" s="29">
        <v>17</v>
      </c>
      <c r="B82" s="99" t="s">
        <v>83</v>
      </c>
      <c r="C82" s="16" t="s">
        <v>111</v>
      </c>
      <c r="D82" s="99"/>
      <c r="E82" s="18">
        <v>1</v>
      </c>
      <c r="F82" s="85">
        <f>SUM(E82)</f>
        <v>1</v>
      </c>
      <c r="G82" s="13">
        <v>358.51</v>
      </c>
      <c r="H82" s="100">
        <f t="shared" si="12"/>
        <v>0.35851</v>
      </c>
      <c r="I82" s="13">
        <v>0</v>
      </c>
    </row>
    <row r="83" spans="1:9" ht="30.75" customHeight="1">
      <c r="A83" s="29">
        <v>20</v>
      </c>
      <c r="B83" s="37" t="s">
        <v>176</v>
      </c>
      <c r="C83" s="38" t="s">
        <v>111</v>
      </c>
      <c r="D83" s="37" t="s">
        <v>190</v>
      </c>
      <c r="E83" s="17">
        <v>1</v>
      </c>
      <c r="F83" s="36">
        <f>E83*12</f>
        <v>12</v>
      </c>
      <c r="G83" s="36">
        <v>55.55</v>
      </c>
      <c r="H83" s="100"/>
      <c r="I83" s="13">
        <f>G83*F83/12</f>
        <v>55.54999999999999</v>
      </c>
    </row>
    <row r="84" spans="1:9" ht="19.5" hidden="1" customHeight="1">
      <c r="A84" s="29"/>
      <c r="B84" s="49" t="s">
        <v>74</v>
      </c>
      <c r="C84" s="38"/>
      <c r="D84" s="29"/>
      <c r="E84" s="18"/>
      <c r="F84" s="18"/>
      <c r="G84" s="36"/>
      <c r="H84" s="36"/>
      <c r="I84" s="18"/>
    </row>
    <row r="85" spans="1:9" ht="19.5" hidden="1" customHeight="1">
      <c r="A85" s="29">
        <v>39</v>
      </c>
      <c r="B85" s="51" t="s">
        <v>120</v>
      </c>
      <c r="C85" s="16" t="s">
        <v>75</v>
      </c>
      <c r="D85" s="99"/>
      <c r="E85" s="18"/>
      <c r="F85" s="13">
        <v>1.35</v>
      </c>
      <c r="G85" s="13">
        <v>2759.44</v>
      </c>
      <c r="H85" s="100">
        <f t="shared" ref="H85" si="13">SUM(F85*G85/1000)</f>
        <v>3.725244</v>
      </c>
      <c r="I85" s="13">
        <v>0</v>
      </c>
    </row>
    <row r="86" spans="1:9" ht="15.75" customHeight="1">
      <c r="A86" s="210" t="s">
        <v>149</v>
      </c>
      <c r="B86" s="211"/>
      <c r="C86" s="211"/>
      <c r="D86" s="211"/>
      <c r="E86" s="211"/>
      <c r="F86" s="211"/>
      <c r="G86" s="211"/>
      <c r="H86" s="211"/>
      <c r="I86" s="212"/>
    </row>
    <row r="87" spans="1:9" ht="15.75" customHeight="1">
      <c r="A87" s="29">
        <v>21</v>
      </c>
      <c r="B87" s="32" t="s">
        <v>121</v>
      </c>
      <c r="C87" s="38" t="s">
        <v>53</v>
      </c>
      <c r="D87" s="63"/>
      <c r="E87" s="36">
        <v>5162.6000000000004</v>
      </c>
      <c r="F87" s="36">
        <f>SUM(E87*12)</f>
        <v>61951.200000000004</v>
      </c>
      <c r="G87" s="36">
        <v>3.22</v>
      </c>
      <c r="H87" s="102">
        <f>SUM(F87*G87/1000)</f>
        <v>199.48286400000003</v>
      </c>
      <c r="I87" s="13">
        <f>F87/12*G87</f>
        <v>16623.572000000004</v>
      </c>
    </row>
    <row r="88" spans="1:9" ht="31.5" customHeight="1">
      <c r="A88" s="29">
        <v>22</v>
      </c>
      <c r="B88" s="37" t="s">
        <v>177</v>
      </c>
      <c r="C88" s="112" t="s">
        <v>178</v>
      </c>
      <c r="D88" s="37"/>
      <c r="E88" s="17">
        <v>5162.6000000000004</v>
      </c>
      <c r="F88" s="36">
        <f>E88*12</f>
        <v>61951.200000000004</v>
      </c>
      <c r="G88" s="36">
        <v>3.64</v>
      </c>
      <c r="H88" s="100">
        <f>F88*G88/1000</f>
        <v>225.50236800000002</v>
      </c>
      <c r="I88" s="13">
        <f>F88/12*G88</f>
        <v>18791.864000000001</v>
      </c>
    </row>
    <row r="89" spans="1:9" ht="15.75" customHeight="1">
      <c r="A89" s="176"/>
      <c r="B89" s="39" t="s">
        <v>78</v>
      </c>
      <c r="C89" s="40"/>
      <c r="D89" s="15"/>
      <c r="E89" s="15"/>
      <c r="F89" s="15"/>
      <c r="G89" s="18"/>
      <c r="H89" s="18"/>
      <c r="I89" s="31">
        <f>I88+I87+I83+I78+I73+I64+I62++I59+I31+I30+I27+I26+I25+I24+I23+I22+I21+I20+I19+I18+I17+I16</f>
        <v>86827.855716599981</v>
      </c>
    </row>
    <row r="90" spans="1:9" ht="15.75" customHeight="1">
      <c r="A90" s="213" t="s">
        <v>58</v>
      </c>
      <c r="B90" s="214"/>
      <c r="C90" s="214"/>
      <c r="D90" s="214"/>
      <c r="E90" s="214"/>
      <c r="F90" s="214"/>
      <c r="G90" s="214"/>
      <c r="H90" s="214"/>
      <c r="I90" s="215"/>
    </row>
    <row r="91" spans="1:9" ht="34.5" customHeight="1">
      <c r="A91" s="177">
        <v>23</v>
      </c>
      <c r="B91" s="66" t="s">
        <v>256</v>
      </c>
      <c r="C91" s="67" t="s">
        <v>200</v>
      </c>
      <c r="D91" s="37" t="s">
        <v>272</v>
      </c>
      <c r="E91" s="36"/>
      <c r="F91" s="36">
        <v>6.5</v>
      </c>
      <c r="G91" s="36">
        <v>3498.52</v>
      </c>
      <c r="H91" s="196"/>
      <c r="I91" s="178">
        <f>G91*6.5</f>
        <v>22740.38</v>
      </c>
    </row>
    <row r="92" spans="1:9" ht="19.5" customHeight="1">
      <c r="A92" s="29">
        <v>24</v>
      </c>
      <c r="B92" s="66" t="s">
        <v>257</v>
      </c>
      <c r="C92" s="67" t="s">
        <v>111</v>
      </c>
      <c r="D92" s="64"/>
      <c r="E92" s="36"/>
      <c r="F92" s="36">
        <v>6.5</v>
      </c>
      <c r="G92" s="36">
        <v>837</v>
      </c>
      <c r="H92" s="102">
        <f t="shared" ref="H92" si="14">G92*F92/1000</f>
        <v>5.4405000000000001</v>
      </c>
      <c r="I92" s="13">
        <f>G92*6.5</f>
        <v>5440.5</v>
      </c>
    </row>
    <row r="93" spans="1:9" ht="16.5" customHeight="1">
      <c r="A93" s="29">
        <v>25</v>
      </c>
      <c r="B93" s="66" t="s">
        <v>258</v>
      </c>
      <c r="C93" s="67" t="s">
        <v>111</v>
      </c>
      <c r="D93" s="64"/>
      <c r="E93" s="36"/>
      <c r="F93" s="36">
        <v>2</v>
      </c>
      <c r="G93" s="36">
        <v>890</v>
      </c>
      <c r="H93" s="102">
        <f>G93*F93/1000</f>
        <v>1.78</v>
      </c>
      <c r="I93" s="13">
        <f>G93*2</f>
        <v>1780</v>
      </c>
    </row>
    <row r="94" spans="1:9" ht="17.25" customHeight="1">
      <c r="A94" s="29">
        <v>26</v>
      </c>
      <c r="B94" s="66" t="s">
        <v>201</v>
      </c>
      <c r="C94" s="67" t="s">
        <v>111</v>
      </c>
      <c r="D94" s="64"/>
      <c r="E94" s="36"/>
      <c r="F94" s="36">
        <v>3</v>
      </c>
      <c r="G94" s="36">
        <v>1100</v>
      </c>
      <c r="H94" s="102"/>
      <c r="I94" s="13">
        <f>G94*3</f>
        <v>3300</v>
      </c>
    </row>
    <row r="95" spans="1:9" ht="30" customHeight="1">
      <c r="A95" s="29">
        <v>27</v>
      </c>
      <c r="B95" s="66" t="s">
        <v>259</v>
      </c>
      <c r="C95" s="67" t="s">
        <v>260</v>
      </c>
      <c r="D95" s="37" t="s">
        <v>267</v>
      </c>
      <c r="E95" s="36"/>
      <c r="F95" s="36">
        <v>3.5</v>
      </c>
      <c r="G95" s="36">
        <v>690</v>
      </c>
      <c r="H95" s="102"/>
      <c r="I95" s="13">
        <f>G95*3.5</f>
        <v>2415</v>
      </c>
    </row>
    <row r="96" spans="1:9" ht="33.75" customHeight="1">
      <c r="A96" s="29">
        <v>28</v>
      </c>
      <c r="B96" s="66" t="s">
        <v>145</v>
      </c>
      <c r="C96" s="67" t="s">
        <v>146</v>
      </c>
      <c r="D96" s="64"/>
      <c r="E96" s="36"/>
      <c r="F96" s="36">
        <v>3</v>
      </c>
      <c r="G96" s="36">
        <v>61.58</v>
      </c>
      <c r="H96" s="102"/>
      <c r="I96" s="13">
        <f>G96*2</f>
        <v>123.16</v>
      </c>
    </row>
    <row r="97" spans="1:9" ht="44.25" customHeight="1">
      <c r="A97" s="29">
        <v>29</v>
      </c>
      <c r="B97" s="66" t="s">
        <v>142</v>
      </c>
      <c r="C97" s="67" t="s">
        <v>80</v>
      </c>
      <c r="D97" s="37" t="s">
        <v>271</v>
      </c>
      <c r="E97" s="36"/>
      <c r="F97" s="36">
        <v>7</v>
      </c>
      <c r="G97" s="36">
        <v>222.63</v>
      </c>
      <c r="H97" s="102"/>
      <c r="I97" s="13">
        <f>G97*3</f>
        <v>667.89</v>
      </c>
    </row>
    <row r="98" spans="1:9" ht="33.75" customHeight="1">
      <c r="A98" s="29">
        <v>30</v>
      </c>
      <c r="B98" s="66" t="s">
        <v>218</v>
      </c>
      <c r="C98" s="67" t="s">
        <v>164</v>
      </c>
      <c r="D98" s="64" t="s">
        <v>268</v>
      </c>
      <c r="E98" s="36"/>
      <c r="F98" s="36">
        <v>2</v>
      </c>
      <c r="G98" s="36">
        <v>1523.6</v>
      </c>
      <c r="H98" s="102"/>
      <c r="I98" s="13">
        <f>G98*1</f>
        <v>1523.6</v>
      </c>
    </row>
    <row r="99" spans="1:9" ht="28.5" customHeight="1">
      <c r="A99" s="29">
        <v>31</v>
      </c>
      <c r="B99" s="66" t="s">
        <v>242</v>
      </c>
      <c r="C99" s="67" t="s">
        <v>164</v>
      </c>
      <c r="D99" s="37" t="s">
        <v>269</v>
      </c>
      <c r="E99" s="36"/>
      <c r="F99" s="36">
        <v>12</v>
      </c>
      <c r="G99" s="36">
        <v>1421.68</v>
      </c>
      <c r="H99" s="102"/>
      <c r="I99" s="13">
        <f>G99*10</f>
        <v>14216.800000000001</v>
      </c>
    </row>
    <row r="100" spans="1:9" ht="17.25" customHeight="1">
      <c r="A100" s="29">
        <v>32</v>
      </c>
      <c r="B100" s="66" t="s">
        <v>261</v>
      </c>
      <c r="C100" s="67" t="s">
        <v>111</v>
      </c>
      <c r="D100" s="64"/>
      <c r="E100" s="36"/>
      <c r="F100" s="36">
        <v>1</v>
      </c>
      <c r="G100" s="36">
        <v>142.19999999999999</v>
      </c>
      <c r="H100" s="102"/>
      <c r="I100" s="13">
        <f>G100*1</f>
        <v>142.19999999999999</v>
      </c>
    </row>
    <row r="101" spans="1:9" ht="17.25" customHeight="1">
      <c r="A101" s="29">
        <v>33</v>
      </c>
      <c r="B101" s="66" t="s">
        <v>180</v>
      </c>
      <c r="C101" s="67" t="s">
        <v>111</v>
      </c>
      <c r="D101" s="64"/>
      <c r="E101" s="36"/>
      <c r="F101" s="36">
        <v>1</v>
      </c>
      <c r="G101" s="36">
        <v>216.96</v>
      </c>
      <c r="H101" s="102"/>
      <c r="I101" s="13">
        <f>G101*1</f>
        <v>216.96</v>
      </c>
    </row>
    <row r="102" spans="1:9" ht="30.75" customHeight="1">
      <c r="A102" s="29">
        <v>34</v>
      </c>
      <c r="B102" s="66" t="s">
        <v>220</v>
      </c>
      <c r="C102" s="67" t="s">
        <v>37</v>
      </c>
      <c r="D102" s="64" t="s">
        <v>189</v>
      </c>
      <c r="E102" s="36"/>
      <c r="F102" s="36">
        <v>0.06</v>
      </c>
      <c r="G102" s="36">
        <v>4070.89</v>
      </c>
      <c r="H102" s="102"/>
      <c r="I102" s="13">
        <v>0</v>
      </c>
    </row>
    <row r="103" spans="1:9" ht="36" customHeight="1">
      <c r="A103" s="29">
        <v>35</v>
      </c>
      <c r="B103" s="66" t="s">
        <v>262</v>
      </c>
      <c r="C103" s="67" t="s">
        <v>111</v>
      </c>
      <c r="D103" s="64"/>
      <c r="E103" s="36"/>
      <c r="F103" s="36">
        <v>1</v>
      </c>
      <c r="G103" s="36">
        <v>3532.33</v>
      </c>
      <c r="H103" s="102"/>
      <c r="I103" s="13">
        <f>G103*1</f>
        <v>3532.33</v>
      </c>
    </row>
    <row r="104" spans="1:9" ht="33" customHeight="1">
      <c r="A104" s="29">
        <v>36</v>
      </c>
      <c r="B104" s="66" t="s">
        <v>77</v>
      </c>
      <c r="C104" s="67" t="s">
        <v>111</v>
      </c>
      <c r="D104" s="64"/>
      <c r="E104" s="36"/>
      <c r="F104" s="36">
        <v>1</v>
      </c>
      <c r="G104" s="36">
        <v>94.76</v>
      </c>
      <c r="H104" s="102"/>
      <c r="I104" s="13">
        <f>G104*1</f>
        <v>94.76</v>
      </c>
    </row>
    <row r="105" spans="1:9" ht="17.25" customHeight="1">
      <c r="A105" s="29">
        <v>37</v>
      </c>
      <c r="B105" s="66" t="s">
        <v>263</v>
      </c>
      <c r="C105" s="67" t="s">
        <v>264</v>
      </c>
      <c r="D105" s="64" t="s">
        <v>270</v>
      </c>
      <c r="E105" s="36"/>
      <c r="F105" s="36">
        <v>1</v>
      </c>
      <c r="G105" s="36">
        <v>158.85</v>
      </c>
      <c r="H105" s="102"/>
      <c r="I105" s="13">
        <f>G105*1</f>
        <v>158.85</v>
      </c>
    </row>
    <row r="106" spans="1:9" ht="17.25" customHeight="1">
      <c r="A106" s="29">
        <v>38</v>
      </c>
      <c r="B106" s="66" t="s">
        <v>228</v>
      </c>
      <c r="C106" s="67" t="s">
        <v>164</v>
      </c>
      <c r="D106" s="64" t="s">
        <v>337</v>
      </c>
      <c r="E106" s="36"/>
      <c r="F106" s="36">
        <v>31</v>
      </c>
      <c r="G106" s="36">
        <v>284</v>
      </c>
      <c r="H106" s="102"/>
      <c r="I106" s="13">
        <v>0</v>
      </c>
    </row>
    <row r="107" spans="1:9" ht="27.75" customHeight="1">
      <c r="A107" s="29">
        <v>39</v>
      </c>
      <c r="B107" s="66" t="s">
        <v>157</v>
      </c>
      <c r="C107" s="67" t="s">
        <v>152</v>
      </c>
      <c r="D107" s="64" t="s">
        <v>248</v>
      </c>
      <c r="E107" s="36"/>
      <c r="F107" s="36">
        <v>2</v>
      </c>
      <c r="G107" s="36">
        <v>913.43</v>
      </c>
      <c r="H107" s="102"/>
      <c r="I107" s="13">
        <f>G107*1</f>
        <v>913.43</v>
      </c>
    </row>
    <row r="108" spans="1:9" ht="27.75" customHeight="1">
      <c r="A108" s="29">
        <v>40</v>
      </c>
      <c r="B108" s="66" t="s">
        <v>151</v>
      </c>
      <c r="C108" s="67" t="s">
        <v>152</v>
      </c>
      <c r="D108" s="64" t="s">
        <v>248</v>
      </c>
      <c r="E108" s="36"/>
      <c r="F108" s="36">
        <v>1</v>
      </c>
      <c r="G108" s="36">
        <v>670.51</v>
      </c>
      <c r="H108" s="102"/>
      <c r="I108" s="13">
        <f>G108*1</f>
        <v>670.51</v>
      </c>
    </row>
    <row r="109" spans="1:9" ht="16.5" customHeight="1">
      <c r="A109" s="29"/>
      <c r="B109" s="45" t="s">
        <v>50</v>
      </c>
      <c r="C109" s="41"/>
      <c r="D109" s="53"/>
      <c r="E109" s="41">
        <v>1</v>
      </c>
      <c r="F109" s="41"/>
      <c r="G109" s="41"/>
      <c r="H109" s="41"/>
      <c r="I109" s="31">
        <f>SUM(I91:I108)</f>
        <v>57936.37000000001</v>
      </c>
    </row>
    <row r="110" spans="1:9" ht="15.75" customHeight="1">
      <c r="A110" s="29"/>
      <c r="B110" s="51" t="s">
        <v>76</v>
      </c>
      <c r="C110" s="15"/>
      <c r="D110" s="15"/>
      <c r="E110" s="42"/>
      <c r="F110" s="42"/>
      <c r="G110" s="43"/>
      <c r="H110" s="43"/>
      <c r="I110" s="17">
        <v>0</v>
      </c>
    </row>
    <row r="111" spans="1:9" ht="17.25" customHeight="1">
      <c r="A111" s="54"/>
      <c r="B111" s="46" t="s">
        <v>143</v>
      </c>
      <c r="C111" s="34"/>
      <c r="D111" s="34"/>
      <c r="E111" s="34"/>
      <c r="F111" s="34"/>
      <c r="G111" s="34"/>
      <c r="H111" s="34"/>
      <c r="I111" s="44">
        <f>I89+I109</f>
        <v>144764.22571659999</v>
      </c>
    </row>
    <row r="112" spans="1:9" ht="16.5" customHeight="1">
      <c r="A112" s="207" t="s">
        <v>338</v>
      </c>
      <c r="B112" s="207"/>
      <c r="C112" s="207"/>
      <c r="D112" s="207"/>
      <c r="E112" s="207"/>
      <c r="F112" s="207"/>
      <c r="G112" s="207"/>
      <c r="H112" s="207"/>
      <c r="I112" s="207"/>
    </row>
    <row r="113" spans="1:9" ht="15.75" customHeight="1">
      <c r="A113" s="61"/>
      <c r="B113" s="208" t="s">
        <v>339</v>
      </c>
      <c r="C113" s="208"/>
      <c r="D113" s="208"/>
      <c r="E113" s="208"/>
      <c r="F113" s="208"/>
      <c r="G113" s="208"/>
      <c r="H113" s="80"/>
      <c r="I113" s="3"/>
    </row>
    <row r="114" spans="1:9" ht="15.75" customHeight="1">
      <c r="A114" s="74"/>
      <c r="B114" s="206" t="s">
        <v>6</v>
      </c>
      <c r="C114" s="206"/>
      <c r="D114" s="206"/>
      <c r="E114" s="206"/>
      <c r="F114" s="206"/>
      <c r="G114" s="206"/>
      <c r="H114" s="24"/>
      <c r="I114" s="5"/>
    </row>
    <row r="115" spans="1:9" ht="15.75" customHeight="1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ht="15.75">
      <c r="A116" s="209" t="s">
        <v>7</v>
      </c>
      <c r="B116" s="209"/>
      <c r="C116" s="209"/>
      <c r="D116" s="209"/>
      <c r="E116" s="209"/>
      <c r="F116" s="209"/>
      <c r="G116" s="209"/>
      <c r="H116" s="209"/>
      <c r="I116" s="209"/>
    </row>
    <row r="117" spans="1:9" ht="15.75">
      <c r="A117" s="209" t="s">
        <v>8</v>
      </c>
      <c r="B117" s="209"/>
      <c r="C117" s="209"/>
      <c r="D117" s="209"/>
      <c r="E117" s="209"/>
      <c r="F117" s="209"/>
      <c r="G117" s="209"/>
      <c r="H117" s="209"/>
      <c r="I117" s="209"/>
    </row>
    <row r="118" spans="1:9" ht="15.75">
      <c r="A118" s="203" t="s">
        <v>59</v>
      </c>
      <c r="B118" s="203"/>
      <c r="C118" s="203"/>
      <c r="D118" s="203"/>
      <c r="E118" s="203"/>
      <c r="F118" s="203"/>
      <c r="G118" s="203"/>
      <c r="H118" s="203"/>
      <c r="I118" s="203"/>
    </row>
    <row r="119" spans="1:9" ht="15.75">
      <c r="A119" s="11"/>
    </row>
    <row r="120" spans="1:9" ht="15.75">
      <c r="A120" s="204" t="s">
        <v>9</v>
      </c>
      <c r="B120" s="204"/>
      <c r="C120" s="204"/>
      <c r="D120" s="204"/>
      <c r="E120" s="204"/>
      <c r="F120" s="204"/>
      <c r="G120" s="204"/>
      <c r="H120" s="204"/>
      <c r="I120" s="204"/>
    </row>
    <row r="121" spans="1:9" ht="15.75">
      <c r="A121" s="4"/>
    </row>
    <row r="122" spans="1:9" ht="15.75">
      <c r="B122" s="72" t="s">
        <v>10</v>
      </c>
      <c r="C122" s="205" t="s">
        <v>84</v>
      </c>
      <c r="D122" s="205"/>
      <c r="E122" s="205"/>
      <c r="F122" s="78"/>
      <c r="I122" s="73"/>
    </row>
    <row r="123" spans="1:9">
      <c r="A123" s="74"/>
      <c r="C123" s="206" t="s">
        <v>11</v>
      </c>
      <c r="D123" s="206"/>
      <c r="E123" s="206"/>
      <c r="F123" s="24"/>
      <c r="I123" s="71" t="s">
        <v>12</v>
      </c>
    </row>
    <row r="124" spans="1:9" ht="15.75">
      <c r="A124" s="25"/>
      <c r="C124" s="12"/>
      <c r="D124" s="12"/>
      <c r="G124" s="12"/>
      <c r="H124" s="12"/>
    </row>
    <row r="125" spans="1:9" ht="15.75">
      <c r="B125" s="72" t="s">
        <v>13</v>
      </c>
      <c r="C125" s="200"/>
      <c r="D125" s="200"/>
      <c r="E125" s="200"/>
      <c r="F125" s="79"/>
      <c r="I125" s="73"/>
    </row>
    <row r="126" spans="1:9">
      <c r="A126" s="74"/>
      <c r="C126" s="201" t="s">
        <v>11</v>
      </c>
      <c r="D126" s="201"/>
      <c r="E126" s="201"/>
      <c r="F126" s="74"/>
      <c r="I126" s="71" t="s">
        <v>12</v>
      </c>
    </row>
    <row r="127" spans="1:9" ht="15.75">
      <c r="A127" s="4" t="s">
        <v>14</v>
      </c>
    </row>
    <row r="128" spans="1:9">
      <c r="A128" s="202" t="s">
        <v>15</v>
      </c>
      <c r="B128" s="202"/>
      <c r="C128" s="202"/>
      <c r="D128" s="202"/>
      <c r="E128" s="202"/>
      <c r="F128" s="202"/>
      <c r="G128" s="202"/>
      <c r="H128" s="202"/>
      <c r="I128" s="202"/>
    </row>
    <row r="129" spans="1:9" ht="15.75">
      <c r="A129" s="199" t="s">
        <v>16</v>
      </c>
      <c r="B129" s="199"/>
      <c r="C129" s="199"/>
      <c r="D129" s="199"/>
      <c r="E129" s="199"/>
      <c r="F129" s="199"/>
      <c r="G129" s="199"/>
      <c r="H129" s="199"/>
      <c r="I129" s="199"/>
    </row>
    <row r="130" spans="1:9" ht="15.75">
      <c r="A130" s="199" t="s">
        <v>17</v>
      </c>
      <c r="B130" s="199"/>
      <c r="C130" s="199"/>
      <c r="D130" s="199"/>
      <c r="E130" s="199"/>
      <c r="F130" s="199"/>
      <c r="G130" s="199"/>
      <c r="H130" s="199"/>
      <c r="I130" s="199"/>
    </row>
    <row r="131" spans="1:9" ht="15.75">
      <c r="A131" s="199" t="s">
        <v>21</v>
      </c>
      <c r="B131" s="199"/>
      <c r="C131" s="199"/>
      <c r="D131" s="199"/>
      <c r="E131" s="199"/>
      <c r="F131" s="199"/>
      <c r="G131" s="199"/>
      <c r="H131" s="199"/>
      <c r="I131" s="199"/>
    </row>
    <row r="132" spans="1:9" ht="15.75">
      <c r="A132" s="199" t="s">
        <v>20</v>
      </c>
      <c r="B132" s="199"/>
      <c r="C132" s="199"/>
      <c r="D132" s="199"/>
      <c r="E132" s="199"/>
      <c r="F132" s="199"/>
      <c r="G132" s="199"/>
      <c r="H132" s="199"/>
      <c r="I132" s="199"/>
    </row>
    <row r="133" spans="1:9" ht="45" customHeight="1"/>
    <row r="134" spans="1:9" ht="30" customHeight="1"/>
    <row r="135" spans="1:9" ht="30" customHeight="1"/>
    <row r="136" spans="1:9" ht="15" customHeight="1"/>
  </sheetData>
  <autoFilter ref="I12:I65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0:U70"/>
    <mergeCell ref="C126:E126"/>
    <mergeCell ref="A90:I90"/>
    <mergeCell ref="A112:I112"/>
    <mergeCell ref="B113:G113"/>
    <mergeCell ref="B114:G114"/>
    <mergeCell ref="A116:I116"/>
    <mergeCell ref="A117:I117"/>
    <mergeCell ref="A118:I118"/>
    <mergeCell ref="A120:I120"/>
    <mergeCell ref="C122:E122"/>
    <mergeCell ref="C123:E123"/>
    <mergeCell ref="C125:E125"/>
    <mergeCell ref="A86:I86"/>
    <mergeCell ref="A128:I128"/>
    <mergeCell ref="A129:I129"/>
    <mergeCell ref="A130:I130"/>
    <mergeCell ref="A131:I131"/>
    <mergeCell ref="A132:I132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27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8"/>
  <sheetViews>
    <sheetView topLeftCell="A88" workbookViewId="0">
      <selection activeCell="J111" sqref="J11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155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274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44043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181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189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F18/18*2*G18</f>
        <v>8937.5623199999991</v>
      </c>
      <c r="J18" s="22"/>
      <c r="K18" s="8"/>
      <c r="L18" s="8"/>
      <c r="M18" s="8"/>
    </row>
    <row r="19" spans="1:13" ht="14.2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6" t="s">
        <v>89</v>
      </c>
      <c r="D20" s="32" t="s">
        <v>196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6.5" customHeight="1">
      <c r="A21" s="29">
        <v>5</v>
      </c>
      <c r="B21" s="32" t="s">
        <v>96</v>
      </c>
      <c r="C21" s="136" t="s">
        <v>89</v>
      </c>
      <c r="D21" s="32" t="s">
        <v>196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7.2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3.5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2" t="s">
        <v>81</v>
      </c>
      <c r="B28" s="222"/>
      <c r="C28" s="222"/>
      <c r="D28" s="222"/>
      <c r="E28" s="222"/>
      <c r="F28" s="222"/>
      <c r="G28" s="222"/>
      <c r="H28" s="222"/>
      <c r="I28" s="222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7</v>
      </c>
      <c r="B30" s="32" t="s">
        <v>101</v>
      </c>
      <c r="C30" s="136" t="s">
        <v>102</v>
      </c>
      <c r="D30" s="32" t="s">
        <v>188</v>
      </c>
      <c r="E30" s="137">
        <v>1304.45</v>
      </c>
      <c r="F30" s="137">
        <f>SUM(E30*52/1000)</f>
        <v>67.831400000000002</v>
      </c>
      <c r="G30" s="137">
        <v>212.62</v>
      </c>
      <c r="H30" s="86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8</v>
      </c>
      <c r="B31" s="32" t="s">
        <v>139</v>
      </c>
      <c r="C31" s="136" t="s">
        <v>102</v>
      </c>
      <c r="D31" s="32" t="s">
        <v>188</v>
      </c>
      <c r="E31" s="137">
        <v>287.83999999999997</v>
      </c>
      <c r="F31" s="137">
        <f>SUM(E31*52/1000)</f>
        <v>14.967679999999998</v>
      </c>
      <c r="G31" s="137">
        <v>352.77</v>
      </c>
      <c r="H31" s="86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63</v>
      </c>
      <c r="C33" s="83" t="s">
        <v>33</v>
      </c>
      <c r="D33" s="82" t="s">
        <v>65</v>
      </c>
      <c r="E33" s="84"/>
      <c r="F33" s="85">
        <v>3</v>
      </c>
      <c r="G33" s="85">
        <v>191.32</v>
      </c>
      <c r="H33" s="86">
        <f t="shared" si="5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82" t="s">
        <v>64</v>
      </c>
      <c r="C34" s="83" t="s">
        <v>32</v>
      </c>
      <c r="D34" s="82" t="s">
        <v>65</v>
      </c>
      <c r="E34" s="84"/>
      <c r="F34" s="85">
        <v>2</v>
      </c>
      <c r="G34" s="85">
        <v>1136.32</v>
      </c>
      <c r="H34" s="86">
        <f t="shared" si="5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226" t="s">
        <v>136</v>
      </c>
      <c r="B44" s="227"/>
      <c r="C44" s="227"/>
      <c r="D44" s="227"/>
      <c r="E44" s="227"/>
      <c r="F44" s="227"/>
      <c r="G44" s="227"/>
      <c r="H44" s="227"/>
      <c r="I44" s="228"/>
      <c r="J44" s="23"/>
      <c r="L44" s="19"/>
      <c r="M44" s="20"/>
      <c r="N44" s="21"/>
    </row>
    <row r="45" spans="1:14" ht="15.75" hidden="1" customHeight="1">
      <c r="A45" s="40">
        <v>18</v>
      </c>
      <c r="B45" s="82" t="s">
        <v>128</v>
      </c>
      <c r="C45" s="83" t="s">
        <v>102</v>
      </c>
      <c r="D45" s="82" t="s">
        <v>41</v>
      </c>
      <c r="E45" s="84">
        <v>1369</v>
      </c>
      <c r="F45" s="85">
        <f>SUM(E45*2/1000)</f>
        <v>2.738</v>
      </c>
      <c r="G45" s="13">
        <v>849.49</v>
      </c>
      <c r="H45" s="86">
        <f t="shared" ref="H45:H53" si="7">SUM(F45*G45/1000)</f>
        <v>2.3259036200000001</v>
      </c>
      <c r="I45" s="13">
        <f t="shared" ref="I45:I47" si="8">F45/2*G45</f>
        <v>1162.95181</v>
      </c>
      <c r="J45" s="23"/>
      <c r="L45" s="19"/>
      <c r="M45" s="20"/>
      <c r="N45" s="21"/>
    </row>
    <row r="46" spans="1:14" ht="15.75" hidden="1" customHeight="1">
      <c r="A46" s="40">
        <v>19</v>
      </c>
      <c r="B46" s="82" t="s">
        <v>34</v>
      </c>
      <c r="C46" s="83" t="s">
        <v>102</v>
      </c>
      <c r="D46" s="82" t="s">
        <v>41</v>
      </c>
      <c r="E46" s="84">
        <v>1418</v>
      </c>
      <c r="F46" s="85">
        <f>SUM(E46*2/1000)</f>
        <v>2.8359999999999999</v>
      </c>
      <c r="G46" s="13">
        <v>579.48</v>
      </c>
      <c r="H46" s="86">
        <f t="shared" si="7"/>
        <v>1.6434052799999999</v>
      </c>
      <c r="I46" s="13">
        <f t="shared" si="8"/>
        <v>821.70263999999997</v>
      </c>
      <c r="J46" s="23"/>
      <c r="L46" s="19"/>
      <c r="M46" s="20"/>
      <c r="N46" s="21"/>
    </row>
    <row r="47" spans="1:14" ht="15.75" hidden="1" customHeight="1">
      <c r="A47" s="40">
        <v>20</v>
      </c>
      <c r="B47" s="82" t="s">
        <v>35</v>
      </c>
      <c r="C47" s="83" t="s">
        <v>102</v>
      </c>
      <c r="D47" s="82" t="s">
        <v>41</v>
      </c>
      <c r="E47" s="84">
        <v>4985.21</v>
      </c>
      <c r="F47" s="85">
        <f>SUM(E47*2/1000)</f>
        <v>9.9704200000000007</v>
      </c>
      <c r="G47" s="13">
        <v>579.48</v>
      </c>
      <c r="H47" s="86">
        <f t="shared" si="7"/>
        <v>5.7776589816000001</v>
      </c>
      <c r="I47" s="13">
        <f t="shared" si="8"/>
        <v>2888.8294908000003</v>
      </c>
      <c r="J47" s="23"/>
      <c r="L47" s="19"/>
      <c r="M47" s="20"/>
      <c r="N47" s="21"/>
    </row>
    <row r="48" spans="1:14" ht="15.75" hidden="1" customHeight="1">
      <c r="A48" s="40">
        <v>21</v>
      </c>
      <c r="B48" s="82" t="s">
        <v>36</v>
      </c>
      <c r="C48" s="83" t="s">
        <v>102</v>
      </c>
      <c r="D48" s="82" t="s">
        <v>41</v>
      </c>
      <c r="E48" s="84">
        <v>2474</v>
      </c>
      <c r="F48" s="85">
        <f>SUM(E48*2/1000)</f>
        <v>4.9480000000000004</v>
      </c>
      <c r="G48" s="13">
        <v>606.77</v>
      </c>
      <c r="H48" s="86">
        <f t="shared" si="7"/>
        <v>3.0022979600000004</v>
      </c>
      <c r="I48" s="13">
        <f>F48/2*G48</f>
        <v>1501.1489800000002</v>
      </c>
      <c r="J48" s="23"/>
      <c r="L48" s="19"/>
      <c r="M48" s="20"/>
      <c r="N48" s="21"/>
    </row>
    <row r="49" spans="1:14" ht="15.75" hidden="1" customHeight="1">
      <c r="A49" s="40">
        <v>22</v>
      </c>
      <c r="B49" s="82" t="s">
        <v>54</v>
      </c>
      <c r="C49" s="83" t="s">
        <v>102</v>
      </c>
      <c r="D49" s="82" t="s">
        <v>140</v>
      </c>
      <c r="E49" s="84">
        <v>1349.3</v>
      </c>
      <c r="F49" s="85">
        <f>SUM(E49*5/1000)</f>
        <v>6.7465000000000002</v>
      </c>
      <c r="G49" s="13">
        <v>1213.55</v>
      </c>
      <c r="H49" s="86">
        <f t="shared" si="7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82" t="s">
        <v>109</v>
      </c>
      <c r="C50" s="83" t="s">
        <v>102</v>
      </c>
      <c r="D50" s="82" t="s">
        <v>41</v>
      </c>
      <c r="E50" s="84">
        <v>1349.3</v>
      </c>
      <c r="F50" s="85">
        <f>SUM(E50*2/1000)</f>
        <v>2.6985999999999999</v>
      </c>
      <c r="G50" s="13">
        <v>1213.55</v>
      </c>
      <c r="H50" s="86">
        <f t="shared" si="7"/>
        <v>3.2748860299999998</v>
      </c>
      <c r="I50" s="13">
        <f>F50/2*G50</f>
        <v>1637.4430149999998</v>
      </c>
      <c r="J50" s="23"/>
      <c r="L50" s="19"/>
      <c r="M50" s="20"/>
      <c r="N50" s="21"/>
    </row>
    <row r="51" spans="1:14" ht="30.75" hidden="1" customHeight="1">
      <c r="A51" s="40">
        <v>14</v>
      </c>
      <c r="B51" s="82" t="s">
        <v>110</v>
      </c>
      <c r="C51" s="83" t="s">
        <v>37</v>
      </c>
      <c r="D51" s="82" t="s">
        <v>41</v>
      </c>
      <c r="E51" s="84">
        <v>40</v>
      </c>
      <c r="F51" s="85">
        <f>SUM(E51*2/100)</f>
        <v>0.8</v>
      </c>
      <c r="G51" s="13">
        <v>2730.49</v>
      </c>
      <c r="H51" s="86">
        <f t="shared" si="7"/>
        <v>2.1843919999999999</v>
      </c>
      <c r="I51" s="13">
        <f t="shared" ref="I51:I52" si="9">F51/2*G51</f>
        <v>1092.1959999999999</v>
      </c>
      <c r="J51" s="23"/>
      <c r="L51" s="19"/>
      <c r="M51" s="20"/>
      <c r="N51" s="21"/>
    </row>
    <row r="52" spans="1:14" ht="15.75" hidden="1" customHeight="1">
      <c r="A52" s="40">
        <v>15</v>
      </c>
      <c r="B52" s="82" t="s">
        <v>38</v>
      </c>
      <c r="C52" s="83" t="s">
        <v>39</v>
      </c>
      <c r="D52" s="82" t="s">
        <v>41</v>
      </c>
      <c r="E52" s="84">
        <v>1</v>
      </c>
      <c r="F52" s="85">
        <v>0.02</v>
      </c>
      <c r="G52" s="13">
        <v>5652.13</v>
      </c>
      <c r="H52" s="86">
        <f t="shared" si="7"/>
        <v>0.11304260000000001</v>
      </c>
      <c r="I52" s="13">
        <f t="shared" si="9"/>
        <v>56.521300000000004</v>
      </c>
      <c r="J52" s="23"/>
      <c r="L52" s="19"/>
      <c r="M52" s="20"/>
      <c r="N52" s="21"/>
    </row>
    <row r="53" spans="1:14" ht="15.75" hidden="1" customHeight="1">
      <c r="A53" s="40">
        <v>9</v>
      </c>
      <c r="B53" s="82" t="s">
        <v>40</v>
      </c>
      <c r="C53" s="83" t="s">
        <v>111</v>
      </c>
      <c r="D53" s="82" t="s">
        <v>69</v>
      </c>
      <c r="E53" s="84">
        <v>238</v>
      </c>
      <c r="F53" s="85">
        <f>SUM(E53)*3</f>
        <v>714</v>
      </c>
      <c r="G53" s="13">
        <v>65.67</v>
      </c>
      <c r="H53" s="86">
        <f t="shared" si="7"/>
        <v>46.888380000000005</v>
      </c>
      <c r="I53" s="13">
        <f>E53*G53</f>
        <v>15629.460000000001</v>
      </c>
      <c r="J53" s="23"/>
      <c r="L53" s="19"/>
      <c r="M53" s="20"/>
      <c r="N53" s="21"/>
    </row>
    <row r="54" spans="1:14" ht="15.75" customHeight="1">
      <c r="A54" s="226" t="s">
        <v>148</v>
      </c>
      <c r="B54" s="227"/>
      <c r="C54" s="227"/>
      <c r="D54" s="227"/>
      <c r="E54" s="227"/>
      <c r="F54" s="227"/>
      <c r="G54" s="227"/>
      <c r="H54" s="227"/>
      <c r="I54" s="228"/>
      <c r="J54" s="23"/>
      <c r="L54" s="19"/>
      <c r="M54" s="20"/>
      <c r="N54" s="21"/>
    </row>
    <row r="55" spans="1:14" ht="18" hidden="1" customHeight="1">
      <c r="A55" s="81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21.75" hidden="1" customHeight="1">
      <c r="A56" s="40">
        <v>16</v>
      </c>
      <c r="B56" s="82" t="s">
        <v>112</v>
      </c>
      <c r="C56" s="83" t="s">
        <v>89</v>
      </c>
      <c r="D56" s="82" t="s">
        <v>113</v>
      </c>
      <c r="E56" s="84">
        <v>176.9</v>
      </c>
      <c r="F56" s="85">
        <f>SUM(E56*6/100)</f>
        <v>10.614000000000001</v>
      </c>
      <c r="G56" s="13">
        <v>1547.28</v>
      </c>
      <c r="H56" s="86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9.5" hidden="1" customHeight="1">
      <c r="A57" s="40">
        <v>17</v>
      </c>
      <c r="B57" s="82" t="s">
        <v>129</v>
      </c>
      <c r="C57" s="83" t="s">
        <v>89</v>
      </c>
      <c r="D57" s="82" t="s">
        <v>113</v>
      </c>
      <c r="E57" s="77">
        <v>56</v>
      </c>
      <c r="F57" s="90">
        <v>3.36</v>
      </c>
      <c r="G57" s="85">
        <v>1547.28</v>
      </c>
      <c r="H57" s="86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8.75" hidden="1" customHeight="1">
      <c r="A58" s="40"/>
      <c r="B58" s="82" t="s">
        <v>130</v>
      </c>
      <c r="C58" s="83" t="s">
        <v>131</v>
      </c>
      <c r="D58" s="82" t="s">
        <v>41</v>
      </c>
      <c r="E58" s="91">
        <v>8</v>
      </c>
      <c r="F58" s="13">
        <v>16</v>
      </c>
      <c r="G58" s="85">
        <v>180.78</v>
      </c>
      <c r="H58" s="86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8.75" hidden="1" customHeight="1">
      <c r="A59" s="40"/>
      <c r="B59" s="32" t="s">
        <v>165</v>
      </c>
      <c r="C59" s="136" t="s">
        <v>166</v>
      </c>
      <c r="D59" s="32" t="s">
        <v>199</v>
      </c>
      <c r="E59" s="183"/>
      <c r="F59" s="36">
        <v>8</v>
      </c>
      <c r="G59" s="154">
        <v>1645</v>
      </c>
      <c r="H59" s="97"/>
      <c r="I59" s="13">
        <f>G59*2</f>
        <v>3290</v>
      </c>
      <c r="J59" s="23"/>
      <c r="L59" s="19"/>
      <c r="M59" s="20"/>
      <c r="N59" s="21"/>
    </row>
    <row r="60" spans="1:14" ht="15.75" customHeight="1">
      <c r="A60" s="40"/>
      <c r="B60" s="76" t="s">
        <v>43</v>
      </c>
      <c r="C60" s="76"/>
      <c r="D60" s="76"/>
      <c r="E60" s="76"/>
      <c r="F60" s="76"/>
      <c r="G60" s="76"/>
      <c r="H60" s="76"/>
      <c r="I60" s="35"/>
      <c r="J60" s="23"/>
      <c r="L60" s="19"/>
      <c r="M60" s="20"/>
      <c r="N60" s="21"/>
    </row>
    <row r="61" spans="1:14" ht="15.75" hidden="1" customHeight="1">
      <c r="A61" s="40">
        <v>27</v>
      </c>
      <c r="B61" s="82" t="s">
        <v>141</v>
      </c>
      <c r="C61" s="83"/>
      <c r="D61" s="82" t="s">
        <v>52</v>
      </c>
      <c r="E61" s="84">
        <v>1349.3</v>
      </c>
      <c r="F61" s="86">
        <v>13.493</v>
      </c>
      <c r="G61" s="13">
        <v>793.61</v>
      </c>
      <c r="H61" s="92">
        <f>F61*G61/1000</f>
        <v>10.708179729999999</v>
      </c>
      <c r="I61" s="13">
        <v>0</v>
      </c>
      <c r="J61" s="23"/>
      <c r="L61" s="19"/>
      <c r="M61" s="20"/>
      <c r="N61" s="21"/>
    </row>
    <row r="62" spans="1:14" ht="15.75" customHeight="1">
      <c r="A62" s="40">
        <v>9</v>
      </c>
      <c r="B62" s="93" t="s">
        <v>88</v>
      </c>
      <c r="C62" s="94" t="s">
        <v>26</v>
      </c>
      <c r="D62" s="93"/>
      <c r="E62" s="95">
        <v>270</v>
      </c>
      <c r="F62" s="96">
        <v>2400</v>
      </c>
      <c r="G62" s="97">
        <v>1.4</v>
      </c>
      <c r="H62" s="98">
        <f>F62*G62</f>
        <v>3360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40"/>
      <c r="B63" s="76" t="s">
        <v>44</v>
      </c>
      <c r="C63" s="16"/>
      <c r="D63" s="37"/>
      <c r="E63" s="15"/>
      <c r="F63" s="15"/>
      <c r="G63" s="29"/>
      <c r="H63" s="29"/>
      <c r="I63" s="18"/>
      <c r="J63" s="23"/>
      <c r="L63" s="19"/>
    </row>
    <row r="64" spans="1:14" ht="18" customHeight="1">
      <c r="A64" s="40">
        <v>10</v>
      </c>
      <c r="B64" s="99" t="s">
        <v>45</v>
      </c>
      <c r="C64" s="16" t="s">
        <v>111</v>
      </c>
      <c r="D64" s="99" t="s">
        <v>189</v>
      </c>
      <c r="E64" s="18">
        <v>40</v>
      </c>
      <c r="F64" s="85">
        <v>40</v>
      </c>
      <c r="G64" s="124">
        <v>303.35000000000002</v>
      </c>
      <c r="H64" s="100">
        <f t="shared" ref="H64" si="10">SUM(F64*G64/1000)</f>
        <v>12.134</v>
      </c>
      <c r="I64" s="13">
        <f>G64*7</f>
        <v>2123.4500000000003</v>
      </c>
    </row>
    <row r="65" spans="1:22" ht="19.5" hidden="1" customHeight="1">
      <c r="A65" s="29">
        <v>29</v>
      </c>
      <c r="B65" s="99" t="s">
        <v>46</v>
      </c>
      <c r="C65" s="16" t="s">
        <v>111</v>
      </c>
      <c r="D65" s="99" t="s">
        <v>65</v>
      </c>
      <c r="E65" s="18">
        <v>20</v>
      </c>
      <c r="F65" s="85">
        <v>20</v>
      </c>
      <c r="G65" s="13">
        <v>76.25</v>
      </c>
      <c r="H65" s="100">
        <f t="shared" ref="H65:H71" si="11">SUM(F65*G65/1000)</f>
        <v>1.5249999999999999</v>
      </c>
      <c r="I65" s="13">
        <v>0</v>
      </c>
    </row>
    <row r="66" spans="1:22" ht="17.25" customHeight="1">
      <c r="A66" s="29">
        <v>11</v>
      </c>
      <c r="B66" s="148" t="s">
        <v>47</v>
      </c>
      <c r="C66" s="173" t="s">
        <v>114</v>
      </c>
      <c r="D66" s="37"/>
      <c r="E66" s="149">
        <v>18890</v>
      </c>
      <c r="F66" s="169">
        <f>SUM(E66/100)</f>
        <v>188.9</v>
      </c>
      <c r="G66" s="36">
        <v>289.37</v>
      </c>
      <c r="H66" s="100">
        <f t="shared" si="11"/>
        <v>54.661993000000002</v>
      </c>
      <c r="I66" s="13">
        <f>F66*G66</f>
        <v>54661.993000000002</v>
      </c>
    </row>
    <row r="67" spans="1:22" ht="16.5" customHeight="1">
      <c r="A67" s="29">
        <v>12</v>
      </c>
      <c r="B67" s="148" t="s">
        <v>48</v>
      </c>
      <c r="C67" s="38" t="s">
        <v>115</v>
      </c>
      <c r="D67" s="37"/>
      <c r="E67" s="149">
        <v>18890</v>
      </c>
      <c r="F67" s="36">
        <f>SUM(E67/1000)</f>
        <v>18.89</v>
      </c>
      <c r="G67" s="36">
        <v>225.35</v>
      </c>
      <c r="H67" s="100">
        <f t="shared" si="11"/>
        <v>4.2568615000000003</v>
      </c>
      <c r="I67" s="13">
        <f t="shared" ref="I67:I70" si="12">F67*G67</f>
        <v>4256.8615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6.5" customHeight="1">
      <c r="A68" s="29">
        <v>13</v>
      </c>
      <c r="B68" s="148" t="s">
        <v>49</v>
      </c>
      <c r="C68" s="38" t="s">
        <v>75</v>
      </c>
      <c r="D68" s="37"/>
      <c r="E68" s="149">
        <v>3004</v>
      </c>
      <c r="F68" s="36">
        <f>SUM(E68/100)</f>
        <v>30.04</v>
      </c>
      <c r="G68" s="36">
        <v>2829.78</v>
      </c>
      <c r="H68" s="100">
        <f t="shared" si="11"/>
        <v>85.006591200000017</v>
      </c>
      <c r="I68" s="13">
        <f t="shared" si="12"/>
        <v>85006.59120000001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6.5" customHeight="1">
      <c r="A69" s="29">
        <v>14</v>
      </c>
      <c r="B69" s="174" t="s">
        <v>116</v>
      </c>
      <c r="C69" s="38" t="s">
        <v>33</v>
      </c>
      <c r="D69" s="37"/>
      <c r="E69" s="149">
        <v>16.2</v>
      </c>
      <c r="F69" s="36">
        <f>SUM(E69)</f>
        <v>16.2</v>
      </c>
      <c r="G69" s="36">
        <v>46.08</v>
      </c>
      <c r="H69" s="100">
        <f t="shared" si="11"/>
        <v>0.74649599999999994</v>
      </c>
      <c r="I69" s="13">
        <f t="shared" si="12"/>
        <v>746.49599999999998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6.5" customHeight="1">
      <c r="A70" s="29">
        <v>15</v>
      </c>
      <c r="B70" s="174" t="s">
        <v>117</v>
      </c>
      <c r="C70" s="38" t="s">
        <v>33</v>
      </c>
      <c r="D70" s="37"/>
      <c r="E70" s="149">
        <v>16.2</v>
      </c>
      <c r="F70" s="36">
        <f>SUM(E70)</f>
        <v>16.2</v>
      </c>
      <c r="G70" s="36">
        <v>49.7</v>
      </c>
      <c r="H70" s="100">
        <f t="shared" si="11"/>
        <v>0.80513999999999997</v>
      </c>
      <c r="I70" s="13">
        <f t="shared" si="12"/>
        <v>805.14</v>
      </c>
      <c r="J70" s="5"/>
      <c r="K70" s="5"/>
      <c r="L70" s="5"/>
      <c r="M70" s="5"/>
      <c r="N70" s="5"/>
      <c r="O70" s="5"/>
      <c r="P70" s="5"/>
      <c r="Q70" s="5"/>
      <c r="R70" s="201"/>
      <c r="S70" s="201"/>
      <c r="T70" s="201"/>
      <c r="U70" s="201"/>
    </row>
    <row r="71" spans="1:22" ht="18.75" hidden="1" customHeight="1">
      <c r="A71" s="29">
        <v>13</v>
      </c>
      <c r="B71" s="99" t="s">
        <v>55</v>
      </c>
      <c r="C71" s="16" t="s">
        <v>56</v>
      </c>
      <c r="D71" s="99" t="s">
        <v>52</v>
      </c>
      <c r="E71" s="18">
        <v>15</v>
      </c>
      <c r="F71" s="85">
        <v>15</v>
      </c>
      <c r="G71" s="13">
        <v>49.88</v>
      </c>
      <c r="H71" s="100">
        <f t="shared" si="11"/>
        <v>0.74820000000000009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8.75" customHeight="1">
      <c r="A72" s="29"/>
      <c r="B72" s="159" t="s">
        <v>173</v>
      </c>
      <c r="C72" s="38"/>
      <c r="D72" s="37"/>
      <c r="E72" s="17"/>
      <c r="F72" s="115"/>
      <c r="G72" s="36"/>
      <c r="H72" s="100"/>
      <c r="I72" s="1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31.5" customHeight="1">
      <c r="A73" s="29">
        <v>16</v>
      </c>
      <c r="B73" s="37" t="s">
        <v>174</v>
      </c>
      <c r="C73" s="40" t="s">
        <v>175</v>
      </c>
      <c r="D73" s="37"/>
      <c r="E73" s="17">
        <v>5162.6000000000004</v>
      </c>
      <c r="F73" s="36">
        <f>E73*12</f>
        <v>61951.200000000004</v>
      </c>
      <c r="G73" s="36">
        <v>2.37</v>
      </c>
      <c r="H73" s="100"/>
      <c r="I73" s="13">
        <f>G73*F73/12</f>
        <v>12235.362000000001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21" customHeight="1">
      <c r="A74" s="81"/>
      <c r="B74" s="76" t="s">
        <v>118</v>
      </c>
      <c r="C74" s="76"/>
      <c r="D74" s="76"/>
      <c r="E74" s="76"/>
      <c r="F74" s="76"/>
      <c r="G74" s="76"/>
      <c r="H74" s="76"/>
      <c r="I74" s="18"/>
    </row>
    <row r="75" spans="1:22" ht="21" customHeight="1">
      <c r="A75" s="29">
        <v>17</v>
      </c>
      <c r="B75" s="82" t="s">
        <v>119</v>
      </c>
      <c r="C75" s="16"/>
      <c r="D75" s="99"/>
      <c r="E75" s="77"/>
      <c r="F75" s="13">
        <v>1</v>
      </c>
      <c r="G75" s="13">
        <v>10982.4</v>
      </c>
      <c r="H75" s="100">
        <f>G75*F75/1000</f>
        <v>10.9824</v>
      </c>
      <c r="I75" s="13">
        <f>G75</f>
        <v>10982.4</v>
      </c>
    </row>
    <row r="76" spans="1:22" ht="21" customHeight="1">
      <c r="A76" s="29"/>
      <c r="B76" s="48" t="s">
        <v>70</v>
      </c>
      <c r="C76" s="48"/>
      <c r="D76" s="48"/>
      <c r="E76" s="18"/>
      <c r="F76" s="18"/>
      <c r="G76" s="29"/>
      <c r="H76" s="29"/>
      <c r="I76" s="18"/>
    </row>
    <row r="77" spans="1:22" ht="18" hidden="1" customHeight="1">
      <c r="A77" s="29">
        <v>17</v>
      </c>
      <c r="B77" s="37" t="s">
        <v>71</v>
      </c>
      <c r="C77" s="38" t="s">
        <v>73</v>
      </c>
      <c r="D77" s="37"/>
      <c r="E77" s="17">
        <v>8</v>
      </c>
      <c r="F77" s="36">
        <f>E77/10</f>
        <v>0.8</v>
      </c>
      <c r="G77" s="36">
        <v>684.19</v>
      </c>
      <c r="H77" s="100">
        <f t="shared" ref="H77:H81" si="13">SUM(F77*G77/1000)</f>
        <v>0.54735200000000006</v>
      </c>
      <c r="I77" s="13">
        <f>G77*0.5</f>
        <v>342.09500000000003</v>
      </c>
    </row>
    <row r="78" spans="1:22" ht="20.25" hidden="1" customHeight="1">
      <c r="A78" s="29"/>
      <c r="B78" s="99" t="s">
        <v>132</v>
      </c>
      <c r="C78" s="16" t="s">
        <v>31</v>
      </c>
      <c r="D78" s="99"/>
      <c r="E78" s="18">
        <v>1</v>
      </c>
      <c r="F78" s="13">
        <v>1</v>
      </c>
      <c r="G78" s="13">
        <v>99.85</v>
      </c>
      <c r="H78" s="100">
        <f>F78*G78/1000</f>
        <v>9.9849999999999994E-2</v>
      </c>
      <c r="I78" s="13">
        <v>0</v>
      </c>
    </row>
    <row r="79" spans="1:22" ht="18.75" hidden="1" customHeight="1">
      <c r="A79" s="29"/>
      <c r="B79" s="99" t="s">
        <v>133</v>
      </c>
      <c r="C79" s="16" t="s">
        <v>31</v>
      </c>
      <c r="D79" s="99"/>
      <c r="E79" s="18">
        <v>1</v>
      </c>
      <c r="F79" s="13">
        <v>1</v>
      </c>
      <c r="G79" s="13">
        <v>120.26</v>
      </c>
      <c r="H79" s="100">
        <f>F79*G79/1000</f>
        <v>0.12026000000000001</v>
      </c>
      <c r="I79" s="13">
        <v>0</v>
      </c>
    </row>
    <row r="80" spans="1:22" ht="21.75" hidden="1" customHeight="1">
      <c r="A80" s="29">
        <v>19</v>
      </c>
      <c r="B80" s="99" t="s">
        <v>72</v>
      </c>
      <c r="C80" s="16" t="s">
        <v>31</v>
      </c>
      <c r="D80" s="99"/>
      <c r="E80" s="18">
        <v>2</v>
      </c>
      <c r="F80" s="97">
        <v>2</v>
      </c>
      <c r="G80" s="13">
        <v>852.99</v>
      </c>
      <c r="H80" s="100">
        <f>F80*G80/1000</f>
        <v>1.7059800000000001</v>
      </c>
      <c r="I80" s="13">
        <f>G80</f>
        <v>852.99</v>
      </c>
    </row>
    <row r="81" spans="1:9" ht="20.25" hidden="1" customHeight="1">
      <c r="A81" s="29">
        <v>17</v>
      </c>
      <c r="B81" s="99" t="s">
        <v>83</v>
      </c>
      <c r="C81" s="16" t="s">
        <v>111</v>
      </c>
      <c r="D81" s="99"/>
      <c r="E81" s="18">
        <v>1</v>
      </c>
      <c r="F81" s="85">
        <f>SUM(E81)</f>
        <v>1</v>
      </c>
      <c r="G81" s="13">
        <v>358.51</v>
      </c>
      <c r="H81" s="100">
        <f t="shared" si="13"/>
        <v>0.35851</v>
      </c>
      <c r="I81" s="13">
        <v>0</v>
      </c>
    </row>
    <row r="82" spans="1:9" ht="32.25" customHeight="1">
      <c r="A82" s="29">
        <v>18</v>
      </c>
      <c r="B82" s="37" t="s">
        <v>176</v>
      </c>
      <c r="C82" s="38" t="s">
        <v>111</v>
      </c>
      <c r="D82" s="37" t="s">
        <v>190</v>
      </c>
      <c r="E82" s="17">
        <v>1</v>
      </c>
      <c r="F82" s="36">
        <f>E82*12</f>
        <v>12</v>
      </c>
      <c r="G82" s="36">
        <v>55.55</v>
      </c>
      <c r="H82" s="100"/>
      <c r="I82" s="13">
        <f>G82*F82/12</f>
        <v>55.54999999999999</v>
      </c>
    </row>
    <row r="83" spans="1:9" ht="20.25" hidden="1" customHeight="1">
      <c r="A83" s="29"/>
      <c r="B83" s="49" t="s">
        <v>74</v>
      </c>
      <c r="C83" s="38"/>
      <c r="D83" s="29"/>
      <c r="E83" s="18"/>
      <c r="F83" s="18"/>
      <c r="G83" s="36"/>
      <c r="H83" s="36"/>
      <c r="I83" s="18"/>
    </row>
    <row r="84" spans="1:9" ht="18" hidden="1" customHeight="1">
      <c r="A84" s="29">
        <v>39</v>
      </c>
      <c r="B84" s="51" t="s">
        <v>120</v>
      </c>
      <c r="C84" s="16" t="s">
        <v>75</v>
      </c>
      <c r="D84" s="99"/>
      <c r="E84" s="18"/>
      <c r="F84" s="13">
        <v>1.35</v>
      </c>
      <c r="G84" s="13">
        <v>2759.44</v>
      </c>
      <c r="H84" s="100">
        <f t="shared" ref="H84" si="14">SUM(F84*G84/1000)</f>
        <v>3.725244</v>
      </c>
      <c r="I84" s="13">
        <v>0</v>
      </c>
    </row>
    <row r="85" spans="1:9" ht="15.75" customHeight="1">
      <c r="A85" s="210" t="s">
        <v>149</v>
      </c>
      <c r="B85" s="211"/>
      <c r="C85" s="211"/>
      <c r="D85" s="211"/>
      <c r="E85" s="211"/>
      <c r="F85" s="211"/>
      <c r="G85" s="211"/>
      <c r="H85" s="211"/>
      <c r="I85" s="212"/>
    </row>
    <row r="86" spans="1:9" ht="15.75" customHeight="1">
      <c r="A86" s="29">
        <v>19</v>
      </c>
      <c r="B86" s="32" t="s">
        <v>121</v>
      </c>
      <c r="C86" s="38" t="s">
        <v>53</v>
      </c>
      <c r="D86" s="63"/>
      <c r="E86" s="36">
        <v>5162.6000000000004</v>
      </c>
      <c r="F86" s="36">
        <f>SUM(E86*12)</f>
        <v>61951.200000000004</v>
      </c>
      <c r="G86" s="36">
        <v>3.22</v>
      </c>
      <c r="H86" s="102">
        <f>SUM(F86*G86/1000)</f>
        <v>199.48286400000003</v>
      </c>
      <c r="I86" s="13">
        <f>F86/12*G86</f>
        <v>16623.572000000004</v>
      </c>
    </row>
    <row r="87" spans="1:9" ht="31.5" customHeight="1">
      <c r="A87" s="29">
        <v>20</v>
      </c>
      <c r="B87" s="37" t="s">
        <v>177</v>
      </c>
      <c r="C87" s="112" t="s">
        <v>178</v>
      </c>
      <c r="D87" s="37"/>
      <c r="E87" s="17">
        <v>5162.6000000000004</v>
      </c>
      <c r="F87" s="36">
        <f>E87*12</f>
        <v>61951.200000000004</v>
      </c>
      <c r="G87" s="36">
        <v>3.64</v>
      </c>
      <c r="H87" s="100">
        <f>F87*G87/1000</f>
        <v>225.50236800000002</v>
      </c>
      <c r="I87" s="13">
        <f>F87/12*G87</f>
        <v>18791.864000000001</v>
      </c>
    </row>
    <row r="88" spans="1:9" ht="15.75" customHeight="1">
      <c r="A88" s="81"/>
      <c r="B88" s="39" t="s">
        <v>78</v>
      </c>
      <c r="C88" s="40"/>
      <c r="D88" s="15"/>
      <c r="E88" s="15"/>
      <c r="F88" s="15"/>
      <c r="G88" s="18"/>
      <c r="H88" s="18"/>
      <c r="I88" s="31">
        <f>I87+I86+I82+I73+I70+I69+I68+I67+I66+I62+I31+I30+I27+I21+I20+I18+I17+I16+I75+I64</f>
        <v>234899.86295160005</v>
      </c>
    </row>
    <row r="89" spans="1:9" ht="15.75" customHeight="1">
      <c r="A89" s="213" t="s">
        <v>58</v>
      </c>
      <c r="B89" s="214"/>
      <c r="C89" s="214"/>
      <c r="D89" s="214"/>
      <c r="E89" s="214"/>
      <c r="F89" s="214"/>
      <c r="G89" s="214"/>
      <c r="H89" s="214"/>
      <c r="I89" s="215"/>
    </row>
    <row r="90" spans="1:9" ht="19.5" customHeight="1">
      <c r="A90" s="29">
        <v>21</v>
      </c>
      <c r="B90" s="66" t="s">
        <v>228</v>
      </c>
      <c r="C90" s="67" t="s">
        <v>164</v>
      </c>
      <c r="D90" s="64" t="s">
        <v>340</v>
      </c>
      <c r="E90" s="36"/>
      <c r="F90" s="36">
        <v>38</v>
      </c>
      <c r="G90" s="36">
        <v>284</v>
      </c>
      <c r="H90" s="102">
        <f t="shared" ref="H90" si="15">G90*F90/1000</f>
        <v>10.792</v>
      </c>
      <c r="I90" s="13">
        <v>0</v>
      </c>
    </row>
    <row r="91" spans="1:9" ht="31.5" hidden="1" customHeight="1">
      <c r="A91" s="29">
        <v>20</v>
      </c>
      <c r="B91" s="55"/>
      <c r="C91" s="65"/>
      <c r="D91" s="51"/>
      <c r="E91" s="13"/>
      <c r="F91" s="13">
        <v>6</v>
      </c>
      <c r="G91" s="13"/>
      <c r="H91" s="100">
        <f t="shared" ref="H91:H97" si="16">G91*F91/1000</f>
        <v>0</v>
      </c>
      <c r="I91" s="13"/>
    </row>
    <row r="92" spans="1:9" ht="15.75" hidden="1" customHeight="1">
      <c r="A92" s="29">
        <v>21</v>
      </c>
      <c r="B92" s="55"/>
      <c r="C92" s="65"/>
      <c r="D92" s="51"/>
      <c r="E92" s="13"/>
      <c r="F92" s="13">
        <v>1</v>
      </c>
      <c r="G92" s="13"/>
      <c r="H92" s="100">
        <f t="shared" si="16"/>
        <v>0</v>
      </c>
      <c r="I92" s="13"/>
    </row>
    <row r="93" spans="1:9" ht="15.75" hidden="1" customHeight="1">
      <c r="A93" s="29">
        <v>22</v>
      </c>
      <c r="B93" s="55"/>
      <c r="C93" s="65"/>
      <c r="D93" s="99"/>
      <c r="E93" s="18"/>
      <c r="F93" s="13">
        <v>4</v>
      </c>
      <c r="G93" s="13"/>
      <c r="H93" s="100">
        <f t="shared" si="16"/>
        <v>0</v>
      </c>
      <c r="I93" s="13"/>
    </row>
    <row r="94" spans="1:9" ht="15.75" hidden="1" customHeight="1">
      <c r="A94" s="29">
        <v>23</v>
      </c>
      <c r="B94" s="55"/>
      <c r="C94" s="65"/>
      <c r="D94" s="51"/>
      <c r="E94" s="13"/>
      <c r="F94" s="13">
        <v>1</v>
      </c>
      <c r="G94" s="13"/>
      <c r="H94" s="100">
        <f t="shared" si="16"/>
        <v>0</v>
      </c>
      <c r="I94" s="13"/>
    </row>
    <row r="95" spans="1:9" ht="15.75" hidden="1" customHeight="1">
      <c r="A95" s="29">
        <v>24</v>
      </c>
      <c r="B95" s="55"/>
      <c r="C95" s="65"/>
      <c r="D95" s="51"/>
      <c r="E95" s="13"/>
      <c r="F95" s="13">
        <v>2</v>
      </c>
      <c r="G95" s="13"/>
      <c r="H95" s="100">
        <f t="shared" si="16"/>
        <v>0</v>
      </c>
      <c r="I95" s="13"/>
    </row>
    <row r="96" spans="1:9" ht="15.75" hidden="1" customHeight="1">
      <c r="A96" s="29">
        <v>25</v>
      </c>
      <c r="B96" s="55"/>
      <c r="C96" s="65"/>
      <c r="D96" s="51"/>
      <c r="E96" s="13"/>
      <c r="F96" s="13">
        <v>1</v>
      </c>
      <c r="G96" s="13"/>
      <c r="H96" s="100">
        <f t="shared" si="16"/>
        <v>0</v>
      </c>
      <c r="I96" s="13"/>
    </row>
    <row r="97" spans="1:9" ht="31.5" hidden="1" customHeight="1">
      <c r="A97" s="29">
        <v>26</v>
      </c>
      <c r="B97" s="55"/>
      <c r="C97" s="65"/>
      <c r="D97" s="51"/>
      <c r="E97" s="13"/>
      <c r="F97" s="13">
        <v>1</v>
      </c>
      <c r="G97" s="13"/>
      <c r="H97" s="100">
        <f t="shared" si="16"/>
        <v>0</v>
      </c>
      <c r="I97" s="13"/>
    </row>
    <row r="98" spans="1:9" ht="31.5" customHeight="1">
      <c r="A98" s="29">
        <v>22</v>
      </c>
      <c r="B98" s="66" t="s">
        <v>220</v>
      </c>
      <c r="C98" s="67" t="s">
        <v>37</v>
      </c>
      <c r="D98" s="64" t="s">
        <v>196</v>
      </c>
      <c r="E98" s="36"/>
      <c r="F98" s="36">
        <v>7.0000000000000007E-2</v>
      </c>
      <c r="G98" s="36">
        <v>4070.89</v>
      </c>
      <c r="H98" s="100"/>
      <c r="I98" s="13">
        <v>0</v>
      </c>
    </row>
    <row r="99" spans="1:9" ht="18" customHeight="1">
      <c r="A99" s="29">
        <v>23</v>
      </c>
      <c r="B99" s="66" t="s">
        <v>275</v>
      </c>
      <c r="C99" s="67" t="s">
        <v>152</v>
      </c>
      <c r="D99" s="64"/>
      <c r="E99" s="36"/>
      <c r="F99" s="36">
        <v>1</v>
      </c>
      <c r="G99" s="36">
        <v>331.57</v>
      </c>
      <c r="H99" s="100"/>
      <c r="I99" s="13">
        <f>G99*1</f>
        <v>331.57</v>
      </c>
    </row>
    <row r="100" spans="1:9" ht="17.25" customHeight="1">
      <c r="A100" s="29">
        <v>24</v>
      </c>
      <c r="B100" s="66" t="s">
        <v>211</v>
      </c>
      <c r="C100" s="67" t="s">
        <v>185</v>
      </c>
      <c r="D100" s="197" t="s">
        <v>189</v>
      </c>
      <c r="E100" s="36"/>
      <c r="F100" s="36">
        <v>0.03</v>
      </c>
      <c r="G100" s="36">
        <v>27137.18</v>
      </c>
      <c r="H100" s="100"/>
      <c r="I100" s="13">
        <v>0</v>
      </c>
    </row>
    <row r="101" spans="1:9" ht="30.75" customHeight="1">
      <c r="A101" s="29">
        <v>25</v>
      </c>
      <c r="B101" s="66" t="s">
        <v>218</v>
      </c>
      <c r="C101" s="67" t="s">
        <v>164</v>
      </c>
      <c r="D101" s="64" t="s">
        <v>299</v>
      </c>
      <c r="E101" s="36"/>
      <c r="F101" s="36">
        <v>3.5</v>
      </c>
      <c r="G101" s="36">
        <v>1523.6</v>
      </c>
      <c r="H101" s="100"/>
      <c r="I101" s="13">
        <f>G101*1</f>
        <v>1523.6</v>
      </c>
    </row>
    <row r="102" spans="1:9" ht="33" customHeight="1">
      <c r="A102" s="29">
        <v>26</v>
      </c>
      <c r="B102" s="66" t="s">
        <v>242</v>
      </c>
      <c r="C102" s="67" t="s">
        <v>164</v>
      </c>
      <c r="D102" s="64" t="s">
        <v>299</v>
      </c>
      <c r="E102" s="36"/>
      <c r="F102" s="36">
        <v>14</v>
      </c>
      <c r="G102" s="36">
        <v>1421.68</v>
      </c>
      <c r="H102" s="100"/>
      <c r="I102" s="13">
        <f>G102*1</f>
        <v>1421.68</v>
      </c>
    </row>
    <row r="103" spans="1:9" ht="29.25" customHeight="1">
      <c r="A103" s="29">
        <v>27</v>
      </c>
      <c r="B103" s="66" t="s">
        <v>151</v>
      </c>
      <c r="C103" s="67" t="s">
        <v>152</v>
      </c>
      <c r="D103" s="64" t="s">
        <v>300</v>
      </c>
      <c r="E103" s="36"/>
      <c r="F103" s="36">
        <v>10</v>
      </c>
      <c r="G103" s="36">
        <v>670.51</v>
      </c>
      <c r="H103" s="100"/>
      <c r="I103" s="13">
        <f>G103*4</f>
        <v>2682.04</v>
      </c>
    </row>
    <row r="104" spans="1:9" ht="32.25" customHeight="1">
      <c r="A104" s="29">
        <v>28</v>
      </c>
      <c r="B104" s="66" t="s">
        <v>157</v>
      </c>
      <c r="C104" s="67" t="s">
        <v>152</v>
      </c>
      <c r="D104" s="64" t="s">
        <v>301</v>
      </c>
      <c r="E104" s="36"/>
      <c r="F104" s="36">
        <v>7</v>
      </c>
      <c r="G104" s="36">
        <v>913.43</v>
      </c>
      <c r="H104" s="100"/>
      <c r="I104" s="13">
        <f>G104*3</f>
        <v>2740.29</v>
      </c>
    </row>
    <row r="105" spans="1:9" ht="15.75" customHeight="1">
      <c r="A105" s="29"/>
      <c r="B105" s="45" t="s">
        <v>50</v>
      </c>
      <c r="C105" s="41"/>
      <c r="D105" s="53"/>
      <c r="E105" s="41">
        <v>1</v>
      </c>
      <c r="F105" s="41"/>
      <c r="G105" s="41"/>
      <c r="H105" s="41"/>
      <c r="I105" s="31">
        <f>SUM(I90:I104)</f>
        <v>8699.18</v>
      </c>
    </row>
    <row r="106" spans="1:9" ht="15.75" customHeight="1">
      <c r="A106" s="29"/>
      <c r="B106" s="51" t="s">
        <v>76</v>
      </c>
      <c r="C106" s="15"/>
      <c r="D106" s="15"/>
      <c r="E106" s="42"/>
      <c r="F106" s="42"/>
      <c r="G106" s="43"/>
      <c r="H106" s="43"/>
      <c r="I106" s="17">
        <v>0</v>
      </c>
    </row>
    <row r="107" spans="1:9" ht="15.75" customHeight="1">
      <c r="A107" s="54"/>
      <c r="B107" s="46" t="s">
        <v>143</v>
      </c>
      <c r="C107" s="34"/>
      <c r="D107" s="34"/>
      <c r="E107" s="34"/>
      <c r="F107" s="34"/>
      <c r="G107" s="34"/>
      <c r="H107" s="34"/>
      <c r="I107" s="44">
        <f>I88+I105</f>
        <v>243599.04295160004</v>
      </c>
    </row>
    <row r="108" spans="1:9" ht="15.75">
      <c r="A108" s="207" t="s">
        <v>341</v>
      </c>
      <c r="B108" s="207"/>
      <c r="C108" s="207"/>
      <c r="D108" s="207"/>
      <c r="E108" s="207"/>
      <c r="F108" s="207"/>
      <c r="G108" s="207"/>
      <c r="H108" s="207"/>
      <c r="I108" s="207"/>
    </row>
    <row r="109" spans="1:9" ht="15.75">
      <c r="A109" s="61"/>
      <c r="B109" s="208" t="s">
        <v>342</v>
      </c>
      <c r="C109" s="208"/>
      <c r="D109" s="208"/>
      <c r="E109" s="208"/>
      <c r="F109" s="208"/>
      <c r="G109" s="208"/>
      <c r="H109" s="80"/>
      <c r="I109" s="3"/>
    </row>
    <row r="110" spans="1:9">
      <c r="A110" s="74"/>
      <c r="B110" s="206" t="s">
        <v>6</v>
      </c>
      <c r="C110" s="206"/>
      <c r="D110" s="206"/>
      <c r="E110" s="206"/>
      <c r="F110" s="206"/>
      <c r="G110" s="206"/>
      <c r="H110" s="24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209" t="s">
        <v>7</v>
      </c>
      <c r="B112" s="209"/>
      <c r="C112" s="209"/>
      <c r="D112" s="209"/>
      <c r="E112" s="209"/>
      <c r="F112" s="209"/>
      <c r="G112" s="209"/>
      <c r="H112" s="209"/>
      <c r="I112" s="209"/>
    </row>
    <row r="113" spans="1:9" ht="15.75">
      <c r="A113" s="209" t="s">
        <v>8</v>
      </c>
      <c r="B113" s="209"/>
      <c r="C113" s="209"/>
      <c r="D113" s="209"/>
      <c r="E113" s="209"/>
      <c r="F113" s="209"/>
      <c r="G113" s="209"/>
      <c r="H113" s="209"/>
      <c r="I113" s="209"/>
    </row>
    <row r="114" spans="1:9" ht="15.75">
      <c r="A114" s="203" t="s">
        <v>59</v>
      </c>
      <c r="B114" s="203"/>
      <c r="C114" s="203"/>
      <c r="D114" s="203"/>
      <c r="E114" s="203"/>
      <c r="F114" s="203"/>
      <c r="G114" s="203"/>
      <c r="H114" s="203"/>
      <c r="I114" s="203"/>
    </row>
    <row r="115" spans="1:9" ht="15.75">
      <c r="A115" s="11"/>
    </row>
    <row r="116" spans="1:9" ht="15.75">
      <c r="A116" s="204" t="s">
        <v>9</v>
      </c>
      <c r="B116" s="204"/>
      <c r="C116" s="204"/>
      <c r="D116" s="204"/>
      <c r="E116" s="204"/>
      <c r="F116" s="204"/>
      <c r="G116" s="204"/>
      <c r="H116" s="204"/>
      <c r="I116" s="204"/>
    </row>
    <row r="117" spans="1:9" ht="15.75">
      <c r="A117" s="4"/>
    </row>
    <row r="118" spans="1:9" ht="15.75">
      <c r="B118" s="72" t="s">
        <v>10</v>
      </c>
      <c r="C118" s="205" t="s">
        <v>84</v>
      </c>
      <c r="D118" s="205"/>
      <c r="E118" s="205"/>
      <c r="F118" s="78"/>
      <c r="I118" s="73"/>
    </row>
    <row r="119" spans="1:9">
      <c r="A119" s="74"/>
      <c r="C119" s="206" t="s">
        <v>11</v>
      </c>
      <c r="D119" s="206"/>
      <c r="E119" s="206"/>
      <c r="F119" s="24"/>
      <c r="I119" s="71" t="s">
        <v>12</v>
      </c>
    </row>
    <row r="120" spans="1:9" ht="15.75">
      <c r="A120" s="25"/>
      <c r="C120" s="12"/>
      <c r="D120" s="12"/>
      <c r="G120" s="12"/>
      <c r="H120" s="12"/>
    </row>
    <row r="121" spans="1:9" ht="15.75">
      <c r="B121" s="72" t="s">
        <v>13</v>
      </c>
      <c r="C121" s="200"/>
      <c r="D121" s="200"/>
      <c r="E121" s="200"/>
      <c r="F121" s="79"/>
      <c r="I121" s="73"/>
    </row>
    <row r="122" spans="1:9">
      <c r="A122" s="74"/>
      <c r="C122" s="201" t="s">
        <v>11</v>
      </c>
      <c r="D122" s="201"/>
      <c r="E122" s="201"/>
      <c r="F122" s="74"/>
      <c r="I122" s="71" t="s">
        <v>12</v>
      </c>
    </row>
    <row r="123" spans="1:9" ht="15.75">
      <c r="A123" s="4" t="s">
        <v>14</v>
      </c>
    </row>
    <row r="124" spans="1:9">
      <c r="A124" s="202" t="s">
        <v>15</v>
      </c>
      <c r="B124" s="202"/>
      <c r="C124" s="202"/>
      <c r="D124" s="202"/>
      <c r="E124" s="202"/>
      <c r="F124" s="202"/>
      <c r="G124" s="202"/>
      <c r="H124" s="202"/>
      <c r="I124" s="202"/>
    </row>
    <row r="125" spans="1:9" ht="45" customHeight="1">
      <c r="A125" s="199" t="s">
        <v>16</v>
      </c>
      <c r="B125" s="199"/>
      <c r="C125" s="199"/>
      <c r="D125" s="199"/>
      <c r="E125" s="199"/>
      <c r="F125" s="199"/>
      <c r="G125" s="199"/>
      <c r="H125" s="199"/>
      <c r="I125" s="199"/>
    </row>
    <row r="126" spans="1:9" ht="30" customHeight="1">
      <c r="A126" s="199" t="s">
        <v>17</v>
      </c>
      <c r="B126" s="199"/>
      <c r="C126" s="199"/>
      <c r="D126" s="199"/>
      <c r="E126" s="199"/>
      <c r="F126" s="199"/>
      <c r="G126" s="199"/>
      <c r="H126" s="199"/>
      <c r="I126" s="199"/>
    </row>
    <row r="127" spans="1:9" ht="30" customHeight="1">
      <c r="A127" s="199" t="s">
        <v>21</v>
      </c>
      <c r="B127" s="199"/>
      <c r="C127" s="199"/>
      <c r="D127" s="199"/>
      <c r="E127" s="199"/>
      <c r="F127" s="199"/>
      <c r="G127" s="199"/>
      <c r="H127" s="199"/>
      <c r="I127" s="199"/>
    </row>
    <row r="128" spans="1:9" ht="15" customHeight="1">
      <c r="A128" s="199" t="s">
        <v>20</v>
      </c>
      <c r="B128" s="199"/>
      <c r="C128" s="199"/>
      <c r="D128" s="199"/>
      <c r="E128" s="199"/>
      <c r="F128" s="199"/>
      <c r="G128" s="199"/>
      <c r="H128" s="199"/>
      <c r="I128" s="199"/>
    </row>
  </sheetData>
  <autoFilter ref="I12:I65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0:U70"/>
    <mergeCell ref="C122:E122"/>
    <mergeCell ref="A89:I89"/>
    <mergeCell ref="A108:I108"/>
    <mergeCell ref="B109:G109"/>
    <mergeCell ref="B110:G110"/>
    <mergeCell ref="A112:I112"/>
    <mergeCell ref="A113:I113"/>
    <mergeCell ref="A114:I114"/>
    <mergeCell ref="A116:I116"/>
    <mergeCell ref="C118:E118"/>
    <mergeCell ref="C119:E119"/>
    <mergeCell ref="C121:E121"/>
    <mergeCell ref="A85:I85"/>
    <mergeCell ref="A124:I124"/>
    <mergeCell ref="A125:I125"/>
    <mergeCell ref="A126:I126"/>
    <mergeCell ref="A127:I127"/>
    <mergeCell ref="A128:I12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5"/>
  <sheetViews>
    <sheetView topLeftCell="A96" workbookViewId="0">
      <selection activeCell="A111" sqref="A111:I11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156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276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44074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202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189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F18/18*2*G18</f>
        <v>8937.5623199999991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4</v>
      </c>
      <c r="B20" s="32" t="s">
        <v>95</v>
      </c>
      <c r="C20" s="136" t="s">
        <v>89</v>
      </c>
      <c r="D20" s="32" t="s">
        <v>196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5.75" customHeight="1">
      <c r="A21" s="29">
        <v>5</v>
      </c>
      <c r="B21" s="32" t="s">
        <v>96</v>
      </c>
      <c r="C21" s="136" t="s">
        <v>89</v>
      </c>
      <c r="D21" s="32" t="s">
        <v>196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2" t="s">
        <v>81</v>
      </c>
      <c r="B28" s="222"/>
      <c r="C28" s="222"/>
      <c r="D28" s="222"/>
      <c r="E28" s="222"/>
      <c r="F28" s="222"/>
      <c r="G28" s="222"/>
      <c r="H28" s="222"/>
      <c r="I28" s="222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7</v>
      </c>
      <c r="B30" s="32" t="s">
        <v>101</v>
      </c>
      <c r="C30" s="136" t="s">
        <v>102</v>
      </c>
      <c r="D30" s="32" t="s">
        <v>188</v>
      </c>
      <c r="E30" s="137">
        <v>1304.45</v>
      </c>
      <c r="F30" s="137">
        <f>SUM(E30*52/1000)</f>
        <v>67.831400000000002</v>
      </c>
      <c r="G30" s="137">
        <v>212.62</v>
      </c>
      <c r="H30" s="86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8</v>
      </c>
      <c r="B31" s="32" t="s">
        <v>139</v>
      </c>
      <c r="C31" s="136" t="s">
        <v>102</v>
      </c>
      <c r="D31" s="32" t="s">
        <v>188</v>
      </c>
      <c r="E31" s="137">
        <v>287.83999999999997</v>
      </c>
      <c r="F31" s="137">
        <f>SUM(E31*52/1000)</f>
        <v>14.967679999999998</v>
      </c>
      <c r="G31" s="137">
        <v>352.77</v>
      </c>
      <c r="H31" s="86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63</v>
      </c>
      <c r="C33" s="83" t="s">
        <v>33</v>
      </c>
      <c r="D33" s="82" t="s">
        <v>65</v>
      </c>
      <c r="E33" s="84"/>
      <c r="F33" s="85">
        <v>3</v>
      </c>
      <c r="G33" s="85">
        <v>191.32</v>
      </c>
      <c r="H33" s="86">
        <f t="shared" si="5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82" t="s">
        <v>64</v>
      </c>
      <c r="C34" s="83" t="s">
        <v>32</v>
      </c>
      <c r="D34" s="82" t="s">
        <v>65</v>
      </c>
      <c r="E34" s="84"/>
      <c r="F34" s="85">
        <v>2</v>
      </c>
      <c r="G34" s="85">
        <v>1136.32</v>
      </c>
      <c r="H34" s="86">
        <f t="shared" si="5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226" t="s">
        <v>136</v>
      </c>
      <c r="B44" s="227"/>
      <c r="C44" s="227"/>
      <c r="D44" s="227"/>
      <c r="E44" s="227"/>
      <c r="F44" s="227"/>
      <c r="G44" s="227"/>
      <c r="H44" s="227"/>
      <c r="I44" s="228"/>
      <c r="J44" s="23"/>
      <c r="L44" s="19"/>
      <c r="M44" s="20"/>
      <c r="N44" s="21"/>
    </row>
    <row r="45" spans="1:14" ht="15.75" hidden="1" customHeight="1">
      <c r="A45" s="40">
        <v>18</v>
      </c>
      <c r="B45" s="82" t="s">
        <v>128</v>
      </c>
      <c r="C45" s="83" t="s">
        <v>102</v>
      </c>
      <c r="D45" s="82" t="s">
        <v>41</v>
      </c>
      <c r="E45" s="84">
        <v>1369</v>
      </c>
      <c r="F45" s="85">
        <f>SUM(E45*2/1000)</f>
        <v>2.738</v>
      </c>
      <c r="G45" s="13">
        <v>849.49</v>
      </c>
      <c r="H45" s="86">
        <f t="shared" ref="H45:H53" si="7">SUM(F45*G45/1000)</f>
        <v>2.3259036200000001</v>
      </c>
      <c r="I45" s="13">
        <f t="shared" ref="I45:I47" si="8">F45/2*G45</f>
        <v>1162.95181</v>
      </c>
      <c r="J45" s="23"/>
      <c r="L45" s="19"/>
      <c r="M45" s="20"/>
      <c r="N45" s="21"/>
    </row>
    <row r="46" spans="1:14" ht="15.75" hidden="1" customHeight="1">
      <c r="A46" s="40">
        <v>19</v>
      </c>
      <c r="B46" s="82" t="s">
        <v>34</v>
      </c>
      <c r="C46" s="83" t="s">
        <v>102</v>
      </c>
      <c r="D46" s="82" t="s">
        <v>41</v>
      </c>
      <c r="E46" s="84">
        <v>1418</v>
      </c>
      <c r="F46" s="85">
        <f>SUM(E46*2/1000)</f>
        <v>2.8359999999999999</v>
      </c>
      <c r="G46" s="13">
        <v>579.48</v>
      </c>
      <c r="H46" s="86">
        <f t="shared" si="7"/>
        <v>1.6434052799999999</v>
      </c>
      <c r="I46" s="13">
        <f t="shared" si="8"/>
        <v>821.70263999999997</v>
      </c>
      <c r="J46" s="23"/>
      <c r="L46" s="19"/>
      <c r="M46" s="20"/>
      <c r="N46" s="21"/>
    </row>
    <row r="47" spans="1:14" ht="15.75" hidden="1" customHeight="1">
      <c r="A47" s="40">
        <v>20</v>
      </c>
      <c r="B47" s="82" t="s">
        <v>35</v>
      </c>
      <c r="C47" s="83" t="s">
        <v>102</v>
      </c>
      <c r="D47" s="82" t="s">
        <v>41</v>
      </c>
      <c r="E47" s="84">
        <v>4985.21</v>
      </c>
      <c r="F47" s="85">
        <f>SUM(E47*2/1000)</f>
        <v>9.9704200000000007</v>
      </c>
      <c r="G47" s="13">
        <v>579.48</v>
      </c>
      <c r="H47" s="86">
        <f t="shared" si="7"/>
        <v>5.7776589816000001</v>
      </c>
      <c r="I47" s="13">
        <f t="shared" si="8"/>
        <v>2888.8294908000003</v>
      </c>
      <c r="J47" s="23"/>
      <c r="L47" s="19"/>
      <c r="M47" s="20"/>
      <c r="N47" s="21"/>
    </row>
    <row r="48" spans="1:14" ht="15.75" hidden="1" customHeight="1">
      <c r="A48" s="40">
        <v>21</v>
      </c>
      <c r="B48" s="82" t="s">
        <v>36</v>
      </c>
      <c r="C48" s="83" t="s">
        <v>102</v>
      </c>
      <c r="D48" s="82" t="s">
        <v>41</v>
      </c>
      <c r="E48" s="84">
        <v>2474</v>
      </c>
      <c r="F48" s="85">
        <f>SUM(E48*2/1000)</f>
        <v>4.9480000000000004</v>
      </c>
      <c r="G48" s="13">
        <v>606.77</v>
      </c>
      <c r="H48" s="86">
        <f t="shared" si="7"/>
        <v>3.0022979600000004</v>
      </c>
      <c r="I48" s="13">
        <f>F48/2*G48</f>
        <v>1501.1489800000002</v>
      </c>
      <c r="J48" s="23"/>
      <c r="L48" s="19"/>
      <c r="M48" s="20"/>
      <c r="N48" s="21"/>
    </row>
    <row r="49" spans="1:14" ht="15.75" hidden="1" customHeight="1">
      <c r="A49" s="40">
        <v>22</v>
      </c>
      <c r="B49" s="82" t="s">
        <v>54</v>
      </c>
      <c r="C49" s="83" t="s">
        <v>102</v>
      </c>
      <c r="D49" s="82" t="s">
        <v>140</v>
      </c>
      <c r="E49" s="84">
        <v>1349.3</v>
      </c>
      <c r="F49" s="85">
        <f>SUM(E49*5/1000)</f>
        <v>6.7465000000000002</v>
      </c>
      <c r="G49" s="13">
        <v>1213.55</v>
      </c>
      <c r="H49" s="86">
        <f t="shared" si="7"/>
        <v>8.1872150749999992</v>
      </c>
      <c r="I49" s="13">
        <f>F49/5*G49</f>
        <v>1637.4430149999998</v>
      </c>
      <c r="J49" s="23"/>
      <c r="L49" s="19"/>
      <c r="M49" s="20"/>
      <c r="N49" s="21"/>
    </row>
    <row r="50" spans="1:14" ht="30.75" hidden="1" customHeight="1">
      <c r="A50" s="40">
        <v>13</v>
      </c>
      <c r="B50" s="82" t="s">
        <v>109</v>
      </c>
      <c r="C50" s="83" t="s">
        <v>102</v>
      </c>
      <c r="D50" s="82" t="s">
        <v>41</v>
      </c>
      <c r="E50" s="84">
        <v>1349.3</v>
      </c>
      <c r="F50" s="85">
        <f>SUM(E50*2/1000)</f>
        <v>2.6985999999999999</v>
      </c>
      <c r="G50" s="13">
        <v>1213.55</v>
      </c>
      <c r="H50" s="86">
        <f t="shared" si="7"/>
        <v>3.2748860299999998</v>
      </c>
      <c r="I50" s="13">
        <f>F50/2*G50</f>
        <v>1637.4430149999998</v>
      </c>
      <c r="J50" s="23"/>
      <c r="L50" s="19"/>
      <c r="M50" s="20"/>
      <c r="N50" s="21"/>
    </row>
    <row r="51" spans="1:14" ht="30.75" hidden="1" customHeight="1">
      <c r="A51" s="40">
        <v>14</v>
      </c>
      <c r="B51" s="82" t="s">
        <v>110</v>
      </c>
      <c r="C51" s="83" t="s">
        <v>37</v>
      </c>
      <c r="D51" s="82" t="s">
        <v>41</v>
      </c>
      <c r="E51" s="84">
        <v>40</v>
      </c>
      <c r="F51" s="85">
        <f>SUM(E51*2/100)</f>
        <v>0.8</v>
      </c>
      <c r="G51" s="13">
        <v>2730.49</v>
      </c>
      <c r="H51" s="86">
        <f t="shared" si="7"/>
        <v>2.1843919999999999</v>
      </c>
      <c r="I51" s="13">
        <f t="shared" ref="I51:I52" si="9">F51/2*G51</f>
        <v>1092.1959999999999</v>
      </c>
      <c r="J51" s="23"/>
      <c r="L51" s="19"/>
      <c r="M51" s="20"/>
      <c r="N51" s="21"/>
    </row>
    <row r="52" spans="1:14" ht="15.75" hidden="1" customHeight="1">
      <c r="A52" s="40">
        <v>15</v>
      </c>
      <c r="B52" s="82" t="s">
        <v>38</v>
      </c>
      <c r="C52" s="83" t="s">
        <v>39</v>
      </c>
      <c r="D52" s="82" t="s">
        <v>41</v>
      </c>
      <c r="E52" s="84">
        <v>1</v>
      </c>
      <c r="F52" s="85">
        <v>0.02</v>
      </c>
      <c r="G52" s="13">
        <v>5652.13</v>
      </c>
      <c r="H52" s="86">
        <f t="shared" si="7"/>
        <v>0.11304260000000001</v>
      </c>
      <c r="I52" s="13">
        <f t="shared" si="9"/>
        <v>56.521300000000004</v>
      </c>
      <c r="J52" s="23"/>
      <c r="L52" s="19"/>
      <c r="M52" s="20"/>
      <c r="N52" s="21"/>
    </row>
    <row r="53" spans="1:14" ht="15.75" hidden="1" customHeight="1">
      <c r="A53" s="40">
        <v>9</v>
      </c>
      <c r="B53" s="82" t="s">
        <v>40</v>
      </c>
      <c r="C53" s="83" t="s">
        <v>111</v>
      </c>
      <c r="D53" s="82" t="s">
        <v>69</v>
      </c>
      <c r="E53" s="84">
        <v>238</v>
      </c>
      <c r="F53" s="85">
        <f>SUM(E53)*3</f>
        <v>714</v>
      </c>
      <c r="G53" s="13">
        <v>65.67</v>
      </c>
      <c r="H53" s="86">
        <f t="shared" si="7"/>
        <v>46.888380000000005</v>
      </c>
      <c r="I53" s="13">
        <f>E53*G53</f>
        <v>15629.460000000001</v>
      </c>
      <c r="J53" s="23"/>
      <c r="L53" s="19"/>
      <c r="M53" s="20"/>
      <c r="N53" s="21"/>
    </row>
    <row r="54" spans="1:14" ht="15.75" customHeight="1">
      <c r="A54" s="226" t="s">
        <v>148</v>
      </c>
      <c r="B54" s="227"/>
      <c r="C54" s="227"/>
      <c r="D54" s="227"/>
      <c r="E54" s="227"/>
      <c r="F54" s="227"/>
      <c r="G54" s="227"/>
      <c r="H54" s="227"/>
      <c r="I54" s="228"/>
      <c r="J54" s="23"/>
      <c r="L54" s="19"/>
      <c r="M54" s="20"/>
      <c r="N54" s="21"/>
    </row>
    <row r="55" spans="1:14" ht="15.75" hidden="1" customHeight="1">
      <c r="A55" s="81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82" t="s">
        <v>112</v>
      </c>
      <c r="C56" s="83" t="s">
        <v>89</v>
      </c>
      <c r="D56" s="82" t="s">
        <v>113</v>
      </c>
      <c r="E56" s="84">
        <v>176.9</v>
      </c>
      <c r="F56" s="85">
        <f>SUM(E56*6/100)</f>
        <v>10.614000000000001</v>
      </c>
      <c r="G56" s="13">
        <v>1547.28</v>
      </c>
      <c r="H56" s="86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82" t="s">
        <v>129</v>
      </c>
      <c r="C57" s="83" t="s">
        <v>89</v>
      </c>
      <c r="D57" s="82" t="s">
        <v>113</v>
      </c>
      <c r="E57" s="77">
        <v>56</v>
      </c>
      <c r="F57" s="90">
        <v>3.36</v>
      </c>
      <c r="G57" s="85">
        <v>1547.28</v>
      </c>
      <c r="H57" s="86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82" t="s">
        <v>130</v>
      </c>
      <c r="C58" s="83" t="s">
        <v>131</v>
      </c>
      <c r="D58" s="82" t="s">
        <v>41</v>
      </c>
      <c r="E58" s="91">
        <v>8</v>
      </c>
      <c r="F58" s="13">
        <v>16</v>
      </c>
      <c r="G58" s="85">
        <v>180.78</v>
      </c>
      <c r="H58" s="86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customHeight="1">
      <c r="A59" s="40"/>
      <c r="B59" s="76" t="s">
        <v>43</v>
      </c>
      <c r="C59" s="76"/>
      <c r="D59" s="76"/>
      <c r="E59" s="76"/>
      <c r="F59" s="76"/>
      <c r="G59" s="76"/>
      <c r="H59" s="76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82" t="s">
        <v>141</v>
      </c>
      <c r="C60" s="83"/>
      <c r="D60" s="82" t="s">
        <v>52</v>
      </c>
      <c r="E60" s="84">
        <v>1349.3</v>
      </c>
      <c r="F60" s="86">
        <v>13.493</v>
      </c>
      <c r="G60" s="13">
        <v>793.61</v>
      </c>
      <c r="H60" s="92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9</v>
      </c>
      <c r="B61" s="93" t="s">
        <v>88</v>
      </c>
      <c r="C61" s="94" t="s">
        <v>26</v>
      </c>
      <c r="D61" s="93"/>
      <c r="E61" s="95">
        <v>270</v>
      </c>
      <c r="F61" s="96">
        <v>2400</v>
      </c>
      <c r="G61" s="97">
        <v>1.4</v>
      </c>
      <c r="H61" s="98">
        <f>F61*G61</f>
        <v>3360</v>
      </c>
      <c r="I61" s="13">
        <f>F61/12*G61</f>
        <v>280</v>
      </c>
      <c r="J61" s="23"/>
      <c r="L61" s="19"/>
      <c r="M61" s="20"/>
      <c r="N61" s="21"/>
    </row>
    <row r="62" spans="1:14" ht="21" customHeight="1">
      <c r="A62" s="40"/>
      <c r="B62" s="76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5" customHeight="1">
      <c r="A63" s="40">
        <v>10</v>
      </c>
      <c r="B63" s="148" t="s">
        <v>45</v>
      </c>
      <c r="C63" s="38" t="s">
        <v>111</v>
      </c>
      <c r="D63" s="37" t="s">
        <v>188</v>
      </c>
      <c r="E63" s="17">
        <v>40</v>
      </c>
      <c r="F63" s="137">
        <f>E63</f>
        <v>40</v>
      </c>
      <c r="G63" s="36">
        <v>303.35000000000002</v>
      </c>
      <c r="H63" s="100">
        <f t="shared" ref="H63:H70" si="10">SUM(F63*G63/1000)</f>
        <v>12.134</v>
      </c>
      <c r="I63" s="13">
        <f>G63*8</f>
        <v>2426.8000000000002</v>
      </c>
    </row>
    <row r="64" spans="1:14" ht="23.25" hidden="1" customHeight="1">
      <c r="A64" s="29">
        <v>29</v>
      </c>
      <c r="B64" s="99" t="s">
        <v>46</v>
      </c>
      <c r="C64" s="16" t="s">
        <v>111</v>
      </c>
      <c r="D64" s="99" t="s">
        <v>65</v>
      </c>
      <c r="E64" s="18">
        <v>20</v>
      </c>
      <c r="F64" s="85">
        <v>20</v>
      </c>
      <c r="G64" s="13">
        <v>76.25</v>
      </c>
      <c r="H64" s="100">
        <f t="shared" si="10"/>
        <v>1.5249999999999999</v>
      </c>
      <c r="I64" s="13">
        <v>0</v>
      </c>
    </row>
    <row r="65" spans="1:22" ht="21" hidden="1" customHeight="1">
      <c r="A65" s="29">
        <v>25</v>
      </c>
      <c r="B65" s="99" t="s">
        <v>47</v>
      </c>
      <c r="C65" s="16" t="s">
        <v>114</v>
      </c>
      <c r="D65" s="99" t="s">
        <v>52</v>
      </c>
      <c r="E65" s="84">
        <v>18890</v>
      </c>
      <c r="F65" s="13">
        <f>SUM(E65/100)</f>
        <v>188.9</v>
      </c>
      <c r="G65" s="13">
        <v>212.15</v>
      </c>
      <c r="H65" s="100">
        <f t="shared" si="10"/>
        <v>40.075135000000003</v>
      </c>
      <c r="I65" s="13">
        <f>F65*G65</f>
        <v>40075.135000000002</v>
      </c>
    </row>
    <row r="66" spans="1:22" ht="24.75" hidden="1" customHeight="1">
      <c r="A66" s="29">
        <v>26</v>
      </c>
      <c r="B66" s="99" t="s">
        <v>48</v>
      </c>
      <c r="C66" s="16" t="s">
        <v>115</v>
      </c>
      <c r="D66" s="99"/>
      <c r="E66" s="84">
        <v>18890</v>
      </c>
      <c r="F66" s="13">
        <f>SUM(E66/1000)</f>
        <v>18.89</v>
      </c>
      <c r="G66" s="13">
        <v>165.21</v>
      </c>
      <c r="H66" s="100">
        <f t="shared" si="10"/>
        <v>3.1208169000000003</v>
      </c>
      <c r="I66" s="13">
        <f t="shared" ref="I66:I69" si="11">F66*G66</f>
        <v>3120.8169000000003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20.25" hidden="1" customHeight="1">
      <c r="A67" s="29">
        <v>27</v>
      </c>
      <c r="B67" s="99" t="s">
        <v>49</v>
      </c>
      <c r="C67" s="16" t="s">
        <v>75</v>
      </c>
      <c r="D67" s="99" t="s">
        <v>52</v>
      </c>
      <c r="E67" s="84">
        <v>3004</v>
      </c>
      <c r="F67" s="13">
        <f>SUM(E67/100)</f>
        <v>30.04</v>
      </c>
      <c r="G67" s="13">
        <v>2074.63</v>
      </c>
      <c r="H67" s="100">
        <f t="shared" si="10"/>
        <v>62.321885200000004</v>
      </c>
      <c r="I67" s="13">
        <f t="shared" si="11"/>
        <v>62321.885200000004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22.5" hidden="1" customHeight="1">
      <c r="A68" s="29">
        <v>28</v>
      </c>
      <c r="B68" s="101" t="s">
        <v>116</v>
      </c>
      <c r="C68" s="16" t="s">
        <v>33</v>
      </c>
      <c r="D68" s="99"/>
      <c r="E68" s="84">
        <v>15.8</v>
      </c>
      <c r="F68" s="13">
        <f>SUM(E68)</f>
        <v>15.8</v>
      </c>
      <c r="G68" s="13">
        <v>42.67</v>
      </c>
      <c r="H68" s="100">
        <f t="shared" si="10"/>
        <v>0.67418600000000006</v>
      </c>
      <c r="I68" s="13">
        <f t="shared" si="11"/>
        <v>674.18600000000004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8" hidden="1" customHeight="1">
      <c r="A69" s="29">
        <v>29</v>
      </c>
      <c r="B69" s="101" t="s">
        <v>117</v>
      </c>
      <c r="C69" s="16" t="s">
        <v>33</v>
      </c>
      <c r="D69" s="99"/>
      <c r="E69" s="84">
        <v>15.8</v>
      </c>
      <c r="F69" s="13">
        <f>SUM(E69)</f>
        <v>15.8</v>
      </c>
      <c r="G69" s="13">
        <v>39.81</v>
      </c>
      <c r="H69" s="100">
        <f t="shared" si="10"/>
        <v>0.62899800000000006</v>
      </c>
      <c r="I69" s="13">
        <f t="shared" si="11"/>
        <v>628.99800000000005</v>
      </c>
      <c r="J69" s="5"/>
      <c r="K69" s="5"/>
      <c r="L69" s="5"/>
      <c r="M69" s="5"/>
      <c r="N69" s="5"/>
      <c r="O69" s="5"/>
      <c r="P69" s="5"/>
      <c r="Q69" s="5"/>
      <c r="R69" s="201"/>
      <c r="S69" s="201"/>
      <c r="T69" s="201"/>
      <c r="U69" s="201"/>
    </row>
    <row r="70" spans="1:22" ht="19.5" hidden="1" customHeight="1">
      <c r="A70" s="29">
        <v>13</v>
      </c>
      <c r="B70" s="99" t="s">
        <v>55</v>
      </c>
      <c r="C70" s="16" t="s">
        <v>56</v>
      </c>
      <c r="D70" s="99" t="s">
        <v>52</v>
      </c>
      <c r="E70" s="18">
        <v>15</v>
      </c>
      <c r="F70" s="85">
        <v>15</v>
      </c>
      <c r="G70" s="13">
        <v>49.88</v>
      </c>
      <c r="H70" s="100">
        <f t="shared" si="10"/>
        <v>0.74820000000000009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9.5" hidden="1" customHeight="1">
      <c r="A71" s="81"/>
      <c r="B71" s="76" t="s">
        <v>118</v>
      </c>
      <c r="C71" s="76"/>
      <c r="D71" s="76"/>
      <c r="E71" s="76"/>
      <c r="F71" s="76"/>
      <c r="G71" s="76"/>
      <c r="H71" s="76"/>
      <c r="I71" s="18"/>
    </row>
    <row r="72" spans="1:22" ht="21" hidden="1" customHeight="1">
      <c r="A72" s="29">
        <v>11</v>
      </c>
      <c r="B72" s="93" t="s">
        <v>119</v>
      </c>
      <c r="C72" s="16"/>
      <c r="D72" s="99"/>
      <c r="E72" s="77"/>
      <c r="F72" s="13">
        <v>1</v>
      </c>
      <c r="G72" s="13">
        <v>27865.200000000001</v>
      </c>
      <c r="H72" s="100">
        <f>G72*F72/1000</f>
        <v>27.865200000000002</v>
      </c>
      <c r="I72" s="13">
        <f>G72</f>
        <v>27865.200000000001</v>
      </c>
    </row>
    <row r="73" spans="1:22" ht="21" customHeight="1">
      <c r="A73" s="29"/>
      <c r="B73" s="159" t="s">
        <v>173</v>
      </c>
      <c r="C73" s="38"/>
      <c r="D73" s="37"/>
      <c r="E73" s="17"/>
      <c r="F73" s="115"/>
      <c r="G73" s="36"/>
      <c r="H73" s="100"/>
      <c r="I73" s="13"/>
    </row>
    <row r="74" spans="1:22" ht="30.75" customHeight="1">
      <c r="A74" s="29">
        <v>11</v>
      </c>
      <c r="B74" s="37" t="s">
        <v>174</v>
      </c>
      <c r="C74" s="40" t="s">
        <v>175</v>
      </c>
      <c r="D74" s="37"/>
      <c r="E74" s="17">
        <v>5162.6000000000004</v>
      </c>
      <c r="F74" s="36">
        <f>E74*12</f>
        <v>61951.200000000004</v>
      </c>
      <c r="G74" s="36">
        <v>2.37</v>
      </c>
      <c r="H74" s="100"/>
      <c r="I74" s="13">
        <f>G74*F74/12</f>
        <v>12235.362000000001</v>
      </c>
    </row>
    <row r="75" spans="1:22" ht="15.7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7.25" hidden="1" customHeight="1">
      <c r="A76" s="29">
        <v>11</v>
      </c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12">SUM(F76*G76/1000)</f>
        <v>0.50161999999999995</v>
      </c>
      <c r="I76" s="13">
        <f>G76*0.2</f>
        <v>100.32400000000001</v>
      </c>
    </row>
    <row r="77" spans="1:22" ht="21" hidden="1" customHeight="1">
      <c r="A77" s="29"/>
      <c r="B77" s="99" t="s">
        <v>132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18.75" hidden="1" customHeight="1">
      <c r="A78" s="29"/>
      <c r="B78" s="99" t="s">
        <v>133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22.5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15.75" hidden="1" customHeight="1">
      <c r="A80" s="29">
        <v>10</v>
      </c>
      <c r="B80" s="99" t="s">
        <v>83</v>
      </c>
      <c r="C80" s="16" t="s">
        <v>111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2"/>
        <v>0.35851</v>
      </c>
      <c r="I80" s="13">
        <f>G80</f>
        <v>358.51</v>
      </c>
    </row>
    <row r="81" spans="1:9" ht="29.25" customHeight="1">
      <c r="A81" s="29">
        <v>12</v>
      </c>
      <c r="B81" s="37" t="s">
        <v>176</v>
      </c>
      <c r="C81" s="38" t="s">
        <v>111</v>
      </c>
      <c r="D81" s="37" t="s">
        <v>190</v>
      </c>
      <c r="E81" s="17">
        <v>1</v>
      </c>
      <c r="F81" s="36">
        <f>E81*12</f>
        <v>12</v>
      </c>
      <c r="G81" s="36">
        <v>55.55</v>
      </c>
      <c r="H81" s="100"/>
      <c r="I81" s="13">
        <f>G81*F81/12</f>
        <v>55.54999999999999</v>
      </c>
    </row>
    <row r="82" spans="1:9" ht="15.75" hidden="1" customHeight="1">
      <c r="A82" s="29"/>
      <c r="B82" s="49" t="s">
        <v>74</v>
      </c>
      <c r="C82" s="38"/>
      <c r="D82" s="29"/>
      <c r="E82" s="18"/>
      <c r="F82" s="18"/>
      <c r="G82" s="36"/>
      <c r="H82" s="36"/>
      <c r="I82" s="18"/>
    </row>
    <row r="83" spans="1:9" ht="15.75" hidden="1" customHeight="1">
      <c r="A83" s="29">
        <v>39</v>
      </c>
      <c r="B83" s="51" t="s">
        <v>120</v>
      </c>
      <c r="C83" s="16" t="s">
        <v>75</v>
      </c>
      <c r="D83" s="99"/>
      <c r="E83" s="18"/>
      <c r="F83" s="13">
        <v>1.35</v>
      </c>
      <c r="G83" s="13">
        <v>2759.44</v>
      </c>
      <c r="H83" s="100">
        <f t="shared" ref="H83" si="13">SUM(F83*G83/1000)</f>
        <v>3.725244</v>
      </c>
      <c r="I83" s="13">
        <v>0</v>
      </c>
    </row>
    <row r="84" spans="1:9" ht="15.75" customHeight="1">
      <c r="A84" s="210" t="s">
        <v>149</v>
      </c>
      <c r="B84" s="211"/>
      <c r="C84" s="211"/>
      <c r="D84" s="211"/>
      <c r="E84" s="211"/>
      <c r="F84" s="211"/>
      <c r="G84" s="211"/>
      <c r="H84" s="211"/>
      <c r="I84" s="212"/>
    </row>
    <row r="85" spans="1:9" ht="15.75" customHeight="1">
      <c r="A85" s="29">
        <v>13</v>
      </c>
      <c r="B85" s="32" t="s">
        <v>121</v>
      </c>
      <c r="C85" s="38" t="s">
        <v>53</v>
      </c>
      <c r="D85" s="63"/>
      <c r="E85" s="36">
        <v>5162.6000000000004</v>
      </c>
      <c r="F85" s="36">
        <f>SUM(E85*12)</f>
        <v>61951.200000000004</v>
      </c>
      <c r="G85" s="36">
        <v>3.22</v>
      </c>
      <c r="H85" s="102">
        <f>SUM(F85*G85/1000)</f>
        <v>199.48286400000003</v>
      </c>
      <c r="I85" s="13">
        <f>F85/12*G85</f>
        <v>16623.572000000004</v>
      </c>
    </row>
    <row r="86" spans="1:9" ht="31.5" customHeight="1">
      <c r="A86" s="29">
        <v>14</v>
      </c>
      <c r="B86" s="37" t="s">
        <v>177</v>
      </c>
      <c r="C86" s="112" t="s">
        <v>178</v>
      </c>
      <c r="D86" s="37"/>
      <c r="E86" s="17">
        <v>5162.6000000000004</v>
      </c>
      <c r="F86" s="36">
        <f>E86*12</f>
        <v>61951.200000000004</v>
      </c>
      <c r="G86" s="36">
        <v>3.64</v>
      </c>
      <c r="H86" s="100">
        <f>F86*G86/1000</f>
        <v>225.50236800000002</v>
      </c>
      <c r="I86" s="13">
        <f>F86/12*G86</f>
        <v>18791.864000000001</v>
      </c>
    </row>
    <row r="87" spans="1:9" ht="15.75" customHeight="1">
      <c r="A87" s="81"/>
      <c r="B87" s="39" t="s">
        <v>78</v>
      </c>
      <c r="C87" s="40"/>
      <c r="D87" s="15"/>
      <c r="E87" s="15"/>
      <c r="F87" s="15"/>
      <c r="G87" s="18"/>
      <c r="H87" s="18"/>
      <c r="I87" s="31">
        <f>I86+I85+I81+I74+I61+I31+I30+I27+I21+I20+I18+I17+I16+I63</f>
        <v>78743.731251599995</v>
      </c>
    </row>
    <row r="88" spans="1:9" ht="15.75" customHeight="1">
      <c r="A88" s="213" t="s">
        <v>58</v>
      </c>
      <c r="B88" s="214"/>
      <c r="C88" s="214"/>
      <c r="D88" s="214"/>
      <c r="E88" s="214"/>
      <c r="F88" s="214"/>
      <c r="G88" s="214"/>
      <c r="H88" s="214"/>
      <c r="I88" s="215"/>
    </row>
    <row r="89" spans="1:9" ht="18.75" customHeight="1">
      <c r="A89" s="29">
        <v>15</v>
      </c>
      <c r="B89" s="66" t="s">
        <v>277</v>
      </c>
      <c r="C89" s="103" t="s">
        <v>208</v>
      </c>
      <c r="D89" s="64"/>
      <c r="E89" s="36"/>
      <c r="F89" s="36">
        <v>0.5</v>
      </c>
      <c r="G89" s="36">
        <v>6439.95</v>
      </c>
      <c r="H89" s="102">
        <f t="shared" ref="H89:H91" si="14">G89*F89/1000</f>
        <v>3.2199749999999998</v>
      </c>
      <c r="I89" s="13">
        <f>G89*0.5</f>
        <v>3219.9749999999999</v>
      </c>
    </row>
    <row r="90" spans="1:9" ht="18" customHeight="1">
      <c r="A90" s="29">
        <v>16</v>
      </c>
      <c r="B90" s="66" t="s">
        <v>228</v>
      </c>
      <c r="C90" s="67" t="s">
        <v>164</v>
      </c>
      <c r="D90" s="64" t="s">
        <v>343</v>
      </c>
      <c r="E90" s="36"/>
      <c r="F90" s="36">
        <v>46</v>
      </c>
      <c r="G90" s="36">
        <v>284</v>
      </c>
      <c r="H90" s="100">
        <f t="shared" si="14"/>
        <v>13.064</v>
      </c>
      <c r="I90" s="13">
        <v>0</v>
      </c>
    </row>
    <row r="91" spans="1:9" ht="30.75" customHeight="1">
      <c r="A91" s="29">
        <v>17</v>
      </c>
      <c r="B91" s="66" t="s">
        <v>157</v>
      </c>
      <c r="C91" s="67" t="s">
        <v>152</v>
      </c>
      <c r="D91" s="64" t="s">
        <v>284</v>
      </c>
      <c r="E91" s="36"/>
      <c r="F91" s="36">
        <v>4</v>
      </c>
      <c r="G91" s="36">
        <v>913.43</v>
      </c>
      <c r="H91" s="100">
        <f t="shared" si="14"/>
        <v>3.6537199999999999</v>
      </c>
      <c r="I91" s="13">
        <f>G91*2</f>
        <v>1826.86</v>
      </c>
    </row>
    <row r="92" spans="1:9" ht="30.75" customHeight="1">
      <c r="A92" s="29">
        <v>18</v>
      </c>
      <c r="B92" s="66" t="s">
        <v>151</v>
      </c>
      <c r="C92" s="67" t="s">
        <v>152</v>
      </c>
      <c r="D92" s="64" t="s">
        <v>283</v>
      </c>
      <c r="E92" s="36"/>
      <c r="F92" s="36">
        <v>5</v>
      </c>
      <c r="G92" s="36">
        <v>670.51</v>
      </c>
      <c r="H92" s="100"/>
      <c r="I92" s="13">
        <f>G92*4</f>
        <v>2682.04</v>
      </c>
    </row>
    <row r="93" spans="1:9" ht="30.75" customHeight="1">
      <c r="A93" s="29">
        <v>19</v>
      </c>
      <c r="B93" s="66" t="s">
        <v>278</v>
      </c>
      <c r="C93" s="67" t="s">
        <v>111</v>
      </c>
      <c r="D93" s="64" t="s">
        <v>286</v>
      </c>
      <c r="E93" s="36"/>
      <c r="F93" s="36">
        <v>1</v>
      </c>
      <c r="G93" s="36">
        <v>1179.28</v>
      </c>
      <c r="H93" s="100"/>
      <c r="I93" s="13">
        <f>G93*1</f>
        <v>1179.28</v>
      </c>
    </row>
    <row r="94" spans="1:9" ht="18" customHeight="1">
      <c r="A94" s="29">
        <v>20</v>
      </c>
      <c r="B94" s="66" t="s">
        <v>279</v>
      </c>
      <c r="C94" s="67" t="s">
        <v>111</v>
      </c>
      <c r="D94" s="64"/>
      <c r="E94" s="36"/>
      <c r="F94" s="36">
        <v>1</v>
      </c>
      <c r="G94" s="36">
        <v>70</v>
      </c>
      <c r="H94" s="100"/>
      <c r="I94" s="13">
        <f>G94*1</f>
        <v>70</v>
      </c>
    </row>
    <row r="95" spans="1:9" ht="18" customHeight="1">
      <c r="A95" s="29">
        <v>21</v>
      </c>
      <c r="B95" s="66" t="s">
        <v>280</v>
      </c>
      <c r="C95" s="67" t="s">
        <v>111</v>
      </c>
      <c r="D95" s="64"/>
      <c r="E95" s="36"/>
      <c r="F95" s="36">
        <v>1</v>
      </c>
      <c r="G95" s="36">
        <v>235</v>
      </c>
      <c r="H95" s="100"/>
      <c r="I95" s="13">
        <f>G95*1</f>
        <v>235</v>
      </c>
    </row>
    <row r="96" spans="1:9" ht="19.5" customHeight="1">
      <c r="A96" s="29">
        <v>22</v>
      </c>
      <c r="B96" s="66" t="s">
        <v>203</v>
      </c>
      <c r="C96" s="67" t="s">
        <v>111</v>
      </c>
      <c r="D96" s="64"/>
      <c r="E96" s="36"/>
      <c r="F96" s="36">
        <v>1</v>
      </c>
      <c r="G96" s="36">
        <v>49</v>
      </c>
      <c r="H96" s="100"/>
      <c r="I96" s="13">
        <f>G96*1</f>
        <v>49</v>
      </c>
    </row>
    <row r="97" spans="1:9" ht="30.75" customHeight="1">
      <c r="A97" s="29">
        <v>23</v>
      </c>
      <c r="B97" s="66" t="s">
        <v>241</v>
      </c>
      <c r="C97" s="67" t="s">
        <v>164</v>
      </c>
      <c r="D97" s="64" t="s">
        <v>282</v>
      </c>
      <c r="E97" s="36"/>
      <c r="F97" s="36">
        <v>0.5</v>
      </c>
      <c r="G97" s="36">
        <v>1523.6</v>
      </c>
      <c r="H97" s="100"/>
      <c r="I97" s="13">
        <f>G97*0.5</f>
        <v>761.8</v>
      </c>
    </row>
    <row r="98" spans="1:9" ht="30.75" customHeight="1">
      <c r="A98" s="29">
        <v>24</v>
      </c>
      <c r="B98" s="66" t="s">
        <v>220</v>
      </c>
      <c r="C98" s="67" t="s">
        <v>37</v>
      </c>
      <c r="D98" s="64" t="s">
        <v>189</v>
      </c>
      <c r="E98" s="36"/>
      <c r="F98" s="36">
        <v>0.09</v>
      </c>
      <c r="G98" s="36">
        <v>4070.89</v>
      </c>
      <c r="H98" s="100"/>
      <c r="I98" s="13">
        <v>0</v>
      </c>
    </row>
    <row r="99" spans="1:9" ht="18" customHeight="1">
      <c r="A99" s="29">
        <v>25</v>
      </c>
      <c r="B99" s="66" t="s">
        <v>281</v>
      </c>
      <c r="C99" s="67" t="s">
        <v>111</v>
      </c>
      <c r="D99" s="64" t="s">
        <v>285</v>
      </c>
      <c r="E99" s="36"/>
      <c r="F99" s="36">
        <v>2</v>
      </c>
      <c r="G99" s="36">
        <v>534.51</v>
      </c>
      <c r="H99" s="100"/>
      <c r="I99" s="13">
        <f>G99*2</f>
        <v>1069.02</v>
      </c>
    </row>
    <row r="100" spans="1:9" ht="33" customHeight="1">
      <c r="A100" s="29">
        <v>26</v>
      </c>
      <c r="B100" s="66" t="s">
        <v>242</v>
      </c>
      <c r="C100" s="67" t="s">
        <v>164</v>
      </c>
      <c r="D100" s="64" t="s">
        <v>287</v>
      </c>
      <c r="E100" s="36"/>
      <c r="F100" s="36">
        <v>13</v>
      </c>
      <c r="G100" s="36">
        <v>1421.68</v>
      </c>
      <c r="H100" s="100"/>
      <c r="I100" s="13">
        <f>G100*1</f>
        <v>1421.68</v>
      </c>
    </row>
    <row r="101" spans="1:9" ht="16.5" customHeight="1">
      <c r="A101" s="29">
        <v>27</v>
      </c>
      <c r="B101" s="66" t="s">
        <v>288</v>
      </c>
      <c r="C101" s="67" t="s">
        <v>264</v>
      </c>
      <c r="D101" s="64"/>
      <c r="E101" s="36"/>
      <c r="F101" s="36">
        <v>1</v>
      </c>
      <c r="G101" s="36">
        <v>7276</v>
      </c>
      <c r="H101" s="100"/>
      <c r="I101" s="13">
        <f>G101*1</f>
        <v>7276</v>
      </c>
    </row>
    <row r="102" spans="1:9" ht="15.75" customHeight="1">
      <c r="A102" s="29"/>
      <c r="B102" s="45" t="s">
        <v>50</v>
      </c>
      <c r="C102" s="41"/>
      <c r="D102" s="53"/>
      <c r="E102" s="41">
        <v>1</v>
      </c>
      <c r="F102" s="41"/>
      <c r="G102" s="41"/>
      <c r="H102" s="41"/>
      <c r="I102" s="31">
        <f>SUM(I89:I101)</f>
        <v>19790.654999999999</v>
      </c>
    </row>
    <row r="103" spans="1:9" ht="15.75" customHeight="1">
      <c r="A103" s="29"/>
      <c r="B103" s="51" t="s">
        <v>76</v>
      </c>
      <c r="C103" s="15"/>
      <c r="D103" s="15"/>
      <c r="E103" s="42"/>
      <c r="F103" s="42"/>
      <c r="G103" s="43"/>
      <c r="H103" s="43"/>
      <c r="I103" s="17">
        <v>0</v>
      </c>
    </row>
    <row r="104" spans="1:9" ht="15.75" customHeight="1">
      <c r="A104" s="54"/>
      <c r="B104" s="46" t="s">
        <v>143</v>
      </c>
      <c r="C104" s="34"/>
      <c r="D104" s="34"/>
      <c r="E104" s="34"/>
      <c r="F104" s="34"/>
      <c r="G104" s="34"/>
      <c r="H104" s="34"/>
      <c r="I104" s="44">
        <f>I87+I102</f>
        <v>98534.386251599994</v>
      </c>
    </row>
    <row r="105" spans="1:9" ht="15.75">
      <c r="A105" s="207" t="s">
        <v>344</v>
      </c>
      <c r="B105" s="207"/>
      <c r="C105" s="207"/>
      <c r="D105" s="207"/>
      <c r="E105" s="207"/>
      <c r="F105" s="207"/>
      <c r="G105" s="207"/>
      <c r="H105" s="207"/>
      <c r="I105" s="207"/>
    </row>
    <row r="106" spans="1:9" ht="15.75">
      <c r="A106" s="61"/>
      <c r="B106" s="208" t="s">
        <v>345</v>
      </c>
      <c r="C106" s="208"/>
      <c r="D106" s="208"/>
      <c r="E106" s="208"/>
      <c r="F106" s="208"/>
      <c r="G106" s="208"/>
      <c r="H106" s="80"/>
      <c r="I106" s="3"/>
    </row>
    <row r="107" spans="1:9">
      <c r="A107" s="74"/>
      <c r="B107" s="206" t="s">
        <v>6</v>
      </c>
      <c r="C107" s="206"/>
      <c r="D107" s="206"/>
      <c r="E107" s="206"/>
      <c r="F107" s="206"/>
      <c r="G107" s="206"/>
      <c r="H107" s="24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209" t="s">
        <v>7</v>
      </c>
      <c r="B109" s="209"/>
      <c r="C109" s="209"/>
      <c r="D109" s="209"/>
      <c r="E109" s="209"/>
      <c r="F109" s="209"/>
      <c r="G109" s="209"/>
      <c r="H109" s="209"/>
      <c r="I109" s="209"/>
    </row>
    <row r="110" spans="1:9" ht="15.75">
      <c r="A110" s="209" t="s">
        <v>8</v>
      </c>
      <c r="B110" s="209"/>
      <c r="C110" s="209"/>
      <c r="D110" s="209"/>
      <c r="E110" s="209"/>
      <c r="F110" s="209"/>
      <c r="G110" s="209"/>
      <c r="H110" s="209"/>
      <c r="I110" s="209"/>
    </row>
    <row r="111" spans="1:9" ht="15.75">
      <c r="A111" s="203" t="s">
        <v>59</v>
      </c>
      <c r="B111" s="203"/>
      <c r="C111" s="203"/>
      <c r="D111" s="203"/>
      <c r="E111" s="203"/>
      <c r="F111" s="203"/>
      <c r="G111" s="203"/>
      <c r="H111" s="203"/>
      <c r="I111" s="203"/>
    </row>
    <row r="112" spans="1:9" ht="15.75">
      <c r="A112" s="11"/>
    </row>
    <row r="113" spans="1:9" ht="15.75">
      <c r="A113" s="204" t="s">
        <v>9</v>
      </c>
      <c r="B113" s="204"/>
      <c r="C113" s="204"/>
      <c r="D113" s="204"/>
      <c r="E113" s="204"/>
      <c r="F113" s="204"/>
      <c r="G113" s="204"/>
      <c r="H113" s="204"/>
      <c r="I113" s="204"/>
    </row>
    <row r="114" spans="1:9" ht="15.75">
      <c r="A114" s="4"/>
    </row>
    <row r="115" spans="1:9" ht="15.75">
      <c r="B115" s="72" t="s">
        <v>10</v>
      </c>
      <c r="C115" s="205" t="s">
        <v>84</v>
      </c>
      <c r="D115" s="205"/>
      <c r="E115" s="205"/>
      <c r="F115" s="78"/>
      <c r="I115" s="73"/>
    </row>
    <row r="116" spans="1:9">
      <c r="A116" s="74"/>
      <c r="C116" s="206" t="s">
        <v>11</v>
      </c>
      <c r="D116" s="206"/>
      <c r="E116" s="206"/>
      <c r="F116" s="24"/>
      <c r="I116" s="71" t="s">
        <v>12</v>
      </c>
    </row>
    <row r="117" spans="1:9" ht="15.75">
      <c r="A117" s="25"/>
      <c r="C117" s="12"/>
      <c r="D117" s="12"/>
      <c r="G117" s="12"/>
      <c r="H117" s="12"/>
    </row>
    <row r="118" spans="1:9" ht="15.75">
      <c r="B118" s="72" t="s">
        <v>13</v>
      </c>
      <c r="C118" s="200"/>
      <c r="D118" s="200"/>
      <c r="E118" s="200"/>
      <c r="F118" s="79"/>
      <c r="I118" s="73"/>
    </row>
    <row r="119" spans="1:9">
      <c r="A119" s="74"/>
      <c r="C119" s="201" t="s">
        <v>11</v>
      </c>
      <c r="D119" s="201"/>
      <c r="E119" s="201"/>
      <c r="F119" s="74"/>
      <c r="I119" s="71" t="s">
        <v>12</v>
      </c>
    </row>
    <row r="120" spans="1:9" ht="15.75">
      <c r="A120" s="4" t="s">
        <v>14</v>
      </c>
    </row>
    <row r="121" spans="1:9">
      <c r="A121" s="202" t="s">
        <v>15</v>
      </c>
      <c r="B121" s="202"/>
      <c r="C121" s="202"/>
      <c r="D121" s="202"/>
      <c r="E121" s="202"/>
      <c r="F121" s="202"/>
      <c r="G121" s="202"/>
      <c r="H121" s="202"/>
      <c r="I121" s="202"/>
    </row>
    <row r="122" spans="1:9" ht="45" customHeight="1">
      <c r="A122" s="199" t="s">
        <v>16</v>
      </c>
      <c r="B122" s="199"/>
      <c r="C122" s="199"/>
      <c r="D122" s="199"/>
      <c r="E122" s="199"/>
      <c r="F122" s="199"/>
      <c r="G122" s="199"/>
      <c r="H122" s="199"/>
      <c r="I122" s="199"/>
    </row>
    <row r="123" spans="1:9" ht="30" customHeight="1">
      <c r="A123" s="199" t="s">
        <v>17</v>
      </c>
      <c r="B123" s="199"/>
      <c r="C123" s="199"/>
      <c r="D123" s="199"/>
      <c r="E123" s="199"/>
      <c r="F123" s="199"/>
      <c r="G123" s="199"/>
      <c r="H123" s="199"/>
      <c r="I123" s="199"/>
    </row>
    <row r="124" spans="1:9" ht="30" customHeight="1">
      <c r="A124" s="199" t="s">
        <v>21</v>
      </c>
      <c r="B124" s="199"/>
      <c r="C124" s="199"/>
      <c r="D124" s="199"/>
      <c r="E124" s="199"/>
      <c r="F124" s="199"/>
      <c r="G124" s="199"/>
      <c r="H124" s="199"/>
      <c r="I124" s="199"/>
    </row>
    <row r="125" spans="1:9" ht="15" customHeight="1">
      <c r="A125" s="199" t="s">
        <v>20</v>
      </c>
      <c r="B125" s="199"/>
      <c r="C125" s="199"/>
      <c r="D125" s="199"/>
      <c r="E125" s="199"/>
      <c r="F125" s="199"/>
      <c r="G125" s="199"/>
      <c r="H125" s="199"/>
      <c r="I125" s="199"/>
    </row>
  </sheetData>
  <autoFilter ref="I12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69:U69"/>
    <mergeCell ref="C119:E119"/>
    <mergeCell ref="A88:I88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84:I84"/>
    <mergeCell ref="A121:I121"/>
    <mergeCell ref="A122:I122"/>
    <mergeCell ref="A123:I123"/>
    <mergeCell ref="A124:I124"/>
    <mergeCell ref="A125:I12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93" zoomScale="60" workbookViewId="0">
      <selection activeCell="A105" sqref="A105:I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216" t="s">
        <v>159</v>
      </c>
      <c r="B3" s="216"/>
      <c r="C3" s="216"/>
      <c r="D3" s="216"/>
      <c r="E3" s="216"/>
      <c r="F3" s="216"/>
      <c r="G3" s="216"/>
      <c r="H3" s="216"/>
      <c r="I3" s="216"/>
      <c r="J3" s="3"/>
      <c r="K3" s="3"/>
      <c r="L3" s="3"/>
    </row>
    <row r="4" spans="1:13" ht="31.5" customHeight="1">
      <c r="A4" s="217" t="s">
        <v>122</v>
      </c>
      <c r="B4" s="217"/>
      <c r="C4" s="217"/>
      <c r="D4" s="217"/>
      <c r="E4" s="217"/>
      <c r="F4" s="217"/>
      <c r="G4" s="217"/>
      <c r="H4" s="217"/>
      <c r="I4" s="217"/>
    </row>
    <row r="5" spans="1:13" ht="15.75" customHeight="1">
      <c r="A5" s="216" t="s">
        <v>289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44104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202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19" t="s">
        <v>135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1" t="s">
        <v>57</v>
      </c>
      <c r="B14" s="221"/>
      <c r="C14" s="221"/>
      <c r="D14" s="221"/>
      <c r="E14" s="221"/>
      <c r="F14" s="221"/>
      <c r="G14" s="221"/>
      <c r="H14" s="221"/>
      <c r="I14" s="221"/>
      <c r="J14" s="8"/>
      <c r="K14" s="8"/>
      <c r="L14" s="8"/>
      <c r="M14" s="8"/>
    </row>
    <row r="15" spans="1:13" ht="15.75" customHeight="1">
      <c r="A15" s="222" t="s">
        <v>4</v>
      </c>
      <c r="B15" s="222"/>
      <c r="C15" s="222"/>
      <c r="D15" s="222"/>
      <c r="E15" s="222"/>
      <c r="F15" s="222"/>
      <c r="G15" s="222"/>
      <c r="H15" s="222"/>
      <c r="I15" s="222"/>
      <c r="J15" s="8"/>
      <c r="K15" s="8"/>
      <c r="L15" s="8"/>
      <c r="M15" s="8"/>
    </row>
    <row r="16" spans="1:13" ht="15.75" customHeight="1">
      <c r="A16" s="29">
        <v>1</v>
      </c>
      <c r="B16" s="32" t="s">
        <v>82</v>
      </c>
      <c r="C16" s="136" t="s">
        <v>89</v>
      </c>
      <c r="D16" s="32" t="s">
        <v>187</v>
      </c>
      <c r="E16" s="149">
        <v>129.88</v>
      </c>
      <c r="F16" s="137">
        <f>SUM(E16*156/100)</f>
        <v>202.61279999999999</v>
      </c>
      <c r="G16" s="137">
        <v>239.2</v>
      </c>
      <c r="H16" s="86">
        <f t="shared" ref="H16:H26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85</v>
      </c>
      <c r="C17" s="136" t="s">
        <v>89</v>
      </c>
      <c r="D17" s="32" t="s">
        <v>188</v>
      </c>
      <c r="E17" s="149">
        <v>519.52</v>
      </c>
      <c r="F17" s="137">
        <f>SUM(E17*104/100)</f>
        <v>540.30079999999998</v>
      </c>
      <c r="G17" s="137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86</v>
      </c>
      <c r="C18" s="136" t="s">
        <v>89</v>
      </c>
      <c r="D18" s="32" t="s">
        <v>189</v>
      </c>
      <c r="E18" s="149">
        <f>SUM(E16+E17)</f>
        <v>649.4</v>
      </c>
      <c r="F18" s="137">
        <f>SUM(E18*18/100)</f>
        <v>116.892</v>
      </c>
      <c r="G18" s="137">
        <v>688.14</v>
      </c>
      <c r="H18" s="86">
        <f t="shared" si="0"/>
        <v>80.438060879999995</v>
      </c>
      <c r="I18" s="13">
        <f>F18/18*2*G18</f>
        <v>8937.5623199999991</v>
      </c>
      <c r="J18" s="22"/>
      <c r="K18" s="8"/>
      <c r="L18" s="8"/>
      <c r="M18" s="8"/>
    </row>
    <row r="19" spans="1:13" ht="25.5" hidden="1" customHeight="1">
      <c r="A19" s="29">
        <v>4</v>
      </c>
      <c r="B19" s="82" t="s">
        <v>90</v>
      </c>
      <c r="C19" s="83" t="s">
        <v>91</v>
      </c>
      <c r="D19" s="82" t="s">
        <v>92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" customHeight="1">
      <c r="A20" s="29">
        <v>4</v>
      </c>
      <c r="B20" s="32" t="s">
        <v>95</v>
      </c>
      <c r="C20" s="136" t="s">
        <v>89</v>
      </c>
      <c r="D20" s="32" t="s">
        <v>196</v>
      </c>
      <c r="E20" s="149">
        <v>57.5</v>
      </c>
      <c r="F20" s="137">
        <f>SUM(E20*12/100)</f>
        <v>6.9</v>
      </c>
      <c r="G20" s="137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16.5" customHeight="1">
      <c r="A21" s="29">
        <v>5</v>
      </c>
      <c r="B21" s="32" t="s">
        <v>96</v>
      </c>
      <c r="C21" s="136" t="s">
        <v>89</v>
      </c>
      <c r="D21" s="32" t="s">
        <v>196</v>
      </c>
      <c r="E21" s="149">
        <v>13.41</v>
      </c>
      <c r="F21" s="137">
        <f>SUM(E21*12/100)</f>
        <v>1.6092000000000002</v>
      </c>
      <c r="G21" s="137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25.5" hidden="1" customHeight="1">
      <c r="A22" s="29">
        <v>7</v>
      </c>
      <c r="B22" s="82" t="s">
        <v>97</v>
      </c>
      <c r="C22" s="83" t="s">
        <v>51</v>
      </c>
      <c r="D22" s="82" t="s">
        <v>92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ref="I22:I26" si="1">F22*G22</f>
        <v>2209.2782999999999</v>
      </c>
      <c r="J22" s="22"/>
      <c r="K22" s="8"/>
      <c r="L22" s="8"/>
      <c r="M22" s="8"/>
    </row>
    <row r="23" spans="1:13" ht="21.75" hidden="1" customHeight="1">
      <c r="A23" s="29">
        <v>8</v>
      </c>
      <c r="B23" s="82" t="s">
        <v>98</v>
      </c>
      <c r="C23" s="83" t="s">
        <v>51</v>
      </c>
      <c r="D23" s="82" t="s">
        <v>92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27" hidden="1" customHeight="1">
      <c r="A24" s="29">
        <v>9</v>
      </c>
      <c r="B24" s="82" t="s">
        <v>93</v>
      </c>
      <c r="C24" s="83" t="s">
        <v>51</v>
      </c>
      <c r="D24" s="82" t="s">
        <v>94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27" hidden="1" customHeight="1">
      <c r="A25" s="29">
        <v>10</v>
      </c>
      <c r="B25" s="82" t="s">
        <v>100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21.75" hidden="1" customHeight="1">
      <c r="A26" s="29">
        <v>11</v>
      </c>
      <c r="B26" s="82" t="s">
        <v>99</v>
      </c>
      <c r="C26" s="83" t="s">
        <v>51</v>
      </c>
      <c r="D26" s="82" t="s">
        <v>92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186</v>
      </c>
      <c r="C27" s="136" t="s">
        <v>26</v>
      </c>
      <c r="D27" s="32" t="s">
        <v>191</v>
      </c>
      <c r="E27" s="172">
        <v>4.88</v>
      </c>
      <c r="F27" s="137">
        <f>E27*258</f>
        <v>1259.04</v>
      </c>
      <c r="G27" s="137">
        <v>10.39</v>
      </c>
      <c r="H27" s="86">
        <f t="shared" ref="H27" si="2">SUM(F27*G27/1000)</f>
        <v>13.081425600000001</v>
      </c>
      <c r="I27" s="13">
        <f>F27/12*G27</f>
        <v>1090.1188</v>
      </c>
      <c r="J27" s="22"/>
      <c r="K27" s="8"/>
      <c r="L27" s="8"/>
      <c r="M27" s="8"/>
    </row>
    <row r="28" spans="1:13" ht="15.75" customHeight="1">
      <c r="A28" s="222" t="s">
        <v>81</v>
      </c>
      <c r="B28" s="222"/>
      <c r="C28" s="222"/>
      <c r="D28" s="222"/>
      <c r="E28" s="222"/>
      <c r="F28" s="222"/>
      <c r="G28" s="222"/>
      <c r="H28" s="222"/>
      <c r="I28" s="222"/>
      <c r="J28" s="22"/>
      <c r="K28" s="8"/>
      <c r="L28" s="8"/>
      <c r="M28" s="8"/>
    </row>
    <row r="29" spans="1:13" ht="15.75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15.75" customHeight="1">
      <c r="A30" s="40">
        <v>7</v>
      </c>
      <c r="B30" s="32" t="s">
        <v>101</v>
      </c>
      <c r="C30" s="136" t="s">
        <v>102</v>
      </c>
      <c r="D30" s="32" t="s">
        <v>188</v>
      </c>
      <c r="E30" s="137">
        <v>1304.45</v>
      </c>
      <c r="F30" s="137">
        <f>SUM(E30*52/1000)</f>
        <v>67.831400000000002</v>
      </c>
      <c r="G30" s="137">
        <v>212.62</v>
      </c>
      <c r="H30" s="86">
        <f t="shared" ref="H30:H31" si="3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31.5" customHeight="1">
      <c r="A31" s="40">
        <v>8</v>
      </c>
      <c r="B31" s="32" t="s">
        <v>139</v>
      </c>
      <c r="C31" s="136" t="s">
        <v>102</v>
      </c>
      <c r="D31" s="32" t="s">
        <v>188</v>
      </c>
      <c r="E31" s="137">
        <v>287.83999999999997</v>
      </c>
      <c r="F31" s="137">
        <f>SUM(E31*52/1000)</f>
        <v>14.967679999999998</v>
      </c>
      <c r="G31" s="137">
        <v>352.77</v>
      </c>
      <c r="H31" s="86">
        <f t="shared" si="3"/>
        <v>5.2801484735999997</v>
      </c>
      <c r="I31" s="13">
        <f t="shared" ref="I31" si="4">F31/6*G31</f>
        <v>880.02474559999985</v>
      </c>
      <c r="J31" s="22"/>
      <c r="K31" s="8"/>
      <c r="L31" s="8"/>
      <c r="M31" s="8"/>
    </row>
    <row r="32" spans="1:13" ht="15.75" hidden="1" customHeight="1">
      <c r="A32" s="40">
        <v>16</v>
      </c>
      <c r="B32" s="82" t="s">
        <v>28</v>
      </c>
      <c r="C32" s="83" t="s">
        <v>102</v>
      </c>
      <c r="D32" s="82" t="s">
        <v>52</v>
      </c>
      <c r="E32" s="85">
        <v>1304.45</v>
      </c>
      <c r="F32" s="85">
        <f>SUM(E32/1000)</f>
        <v>1.3044500000000001</v>
      </c>
      <c r="G32" s="85">
        <v>3020.33</v>
      </c>
      <c r="H32" s="86">
        <f t="shared" ref="H32:H34" si="5">SUM(F32*G32/1000)</f>
        <v>3.9398694685</v>
      </c>
      <c r="I32" s="13">
        <f>F32*G32</f>
        <v>3939.8694685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63</v>
      </c>
      <c r="C33" s="83" t="s">
        <v>33</v>
      </c>
      <c r="D33" s="82" t="s">
        <v>65</v>
      </c>
      <c r="E33" s="84"/>
      <c r="F33" s="85">
        <v>3</v>
      </c>
      <c r="G33" s="85">
        <v>191.32</v>
      </c>
      <c r="H33" s="86">
        <f t="shared" si="5"/>
        <v>0.57396000000000003</v>
      </c>
      <c r="I33" s="13">
        <v>0</v>
      </c>
      <c r="J33" s="23"/>
    </row>
    <row r="34" spans="1:14" ht="15.75" hidden="1" customHeight="1">
      <c r="A34" s="29">
        <v>8</v>
      </c>
      <c r="B34" s="82" t="s">
        <v>64</v>
      </c>
      <c r="C34" s="83" t="s">
        <v>32</v>
      </c>
      <c r="D34" s="82" t="s">
        <v>65</v>
      </c>
      <c r="E34" s="84"/>
      <c r="F34" s="85">
        <v>2</v>
      </c>
      <c r="G34" s="85">
        <v>1136.32</v>
      </c>
      <c r="H34" s="86">
        <f t="shared" si="5"/>
        <v>2.27264</v>
      </c>
      <c r="I34" s="13">
        <v>0</v>
      </c>
      <c r="J34" s="23"/>
    </row>
    <row r="35" spans="1:14" ht="15.75" hidden="1" customHeight="1">
      <c r="A35" s="40"/>
      <c r="B35" s="48" t="s">
        <v>5</v>
      </c>
      <c r="C35" s="48"/>
      <c r="D35" s="48"/>
      <c r="E35" s="13"/>
      <c r="F35" s="13"/>
      <c r="G35" s="14"/>
      <c r="H35" s="14"/>
      <c r="I35" s="18"/>
      <c r="J35" s="23"/>
    </row>
    <row r="36" spans="1:14" ht="15.75" hidden="1" customHeight="1">
      <c r="A36" s="33">
        <v>6</v>
      </c>
      <c r="B36" s="82" t="s">
        <v>27</v>
      </c>
      <c r="C36" s="83" t="s">
        <v>32</v>
      </c>
      <c r="D36" s="82"/>
      <c r="E36" s="84"/>
      <c r="F36" s="85">
        <v>10</v>
      </c>
      <c r="G36" s="85">
        <v>1527.22</v>
      </c>
      <c r="H36" s="86">
        <f t="shared" ref="H36:H43" si="6">SUM(F36*G36/1000)</f>
        <v>15.272200000000002</v>
      </c>
      <c r="I36" s="13">
        <f>F36/6*G36</f>
        <v>2545.3666666666668</v>
      </c>
      <c r="J36" s="23"/>
    </row>
    <row r="37" spans="1:14" ht="15.75" hidden="1" customHeight="1">
      <c r="A37" s="33">
        <v>7</v>
      </c>
      <c r="B37" s="82" t="s">
        <v>123</v>
      </c>
      <c r="C37" s="83" t="s">
        <v>30</v>
      </c>
      <c r="D37" s="82" t="s">
        <v>124</v>
      </c>
      <c r="E37" s="85">
        <v>495</v>
      </c>
      <c r="F37" s="85">
        <f>SUM(E37*12/1000)</f>
        <v>5.94</v>
      </c>
      <c r="G37" s="85">
        <v>2102.71</v>
      </c>
      <c r="H37" s="86">
        <f t="shared" si="6"/>
        <v>12.4900974</v>
      </c>
      <c r="I37" s="13">
        <f>F37/6*G37</f>
        <v>2081.6829000000002</v>
      </c>
      <c r="J37" s="23"/>
    </row>
    <row r="38" spans="1:14" ht="15.75" hidden="1" customHeight="1">
      <c r="A38" s="33">
        <v>8</v>
      </c>
      <c r="B38" s="82" t="s">
        <v>125</v>
      </c>
      <c r="C38" s="83" t="s">
        <v>30</v>
      </c>
      <c r="D38" s="82" t="s">
        <v>106</v>
      </c>
      <c r="E38" s="84">
        <v>287.83999999999997</v>
      </c>
      <c r="F38" s="85">
        <v>8.64</v>
      </c>
      <c r="G38" s="85">
        <v>2102.71</v>
      </c>
      <c r="H38" s="86">
        <f>G38*F38/1000</f>
        <v>18.167414400000002</v>
      </c>
      <c r="I38" s="13">
        <f>F38/6*G38</f>
        <v>3027.9024000000004</v>
      </c>
      <c r="J38" s="23"/>
    </row>
    <row r="39" spans="1:14" ht="15.75" hidden="1" customHeight="1">
      <c r="A39" s="33">
        <v>7</v>
      </c>
      <c r="B39" s="82" t="s">
        <v>87</v>
      </c>
      <c r="C39" s="83" t="s">
        <v>126</v>
      </c>
      <c r="D39" s="82" t="s">
        <v>65</v>
      </c>
      <c r="E39" s="84"/>
      <c r="F39" s="85">
        <v>80</v>
      </c>
      <c r="G39" s="85">
        <v>199.44</v>
      </c>
      <c r="H39" s="86">
        <f>G39*F39/1000</f>
        <v>15.955200000000001</v>
      </c>
      <c r="I39" s="13">
        <v>0</v>
      </c>
      <c r="J39" s="23"/>
    </row>
    <row r="40" spans="1:14" ht="15.75" hidden="1" customHeight="1">
      <c r="A40" s="33">
        <v>9</v>
      </c>
      <c r="B40" s="82" t="s">
        <v>66</v>
      </c>
      <c r="C40" s="83" t="s">
        <v>30</v>
      </c>
      <c r="D40" s="82" t="s">
        <v>107</v>
      </c>
      <c r="E40" s="85">
        <v>287.83999999999997</v>
      </c>
      <c r="F40" s="85">
        <f>SUM(E40*155/1000)</f>
        <v>44.615199999999994</v>
      </c>
      <c r="G40" s="85">
        <v>350.75</v>
      </c>
      <c r="H40" s="86">
        <f t="shared" si="6"/>
        <v>15.648781399999997</v>
      </c>
      <c r="I40" s="13">
        <f>F40/6*G40</f>
        <v>2608.1302333333329</v>
      </c>
      <c r="J40" s="23"/>
    </row>
    <row r="41" spans="1:14" ht="47.25" hidden="1" customHeight="1">
      <c r="A41" s="33">
        <v>10</v>
      </c>
      <c r="B41" s="82" t="s">
        <v>79</v>
      </c>
      <c r="C41" s="83" t="s">
        <v>102</v>
      </c>
      <c r="D41" s="82" t="s">
        <v>127</v>
      </c>
      <c r="E41" s="85">
        <v>89.43</v>
      </c>
      <c r="F41" s="85">
        <f>SUM(E41*24/1000)</f>
        <v>2.1463200000000002</v>
      </c>
      <c r="G41" s="85">
        <v>5803.28</v>
      </c>
      <c r="H41" s="86">
        <f t="shared" si="6"/>
        <v>12.455695929600001</v>
      </c>
      <c r="I41" s="13">
        <f>F41/6*G41</f>
        <v>2075.9493216000001</v>
      </c>
      <c r="J41" s="23"/>
      <c r="L41" s="19"/>
      <c r="M41" s="20"/>
      <c r="N41" s="21"/>
    </row>
    <row r="42" spans="1:14" ht="15.75" hidden="1" customHeight="1">
      <c r="A42" s="33">
        <v>11</v>
      </c>
      <c r="B42" s="82" t="s">
        <v>108</v>
      </c>
      <c r="C42" s="83" t="s">
        <v>102</v>
      </c>
      <c r="D42" s="82" t="s">
        <v>67</v>
      </c>
      <c r="E42" s="85">
        <v>130.08000000000001</v>
      </c>
      <c r="F42" s="85">
        <f>SUM(E42*45/1000)</f>
        <v>5.8536000000000001</v>
      </c>
      <c r="G42" s="85">
        <v>428.7</v>
      </c>
      <c r="H42" s="86">
        <f t="shared" si="6"/>
        <v>2.5094383200000001</v>
      </c>
      <c r="I42" s="13">
        <f>F42/6*G42</f>
        <v>418.23971999999998</v>
      </c>
      <c r="J42" s="23"/>
      <c r="L42" s="19"/>
      <c r="M42" s="20"/>
      <c r="N42" s="21"/>
    </row>
    <row r="43" spans="1:14" ht="15.75" hidden="1" customHeight="1">
      <c r="A43" s="33">
        <v>12</v>
      </c>
      <c r="B43" s="82" t="s">
        <v>68</v>
      </c>
      <c r="C43" s="83" t="s">
        <v>33</v>
      </c>
      <c r="D43" s="82"/>
      <c r="E43" s="84"/>
      <c r="F43" s="85">
        <v>0.9</v>
      </c>
      <c r="G43" s="85">
        <v>798</v>
      </c>
      <c r="H43" s="86">
        <f t="shared" si="6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226" t="s">
        <v>136</v>
      </c>
      <c r="B44" s="227"/>
      <c r="C44" s="227"/>
      <c r="D44" s="227"/>
      <c r="E44" s="227"/>
      <c r="F44" s="227"/>
      <c r="G44" s="227"/>
      <c r="H44" s="227"/>
      <c r="I44" s="228"/>
      <c r="J44" s="23"/>
      <c r="L44" s="19"/>
      <c r="M44" s="20"/>
      <c r="N44" s="21"/>
    </row>
    <row r="45" spans="1:14" ht="15.75" customHeight="1">
      <c r="A45" s="40">
        <v>9</v>
      </c>
      <c r="B45" s="32" t="s">
        <v>128</v>
      </c>
      <c r="C45" s="136" t="s">
        <v>102</v>
      </c>
      <c r="D45" s="32" t="s">
        <v>196</v>
      </c>
      <c r="E45" s="149">
        <v>1369</v>
      </c>
      <c r="F45" s="137">
        <f>SUM(E45*2/1000)</f>
        <v>2.738</v>
      </c>
      <c r="G45" s="36">
        <v>1158.7</v>
      </c>
      <c r="H45" s="86">
        <f t="shared" ref="H45:H53" si="7">SUM(F45*G45/1000)</f>
        <v>3.1725206000000004</v>
      </c>
      <c r="I45" s="13">
        <f t="shared" ref="I45:I47" si="8">F45/2*G45</f>
        <v>1586.2603000000001</v>
      </c>
      <c r="J45" s="23"/>
      <c r="L45" s="19"/>
      <c r="M45" s="20"/>
      <c r="N45" s="21"/>
    </row>
    <row r="46" spans="1:14" ht="15.75" customHeight="1">
      <c r="A46" s="40">
        <v>10</v>
      </c>
      <c r="B46" s="32" t="s">
        <v>183</v>
      </c>
      <c r="C46" s="136" t="s">
        <v>102</v>
      </c>
      <c r="D46" s="32" t="s">
        <v>196</v>
      </c>
      <c r="E46" s="149">
        <v>185.3</v>
      </c>
      <c r="F46" s="137">
        <f>SUM(E46*2/1000)</f>
        <v>0.37060000000000004</v>
      </c>
      <c r="G46" s="36">
        <v>790.38</v>
      </c>
      <c r="H46" s="86">
        <f t="shared" si="7"/>
        <v>0.29291482800000007</v>
      </c>
      <c r="I46" s="13">
        <f t="shared" si="8"/>
        <v>146.45741400000003</v>
      </c>
      <c r="J46" s="23"/>
      <c r="L46" s="19"/>
      <c r="M46" s="20"/>
      <c r="N46" s="21"/>
    </row>
    <row r="47" spans="1:14" ht="15.75" customHeight="1">
      <c r="A47" s="40">
        <v>11</v>
      </c>
      <c r="B47" s="32" t="s">
        <v>35</v>
      </c>
      <c r="C47" s="136" t="s">
        <v>102</v>
      </c>
      <c r="D47" s="32" t="s">
        <v>196</v>
      </c>
      <c r="E47" s="149">
        <v>4985.21</v>
      </c>
      <c r="F47" s="137">
        <f>SUM(E47*2/1000)</f>
        <v>9.9704200000000007</v>
      </c>
      <c r="G47" s="36">
        <v>790.38</v>
      </c>
      <c r="H47" s="86">
        <f t="shared" si="7"/>
        <v>7.8804205596000001</v>
      </c>
      <c r="I47" s="13">
        <f t="shared" si="8"/>
        <v>3940.2102798000001</v>
      </c>
      <c r="J47" s="23"/>
      <c r="L47" s="19"/>
      <c r="M47" s="20"/>
      <c r="N47" s="21"/>
    </row>
    <row r="48" spans="1:14" ht="15.75" customHeight="1">
      <c r="A48" s="40">
        <v>12</v>
      </c>
      <c r="B48" s="32" t="s">
        <v>36</v>
      </c>
      <c r="C48" s="136" t="s">
        <v>102</v>
      </c>
      <c r="D48" s="32" t="s">
        <v>196</v>
      </c>
      <c r="E48" s="149">
        <v>2474</v>
      </c>
      <c r="F48" s="137">
        <f>SUM(E48*2/1000)</f>
        <v>4.9480000000000004</v>
      </c>
      <c r="G48" s="36">
        <v>827.65</v>
      </c>
      <c r="H48" s="86">
        <f t="shared" si="7"/>
        <v>4.0952122000000006</v>
      </c>
      <c r="I48" s="13">
        <f>F48/2*G48</f>
        <v>2047.6061000000002</v>
      </c>
      <c r="J48" s="23"/>
      <c r="L48" s="19"/>
      <c r="M48" s="20"/>
      <c r="N48" s="21"/>
    </row>
    <row r="49" spans="1:14" ht="15.75" customHeight="1">
      <c r="A49" s="40">
        <v>13</v>
      </c>
      <c r="B49" s="32" t="s">
        <v>54</v>
      </c>
      <c r="C49" s="136" t="s">
        <v>102</v>
      </c>
      <c r="D49" s="32" t="s">
        <v>196</v>
      </c>
      <c r="E49" s="149">
        <v>5162.6000000000004</v>
      </c>
      <c r="F49" s="137">
        <f>SUM(E49*5/1000)</f>
        <v>25.812999999999999</v>
      </c>
      <c r="G49" s="36">
        <v>1655.27</v>
      </c>
      <c r="H49" s="86">
        <f t="shared" si="7"/>
        <v>42.727484509999996</v>
      </c>
      <c r="I49" s="13">
        <f>F49/5*G49</f>
        <v>8545.496901999999</v>
      </c>
      <c r="J49" s="23"/>
      <c r="L49" s="19"/>
      <c r="M49" s="20"/>
      <c r="N49" s="21"/>
    </row>
    <row r="50" spans="1:14" ht="30.75" customHeight="1">
      <c r="A50" s="40">
        <v>14</v>
      </c>
      <c r="B50" s="32" t="s">
        <v>109</v>
      </c>
      <c r="C50" s="136" t="s">
        <v>102</v>
      </c>
      <c r="D50" s="32" t="s">
        <v>196</v>
      </c>
      <c r="E50" s="149">
        <v>5162.6000000000004</v>
      </c>
      <c r="F50" s="137">
        <f>SUM(E50*2/1000)</f>
        <v>10.325200000000001</v>
      </c>
      <c r="G50" s="36">
        <v>1655.27</v>
      </c>
      <c r="H50" s="86">
        <f t="shared" si="7"/>
        <v>17.090993804</v>
      </c>
      <c r="I50" s="13">
        <f>F50/2*G50</f>
        <v>8545.4969020000008</v>
      </c>
      <c r="J50" s="23"/>
      <c r="L50" s="19"/>
      <c r="M50" s="20"/>
      <c r="N50" s="21"/>
    </row>
    <row r="51" spans="1:14" ht="30.75" customHeight="1">
      <c r="A51" s="40">
        <v>15</v>
      </c>
      <c r="B51" s="32" t="s">
        <v>110</v>
      </c>
      <c r="C51" s="136" t="s">
        <v>37</v>
      </c>
      <c r="D51" s="32" t="s">
        <v>196</v>
      </c>
      <c r="E51" s="149">
        <v>40</v>
      </c>
      <c r="F51" s="137">
        <f>SUM(E51*2/100)</f>
        <v>0.8</v>
      </c>
      <c r="G51" s="36">
        <v>3724.37</v>
      </c>
      <c r="H51" s="86">
        <f t="shared" si="7"/>
        <v>2.9794960000000001</v>
      </c>
      <c r="I51" s="13">
        <f t="shared" ref="I51:I52" si="9">F51/2*G51</f>
        <v>1489.748</v>
      </c>
      <c r="J51" s="23"/>
      <c r="L51" s="19"/>
      <c r="M51" s="20"/>
      <c r="N51" s="21"/>
    </row>
    <row r="52" spans="1:14" ht="15.75" customHeight="1">
      <c r="A52" s="40">
        <v>16</v>
      </c>
      <c r="B52" s="32" t="s">
        <v>38</v>
      </c>
      <c r="C52" s="136" t="s">
        <v>39</v>
      </c>
      <c r="D52" s="32" t="s">
        <v>196</v>
      </c>
      <c r="E52" s="149">
        <v>1</v>
      </c>
      <c r="F52" s="137">
        <v>0.02</v>
      </c>
      <c r="G52" s="36">
        <v>7709.44</v>
      </c>
      <c r="H52" s="86">
        <f t="shared" si="7"/>
        <v>0.15418879999999999</v>
      </c>
      <c r="I52" s="13">
        <f t="shared" si="9"/>
        <v>77.094399999999993</v>
      </c>
      <c r="J52" s="23"/>
      <c r="L52" s="19"/>
      <c r="M52" s="20"/>
      <c r="N52" s="21"/>
    </row>
    <row r="53" spans="1:14" ht="14.25" customHeight="1">
      <c r="A53" s="40">
        <v>17</v>
      </c>
      <c r="B53" s="32" t="s">
        <v>40</v>
      </c>
      <c r="C53" s="136" t="s">
        <v>111</v>
      </c>
      <c r="D53" s="179">
        <v>43717</v>
      </c>
      <c r="E53" s="149">
        <v>238</v>
      </c>
      <c r="F53" s="137">
        <f>SUM(E53)*3</f>
        <v>714</v>
      </c>
      <c r="G53" s="169">
        <v>89.59</v>
      </c>
      <c r="H53" s="86">
        <f t="shared" si="7"/>
        <v>63.967260000000003</v>
      </c>
      <c r="I53" s="13">
        <f>E53*G53</f>
        <v>21322.420000000002</v>
      </c>
      <c r="J53" s="23"/>
      <c r="L53" s="19"/>
      <c r="M53" s="20"/>
      <c r="N53" s="21"/>
    </row>
    <row r="54" spans="1:14" ht="15.75" customHeight="1">
      <c r="A54" s="226" t="s">
        <v>137</v>
      </c>
      <c r="B54" s="227"/>
      <c r="C54" s="227"/>
      <c r="D54" s="227"/>
      <c r="E54" s="227"/>
      <c r="F54" s="227"/>
      <c r="G54" s="227"/>
      <c r="H54" s="227"/>
      <c r="I54" s="228"/>
      <c r="J54" s="23"/>
      <c r="L54" s="19"/>
      <c r="M54" s="20"/>
      <c r="N54" s="21"/>
    </row>
    <row r="55" spans="1:14" ht="15.75" hidden="1" customHeight="1">
      <c r="A55" s="182"/>
      <c r="B55" s="47" t="s">
        <v>42</v>
      </c>
      <c r="C55" s="16"/>
      <c r="D55" s="15"/>
      <c r="E55" s="15"/>
      <c r="F55" s="15"/>
      <c r="G55" s="29"/>
      <c r="H55" s="29"/>
      <c r="I55" s="18"/>
      <c r="J55" s="23"/>
      <c r="L55" s="19"/>
      <c r="M55" s="20"/>
      <c r="N55" s="21"/>
    </row>
    <row r="56" spans="1:14" ht="31.5" hidden="1" customHeight="1">
      <c r="A56" s="40">
        <v>16</v>
      </c>
      <c r="B56" s="82" t="s">
        <v>112</v>
      </c>
      <c r="C56" s="83" t="s">
        <v>89</v>
      </c>
      <c r="D56" s="82" t="s">
        <v>113</v>
      </c>
      <c r="E56" s="84">
        <v>176.9</v>
      </c>
      <c r="F56" s="85">
        <f>SUM(E56*6/100)</f>
        <v>10.614000000000001</v>
      </c>
      <c r="G56" s="13">
        <v>1547.28</v>
      </c>
      <c r="H56" s="86">
        <f>SUM(F56*G56/1000)</f>
        <v>16.422829920000002</v>
      </c>
      <c r="I56" s="13">
        <f>F56/6*G56</f>
        <v>2737.13832</v>
      </c>
      <c r="J56" s="23"/>
      <c r="L56" s="19"/>
      <c r="M56" s="20"/>
      <c r="N56" s="21"/>
    </row>
    <row r="57" spans="1:14" ht="15.75" hidden="1" customHeight="1">
      <c r="A57" s="40">
        <v>17</v>
      </c>
      <c r="B57" s="82" t="s">
        <v>129</v>
      </c>
      <c r="C57" s="83" t="s">
        <v>89</v>
      </c>
      <c r="D57" s="82" t="s">
        <v>113</v>
      </c>
      <c r="E57" s="77">
        <v>56</v>
      </c>
      <c r="F57" s="90">
        <v>3.36</v>
      </c>
      <c r="G57" s="85">
        <v>1547.28</v>
      </c>
      <c r="H57" s="86">
        <f>F57*G57/1000</f>
        <v>5.1988607999999994</v>
      </c>
      <c r="I57" s="13">
        <f>F57/6*G57</f>
        <v>866.47679999999991</v>
      </c>
      <c r="J57" s="23"/>
      <c r="L57" s="19"/>
      <c r="M57" s="20"/>
      <c r="N57" s="21"/>
    </row>
    <row r="58" spans="1:14" ht="15.75" hidden="1" customHeight="1">
      <c r="A58" s="40"/>
      <c r="B58" s="82" t="s">
        <v>130</v>
      </c>
      <c r="C58" s="83" t="s">
        <v>131</v>
      </c>
      <c r="D58" s="82" t="s">
        <v>41</v>
      </c>
      <c r="E58" s="91">
        <v>8</v>
      </c>
      <c r="F58" s="13">
        <v>16</v>
      </c>
      <c r="G58" s="85">
        <v>180.78</v>
      </c>
      <c r="H58" s="86">
        <f>SUM(F58*G58/1000)</f>
        <v>2.8924799999999999</v>
      </c>
      <c r="I58" s="13">
        <v>0</v>
      </c>
      <c r="J58" s="23"/>
      <c r="L58" s="19"/>
      <c r="M58" s="20"/>
      <c r="N58" s="21"/>
    </row>
    <row r="59" spans="1:14" ht="15.75" customHeight="1">
      <c r="A59" s="40"/>
      <c r="B59" s="181" t="s">
        <v>43</v>
      </c>
      <c r="C59" s="181"/>
      <c r="D59" s="181"/>
      <c r="E59" s="181"/>
      <c r="F59" s="181"/>
      <c r="G59" s="181"/>
      <c r="H59" s="181"/>
      <c r="I59" s="35"/>
      <c r="J59" s="23"/>
      <c r="L59" s="19"/>
      <c r="M59" s="20"/>
      <c r="N59" s="21"/>
    </row>
    <row r="60" spans="1:14" ht="15.75" hidden="1" customHeight="1">
      <c r="A60" s="40">
        <v>27</v>
      </c>
      <c r="B60" s="82" t="s">
        <v>141</v>
      </c>
      <c r="C60" s="83"/>
      <c r="D60" s="82" t="s">
        <v>52</v>
      </c>
      <c r="E60" s="84">
        <v>1349.3</v>
      </c>
      <c r="F60" s="86">
        <v>13.493</v>
      </c>
      <c r="G60" s="13">
        <v>793.61</v>
      </c>
      <c r="H60" s="92">
        <f>F60*G60/1000</f>
        <v>10.708179729999999</v>
      </c>
      <c r="I60" s="13">
        <v>0</v>
      </c>
      <c r="J60" s="23"/>
      <c r="L60" s="19"/>
      <c r="M60" s="20"/>
      <c r="N60" s="21"/>
    </row>
    <row r="61" spans="1:14" ht="15.75" customHeight="1">
      <c r="A61" s="40">
        <v>18</v>
      </c>
      <c r="B61" s="93" t="s">
        <v>88</v>
      </c>
      <c r="C61" s="94" t="s">
        <v>26</v>
      </c>
      <c r="D61" s="93"/>
      <c r="E61" s="95">
        <v>270</v>
      </c>
      <c r="F61" s="96">
        <v>2400</v>
      </c>
      <c r="G61" s="97">
        <v>1.4</v>
      </c>
      <c r="H61" s="98">
        <f>F61*G61</f>
        <v>3360</v>
      </c>
      <c r="I61" s="13">
        <f>F61/12*G61</f>
        <v>280</v>
      </c>
      <c r="J61" s="23"/>
      <c r="L61" s="19"/>
      <c r="M61" s="20"/>
      <c r="N61" s="21"/>
    </row>
    <row r="62" spans="1:14" ht="15.75" customHeight="1">
      <c r="A62" s="40"/>
      <c r="B62" s="181" t="s">
        <v>44</v>
      </c>
      <c r="C62" s="16"/>
      <c r="D62" s="37"/>
      <c r="E62" s="15"/>
      <c r="F62" s="15"/>
      <c r="G62" s="29"/>
      <c r="H62" s="29"/>
      <c r="I62" s="18"/>
      <c r="J62" s="23"/>
      <c r="L62" s="19"/>
    </row>
    <row r="63" spans="1:14" ht="15.75" customHeight="1">
      <c r="A63" s="40">
        <v>19</v>
      </c>
      <c r="B63" s="148" t="s">
        <v>45</v>
      </c>
      <c r="C63" s="38" t="s">
        <v>111</v>
      </c>
      <c r="D63" s="37" t="s">
        <v>187</v>
      </c>
      <c r="E63" s="17">
        <v>40</v>
      </c>
      <c r="F63" s="137">
        <f>E63</f>
        <v>40</v>
      </c>
      <c r="G63" s="36">
        <v>303.35000000000002</v>
      </c>
      <c r="H63" s="100">
        <f t="shared" ref="H63:H70" si="10">SUM(F63*G63/1000)</f>
        <v>12.134</v>
      </c>
      <c r="I63" s="13">
        <f>G63*13</f>
        <v>3943.55</v>
      </c>
    </row>
    <row r="64" spans="1:14" ht="15.75" hidden="1" customHeight="1">
      <c r="A64" s="29">
        <v>29</v>
      </c>
      <c r="B64" s="99" t="s">
        <v>46</v>
      </c>
      <c r="C64" s="16" t="s">
        <v>111</v>
      </c>
      <c r="D64" s="99" t="s">
        <v>65</v>
      </c>
      <c r="E64" s="18">
        <v>20</v>
      </c>
      <c r="F64" s="85">
        <v>20</v>
      </c>
      <c r="G64" s="13">
        <v>76.25</v>
      </c>
      <c r="H64" s="100">
        <f t="shared" si="10"/>
        <v>1.5249999999999999</v>
      </c>
      <c r="I64" s="13">
        <v>0</v>
      </c>
    </row>
    <row r="65" spans="1:22" ht="15.75" hidden="1" customHeight="1">
      <c r="A65" s="29">
        <v>25</v>
      </c>
      <c r="B65" s="99" t="s">
        <v>47</v>
      </c>
      <c r="C65" s="16" t="s">
        <v>114</v>
      </c>
      <c r="D65" s="99" t="s">
        <v>52</v>
      </c>
      <c r="E65" s="84">
        <v>18890</v>
      </c>
      <c r="F65" s="13">
        <f>SUM(E65/100)</f>
        <v>188.9</v>
      </c>
      <c r="G65" s="13">
        <v>212.15</v>
      </c>
      <c r="H65" s="100">
        <f t="shared" si="10"/>
        <v>40.075135000000003</v>
      </c>
      <c r="I65" s="13">
        <f>F65*G65</f>
        <v>40075.135000000002</v>
      </c>
    </row>
    <row r="66" spans="1:22" ht="15.75" hidden="1" customHeight="1">
      <c r="A66" s="29">
        <v>26</v>
      </c>
      <c r="B66" s="99" t="s">
        <v>48</v>
      </c>
      <c r="C66" s="16" t="s">
        <v>115</v>
      </c>
      <c r="D66" s="99"/>
      <c r="E66" s="84">
        <v>18890</v>
      </c>
      <c r="F66" s="13">
        <f>SUM(E66/1000)</f>
        <v>18.89</v>
      </c>
      <c r="G66" s="13">
        <v>165.21</v>
      </c>
      <c r="H66" s="100">
        <f t="shared" si="10"/>
        <v>3.1208169000000003</v>
      </c>
      <c r="I66" s="13">
        <f t="shared" ref="I66:I69" si="11">F66*G66</f>
        <v>3120.8169000000003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27</v>
      </c>
      <c r="B67" s="99" t="s">
        <v>49</v>
      </c>
      <c r="C67" s="16" t="s">
        <v>75</v>
      </c>
      <c r="D67" s="99" t="s">
        <v>52</v>
      </c>
      <c r="E67" s="84">
        <v>3004</v>
      </c>
      <c r="F67" s="13">
        <f>SUM(E67/100)</f>
        <v>30.04</v>
      </c>
      <c r="G67" s="13">
        <v>2074.63</v>
      </c>
      <c r="H67" s="100">
        <f t="shared" si="10"/>
        <v>62.321885200000004</v>
      </c>
      <c r="I67" s="13">
        <f t="shared" si="11"/>
        <v>62321.885200000004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28</v>
      </c>
      <c r="B68" s="101" t="s">
        <v>116</v>
      </c>
      <c r="C68" s="16" t="s">
        <v>33</v>
      </c>
      <c r="D68" s="99"/>
      <c r="E68" s="84">
        <v>15.8</v>
      </c>
      <c r="F68" s="13">
        <f>SUM(E68)</f>
        <v>15.8</v>
      </c>
      <c r="G68" s="13">
        <v>42.67</v>
      </c>
      <c r="H68" s="100">
        <f t="shared" si="10"/>
        <v>0.67418600000000006</v>
      </c>
      <c r="I68" s="13">
        <f t="shared" si="11"/>
        <v>674.18600000000004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29</v>
      </c>
      <c r="B69" s="101" t="s">
        <v>117</v>
      </c>
      <c r="C69" s="16" t="s">
        <v>33</v>
      </c>
      <c r="D69" s="99"/>
      <c r="E69" s="84">
        <v>15.8</v>
      </c>
      <c r="F69" s="13">
        <f>SUM(E69)</f>
        <v>15.8</v>
      </c>
      <c r="G69" s="13">
        <v>39.81</v>
      </c>
      <c r="H69" s="100">
        <f t="shared" si="10"/>
        <v>0.62899800000000006</v>
      </c>
      <c r="I69" s="13">
        <f t="shared" si="11"/>
        <v>628.99800000000005</v>
      </c>
      <c r="J69" s="5"/>
      <c r="K69" s="5"/>
      <c r="L69" s="5"/>
      <c r="M69" s="5"/>
      <c r="N69" s="5"/>
      <c r="O69" s="5"/>
      <c r="P69" s="5"/>
      <c r="Q69" s="5"/>
      <c r="R69" s="201"/>
      <c r="S69" s="201"/>
      <c r="T69" s="201"/>
      <c r="U69" s="201"/>
    </row>
    <row r="70" spans="1:22" ht="15.75" customHeight="1">
      <c r="A70" s="29">
        <v>20</v>
      </c>
      <c r="B70" s="37" t="s">
        <v>55</v>
      </c>
      <c r="C70" s="38" t="s">
        <v>56</v>
      </c>
      <c r="D70" s="37" t="s">
        <v>190</v>
      </c>
      <c r="E70" s="17">
        <v>8</v>
      </c>
      <c r="F70" s="137">
        <f>E70</f>
        <v>8</v>
      </c>
      <c r="G70" s="36">
        <v>68.040000000000006</v>
      </c>
      <c r="H70" s="100">
        <f t="shared" si="10"/>
        <v>0.54432000000000003</v>
      </c>
      <c r="I70" s="13">
        <f>G70*15</f>
        <v>1020.6000000000001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182"/>
      <c r="B71" s="181" t="s">
        <v>118</v>
      </c>
      <c r="C71" s="181"/>
      <c r="D71" s="181"/>
      <c r="E71" s="181"/>
      <c r="F71" s="181"/>
      <c r="G71" s="181"/>
      <c r="H71" s="181"/>
      <c r="I71" s="18"/>
    </row>
    <row r="72" spans="1:22" ht="15.75" hidden="1" customHeight="1">
      <c r="A72" s="29">
        <v>11</v>
      </c>
      <c r="B72" s="82" t="s">
        <v>119</v>
      </c>
      <c r="C72" s="16"/>
      <c r="D72" s="99"/>
      <c r="E72" s="77"/>
      <c r="F72" s="13">
        <v>1</v>
      </c>
      <c r="G72" s="13">
        <v>27865.200000000001</v>
      </c>
      <c r="H72" s="100">
        <f>G72*F72/1000</f>
        <v>27.865200000000002</v>
      </c>
      <c r="I72" s="13">
        <f>G72</f>
        <v>27865.200000000001</v>
      </c>
    </row>
    <row r="73" spans="1:22" ht="18" customHeight="1">
      <c r="A73" s="29"/>
      <c r="B73" s="48" t="s">
        <v>70</v>
      </c>
      <c r="C73" s="48"/>
      <c r="D73" s="48"/>
      <c r="E73" s="18"/>
      <c r="F73" s="18"/>
      <c r="G73" s="29"/>
      <c r="H73" s="29"/>
      <c r="I73" s="18"/>
    </row>
    <row r="74" spans="1:22" ht="18" hidden="1" customHeight="1">
      <c r="A74" s="29">
        <v>17</v>
      </c>
      <c r="B74" s="99" t="s">
        <v>71</v>
      </c>
      <c r="C74" s="16" t="s">
        <v>73</v>
      </c>
      <c r="D74" s="99"/>
      <c r="E74" s="18">
        <v>10</v>
      </c>
      <c r="F74" s="13">
        <v>1</v>
      </c>
      <c r="G74" s="13">
        <v>501.62</v>
      </c>
      <c r="H74" s="100">
        <f t="shared" ref="H74:H78" si="12">SUM(F74*G74/1000)</f>
        <v>0.50161999999999995</v>
      </c>
      <c r="I74" s="13">
        <f>G74*0.2</f>
        <v>100.32400000000001</v>
      </c>
    </row>
    <row r="75" spans="1:22" ht="30" hidden="1" customHeight="1">
      <c r="A75" s="29"/>
      <c r="B75" s="99" t="s">
        <v>132</v>
      </c>
      <c r="C75" s="16" t="s">
        <v>31</v>
      </c>
      <c r="D75" s="99"/>
      <c r="E75" s="18">
        <v>1</v>
      </c>
      <c r="F75" s="13">
        <v>1</v>
      </c>
      <c r="G75" s="13">
        <v>99.85</v>
      </c>
      <c r="H75" s="100">
        <f>F75*G75/1000</f>
        <v>9.9849999999999994E-2</v>
      </c>
      <c r="I75" s="13">
        <v>0</v>
      </c>
    </row>
    <row r="76" spans="1:22" ht="32.25" hidden="1" customHeight="1">
      <c r="A76" s="29"/>
      <c r="B76" s="99" t="s">
        <v>133</v>
      </c>
      <c r="C76" s="16" t="s">
        <v>31</v>
      </c>
      <c r="D76" s="99"/>
      <c r="E76" s="18">
        <v>1</v>
      </c>
      <c r="F76" s="13">
        <v>1</v>
      </c>
      <c r="G76" s="13">
        <v>120.26</v>
      </c>
      <c r="H76" s="100">
        <f>F76*G76/1000</f>
        <v>0.12026000000000001</v>
      </c>
      <c r="I76" s="13">
        <v>0</v>
      </c>
    </row>
    <row r="77" spans="1:22" ht="33.75" hidden="1" customHeight="1">
      <c r="A77" s="29">
        <v>19</v>
      </c>
      <c r="B77" s="99" t="s">
        <v>72</v>
      </c>
      <c r="C77" s="16" t="s">
        <v>31</v>
      </c>
      <c r="D77" s="99"/>
      <c r="E77" s="18">
        <v>2</v>
      </c>
      <c r="F77" s="97">
        <v>2</v>
      </c>
      <c r="G77" s="13">
        <v>852.99</v>
      </c>
      <c r="H77" s="100">
        <f>F77*G77/1000</f>
        <v>1.7059800000000001</v>
      </c>
      <c r="I77" s="13">
        <f>G77</f>
        <v>852.99</v>
      </c>
    </row>
    <row r="78" spans="1:22" ht="34.5" hidden="1" customHeight="1">
      <c r="A78" s="29">
        <v>10</v>
      </c>
      <c r="B78" s="99" t="s">
        <v>83</v>
      </c>
      <c r="C78" s="16" t="s">
        <v>111</v>
      </c>
      <c r="D78" s="99"/>
      <c r="E78" s="18">
        <v>1</v>
      </c>
      <c r="F78" s="85">
        <f>SUM(E78)</f>
        <v>1</v>
      </c>
      <c r="G78" s="13">
        <v>358.51</v>
      </c>
      <c r="H78" s="100">
        <f t="shared" si="12"/>
        <v>0.35851</v>
      </c>
      <c r="I78" s="13">
        <f>G78</f>
        <v>358.51</v>
      </c>
    </row>
    <row r="79" spans="1:22" ht="34.5" customHeight="1">
      <c r="A79" s="29">
        <v>21</v>
      </c>
      <c r="B79" s="37" t="s">
        <v>176</v>
      </c>
      <c r="C79" s="38" t="s">
        <v>111</v>
      </c>
      <c r="D79" s="37" t="s">
        <v>190</v>
      </c>
      <c r="E79" s="17">
        <v>1</v>
      </c>
      <c r="F79" s="36">
        <f>E79*12</f>
        <v>12</v>
      </c>
      <c r="G79" s="36">
        <v>55.55</v>
      </c>
      <c r="H79" s="100"/>
      <c r="I79" s="13">
        <f>G79*1</f>
        <v>55.55</v>
      </c>
    </row>
    <row r="80" spans="1:22" ht="18" customHeight="1">
      <c r="A80" s="29"/>
      <c r="B80" s="159" t="s">
        <v>173</v>
      </c>
      <c r="C80" s="38"/>
      <c r="D80" s="37"/>
      <c r="E80" s="17"/>
      <c r="F80" s="115"/>
      <c r="G80" s="36"/>
      <c r="H80" s="100"/>
      <c r="I80" s="13"/>
    </row>
    <row r="81" spans="1:9" ht="31.5" customHeight="1">
      <c r="A81" s="29">
        <v>22</v>
      </c>
      <c r="B81" s="37" t="s">
        <v>174</v>
      </c>
      <c r="C81" s="40" t="s">
        <v>175</v>
      </c>
      <c r="D81" s="37"/>
      <c r="E81" s="17">
        <v>5162.6000000000004</v>
      </c>
      <c r="F81" s="36">
        <f>E81*12</f>
        <v>61951.200000000004</v>
      </c>
      <c r="G81" s="36">
        <v>2.37</v>
      </c>
      <c r="H81" s="100"/>
      <c r="I81" s="13">
        <f>G81*F81/12</f>
        <v>12235.362000000001</v>
      </c>
    </row>
    <row r="82" spans="1:9" ht="30.75" hidden="1" customHeight="1">
      <c r="A82" s="29"/>
      <c r="B82" s="49" t="s">
        <v>74</v>
      </c>
      <c r="C82" s="38"/>
      <c r="D82" s="29"/>
      <c r="E82" s="18"/>
      <c r="F82" s="18"/>
      <c r="G82" s="36"/>
      <c r="H82" s="36"/>
      <c r="I82" s="18"/>
    </row>
    <row r="83" spans="1:9" ht="22.5" hidden="1" customHeight="1">
      <c r="A83" s="29">
        <v>39</v>
      </c>
      <c r="B83" s="51" t="s">
        <v>120</v>
      </c>
      <c r="C83" s="16" t="s">
        <v>75</v>
      </c>
      <c r="D83" s="99"/>
      <c r="E83" s="18"/>
      <c r="F83" s="13">
        <v>1.35</v>
      </c>
      <c r="G83" s="13">
        <v>2759.44</v>
      </c>
      <c r="H83" s="100">
        <f t="shared" ref="H83" si="13">SUM(F83*G83/1000)</f>
        <v>3.725244</v>
      </c>
      <c r="I83" s="13">
        <v>0</v>
      </c>
    </row>
    <row r="84" spans="1:9" ht="15.75" customHeight="1">
      <c r="A84" s="210" t="s">
        <v>138</v>
      </c>
      <c r="B84" s="211"/>
      <c r="C84" s="211"/>
      <c r="D84" s="211"/>
      <c r="E84" s="211"/>
      <c r="F84" s="211"/>
      <c r="G84" s="211"/>
      <c r="H84" s="211"/>
      <c r="I84" s="212"/>
    </row>
    <row r="85" spans="1:9" ht="15.75" customHeight="1">
      <c r="A85" s="29">
        <v>23</v>
      </c>
      <c r="B85" s="32" t="s">
        <v>121</v>
      </c>
      <c r="C85" s="38" t="s">
        <v>53</v>
      </c>
      <c r="D85" s="63"/>
      <c r="E85" s="36">
        <v>5162.6000000000004</v>
      </c>
      <c r="F85" s="36">
        <f>SUM(E85*12)</f>
        <v>61951.200000000004</v>
      </c>
      <c r="G85" s="36">
        <v>3.22</v>
      </c>
      <c r="H85" s="102">
        <f>SUM(F85*G85/1000)</f>
        <v>199.48286400000003</v>
      </c>
      <c r="I85" s="13">
        <f>F85/12*G85</f>
        <v>16623.572000000004</v>
      </c>
    </row>
    <row r="86" spans="1:9" ht="31.5" customHeight="1">
      <c r="A86" s="29">
        <v>24</v>
      </c>
      <c r="B86" s="37" t="s">
        <v>177</v>
      </c>
      <c r="C86" s="112" t="s">
        <v>178</v>
      </c>
      <c r="D86" s="37"/>
      <c r="E86" s="17">
        <v>5162.6000000000004</v>
      </c>
      <c r="F86" s="36">
        <f>E86*12</f>
        <v>61951.200000000004</v>
      </c>
      <c r="G86" s="36">
        <v>3.64</v>
      </c>
      <c r="H86" s="100">
        <f>F86*G86/1000</f>
        <v>225.50236800000002</v>
      </c>
      <c r="I86" s="13">
        <f>F86/12*G86</f>
        <v>18791.864000000001</v>
      </c>
    </row>
    <row r="87" spans="1:9" ht="15.75" customHeight="1">
      <c r="A87" s="182"/>
      <c r="B87" s="39" t="s">
        <v>78</v>
      </c>
      <c r="C87" s="40"/>
      <c r="D87" s="15"/>
      <c r="E87" s="15"/>
      <c r="F87" s="15"/>
      <c r="G87" s="18"/>
      <c r="H87" s="18"/>
      <c r="I87" s="31">
        <f>I86+I85+I81+I79+I70+I63+I61+I53+I52+I51+I50+I49+I48+I47+I46+I45+I31+I30+I27+I21+I20+I18+I17+I16</f>
        <v>128981.87154940001</v>
      </c>
    </row>
    <row r="88" spans="1:9" ht="15.75" customHeight="1">
      <c r="A88" s="213" t="s">
        <v>58</v>
      </c>
      <c r="B88" s="214"/>
      <c r="C88" s="214"/>
      <c r="D88" s="214"/>
      <c r="E88" s="214"/>
      <c r="F88" s="214"/>
      <c r="G88" s="214"/>
      <c r="H88" s="214"/>
      <c r="I88" s="215"/>
    </row>
    <row r="89" spans="1:9" ht="33" customHeight="1">
      <c r="A89" s="29">
        <v>25</v>
      </c>
      <c r="B89" s="66" t="s">
        <v>142</v>
      </c>
      <c r="C89" s="67" t="s">
        <v>80</v>
      </c>
      <c r="D89" s="37" t="s">
        <v>296</v>
      </c>
      <c r="E89" s="36"/>
      <c r="F89" s="36">
        <v>9</v>
      </c>
      <c r="G89" s="36">
        <v>222.63</v>
      </c>
      <c r="H89" s="102">
        <f t="shared" ref="H89" si="14">G89*F89/1000</f>
        <v>2.0036700000000001</v>
      </c>
      <c r="I89" s="13">
        <f>G89*2</f>
        <v>445.26</v>
      </c>
    </row>
    <row r="90" spans="1:9" ht="15.75" customHeight="1">
      <c r="A90" s="29">
        <v>26</v>
      </c>
      <c r="B90" s="66" t="s">
        <v>158</v>
      </c>
      <c r="C90" s="67" t="s">
        <v>111</v>
      </c>
      <c r="D90" s="64"/>
      <c r="E90" s="36"/>
      <c r="F90" s="36">
        <v>1</v>
      </c>
      <c r="G90" s="36">
        <v>215.85</v>
      </c>
      <c r="H90" s="102"/>
      <c r="I90" s="13">
        <f>G90*1</f>
        <v>215.85</v>
      </c>
    </row>
    <row r="91" spans="1:9" ht="30.75" customHeight="1">
      <c r="A91" s="29">
        <v>27</v>
      </c>
      <c r="B91" s="66" t="s">
        <v>151</v>
      </c>
      <c r="C91" s="67" t="s">
        <v>152</v>
      </c>
      <c r="D91" s="64" t="s">
        <v>298</v>
      </c>
      <c r="E91" s="36"/>
      <c r="F91" s="36">
        <v>6</v>
      </c>
      <c r="G91" s="36">
        <v>670.51</v>
      </c>
      <c r="H91" s="102"/>
      <c r="I91" s="13">
        <f>G91*1</f>
        <v>670.51</v>
      </c>
    </row>
    <row r="92" spans="1:9" ht="30.75" customHeight="1">
      <c r="A92" s="29">
        <v>28</v>
      </c>
      <c r="B92" s="66" t="s">
        <v>290</v>
      </c>
      <c r="C92" s="67" t="s">
        <v>164</v>
      </c>
      <c r="D92" s="64" t="s">
        <v>297</v>
      </c>
      <c r="E92" s="36"/>
      <c r="F92" s="36">
        <v>8</v>
      </c>
      <c r="G92" s="36">
        <v>1327.8</v>
      </c>
      <c r="H92" s="102"/>
      <c r="I92" s="13">
        <f>G92*8</f>
        <v>10622.4</v>
      </c>
    </row>
    <row r="93" spans="1:9" ht="15.75" customHeight="1">
      <c r="A93" s="29">
        <v>29</v>
      </c>
      <c r="B93" s="66" t="s">
        <v>291</v>
      </c>
      <c r="C93" s="67" t="s">
        <v>152</v>
      </c>
      <c r="D93" s="64" t="s">
        <v>295</v>
      </c>
      <c r="E93" s="36"/>
      <c r="F93" s="36">
        <v>1</v>
      </c>
      <c r="G93" s="36">
        <v>5930.24</v>
      </c>
      <c r="H93" s="102"/>
      <c r="I93" s="13">
        <f>G93*1</f>
        <v>5930.24</v>
      </c>
    </row>
    <row r="94" spans="1:9" ht="15.75" customHeight="1">
      <c r="A94" s="29">
        <v>30</v>
      </c>
      <c r="B94" s="66" t="s">
        <v>292</v>
      </c>
      <c r="C94" s="67" t="s">
        <v>31</v>
      </c>
      <c r="D94" s="64" t="s">
        <v>298</v>
      </c>
      <c r="E94" s="36"/>
      <c r="F94" s="36">
        <v>1</v>
      </c>
      <c r="G94" s="36">
        <v>234.78</v>
      </c>
      <c r="H94" s="102"/>
      <c r="I94" s="13">
        <f>G94*1</f>
        <v>234.78</v>
      </c>
    </row>
    <row r="95" spans="1:9" ht="35.25" customHeight="1">
      <c r="A95" s="29">
        <v>31</v>
      </c>
      <c r="B95" s="198" t="s">
        <v>293</v>
      </c>
      <c r="C95" s="40" t="s">
        <v>294</v>
      </c>
      <c r="D95" s="64"/>
      <c r="E95" s="36"/>
      <c r="F95" s="36">
        <v>1</v>
      </c>
      <c r="G95" s="36">
        <v>458.9</v>
      </c>
      <c r="H95" s="102"/>
      <c r="I95" s="13">
        <f>G95*1</f>
        <v>458.9</v>
      </c>
    </row>
    <row r="96" spans="1:9" ht="15.75" customHeight="1">
      <c r="A96" s="29">
        <v>32</v>
      </c>
      <c r="B96" s="66" t="s">
        <v>211</v>
      </c>
      <c r="C96" s="67" t="s">
        <v>185</v>
      </c>
      <c r="D96" s="197" t="s">
        <v>196</v>
      </c>
      <c r="E96" s="36"/>
      <c r="F96" s="36">
        <v>0.05</v>
      </c>
      <c r="G96" s="36">
        <v>27137.18</v>
      </c>
      <c r="H96" s="102"/>
      <c r="I96" s="13">
        <v>0</v>
      </c>
    </row>
    <row r="97" spans="1:9" ht="15.75" customHeight="1">
      <c r="A97" s="29"/>
      <c r="B97" s="45" t="s">
        <v>50</v>
      </c>
      <c r="C97" s="41"/>
      <c r="D97" s="53"/>
      <c r="E97" s="41">
        <v>1</v>
      </c>
      <c r="F97" s="41"/>
      <c r="G97" s="41"/>
      <c r="H97" s="41"/>
      <c r="I97" s="31">
        <f>SUM(I89:I96)</f>
        <v>18577.940000000002</v>
      </c>
    </row>
    <row r="98" spans="1:9" ht="15.75" customHeight="1">
      <c r="A98" s="29"/>
      <c r="B98" s="51" t="s">
        <v>76</v>
      </c>
      <c r="C98" s="15"/>
      <c r="D98" s="15"/>
      <c r="E98" s="42"/>
      <c r="F98" s="42"/>
      <c r="G98" s="43"/>
      <c r="H98" s="43"/>
      <c r="I98" s="17">
        <v>0</v>
      </c>
    </row>
    <row r="99" spans="1:9" ht="15.75" customHeight="1">
      <c r="A99" s="54"/>
      <c r="B99" s="46" t="s">
        <v>143</v>
      </c>
      <c r="C99" s="34"/>
      <c r="D99" s="34"/>
      <c r="E99" s="34"/>
      <c r="F99" s="34"/>
      <c r="G99" s="34"/>
      <c r="H99" s="34"/>
      <c r="I99" s="44">
        <f>I87+I97</f>
        <v>147559.81154940001</v>
      </c>
    </row>
    <row r="100" spans="1:9" ht="15.75">
      <c r="A100" s="207" t="s">
        <v>346</v>
      </c>
      <c r="B100" s="207"/>
      <c r="C100" s="207"/>
      <c r="D100" s="207"/>
      <c r="E100" s="207"/>
      <c r="F100" s="207"/>
      <c r="G100" s="207"/>
      <c r="H100" s="207"/>
      <c r="I100" s="207"/>
    </row>
    <row r="101" spans="1:9" ht="15.75">
      <c r="A101" s="61"/>
      <c r="B101" s="208" t="s">
        <v>347</v>
      </c>
      <c r="C101" s="208"/>
      <c r="D101" s="208"/>
      <c r="E101" s="208"/>
      <c r="F101" s="208"/>
      <c r="G101" s="208"/>
      <c r="H101" s="80"/>
      <c r="I101" s="3"/>
    </row>
    <row r="102" spans="1:9">
      <c r="A102" s="74"/>
      <c r="B102" s="206" t="s">
        <v>6</v>
      </c>
      <c r="C102" s="206"/>
      <c r="D102" s="206"/>
      <c r="E102" s="206"/>
      <c r="F102" s="206"/>
      <c r="G102" s="206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09" t="s">
        <v>7</v>
      </c>
      <c r="B104" s="209"/>
      <c r="C104" s="209"/>
      <c r="D104" s="209"/>
      <c r="E104" s="209"/>
      <c r="F104" s="209"/>
      <c r="G104" s="209"/>
      <c r="H104" s="209"/>
      <c r="I104" s="209"/>
    </row>
    <row r="105" spans="1:9" ht="15.75">
      <c r="A105" s="209" t="s">
        <v>8</v>
      </c>
      <c r="B105" s="209"/>
      <c r="C105" s="209"/>
      <c r="D105" s="209"/>
      <c r="E105" s="209"/>
      <c r="F105" s="209"/>
      <c r="G105" s="209"/>
      <c r="H105" s="209"/>
      <c r="I105" s="209"/>
    </row>
    <row r="106" spans="1:9" ht="15.75">
      <c r="A106" s="203" t="s">
        <v>59</v>
      </c>
      <c r="B106" s="203"/>
      <c r="C106" s="203"/>
      <c r="D106" s="203"/>
      <c r="E106" s="203"/>
      <c r="F106" s="203"/>
      <c r="G106" s="203"/>
      <c r="H106" s="203"/>
      <c r="I106" s="203"/>
    </row>
    <row r="107" spans="1:9" ht="15.75">
      <c r="A107" s="11"/>
    </row>
    <row r="108" spans="1:9" ht="15.75">
      <c r="A108" s="204" t="s">
        <v>9</v>
      </c>
      <c r="B108" s="204"/>
      <c r="C108" s="204"/>
      <c r="D108" s="204"/>
      <c r="E108" s="204"/>
      <c r="F108" s="204"/>
      <c r="G108" s="204"/>
      <c r="H108" s="204"/>
      <c r="I108" s="204"/>
    </row>
    <row r="109" spans="1:9" ht="15.75">
      <c r="A109" s="4"/>
    </row>
    <row r="110" spans="1:9" ht="15.75">
      <c r="B110" s="72" t="s">
        <v>10</v>
      </c>
      <c r="C110" s="205" t="s">
        <v>84</v>
      </c>
      <c r="D110" s="205"/>
      <c r="E110" s="205"/>
      <c r="F110" s="78"/>
      <c r="I110" s="73"/>
    </row>
    <row r="111" spans="1:9">
      <c r="A111" s="74"/>
      <c r="C111" s="206" t="s">
        <v>11</v>
      </c>
      <c r="D111" s="206"/>
      <c r="E111" s="206"/>
      <c r="F111" s="24"/>
      <c r="I111" s="71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72" t="s">
        <v>13</v>
      </c>
      <c r="C113" s="200"/>
      <c r="D113" s="200"/>
      <c r="E113" s="200"/>
      <c r="F113" s="79"/>
      <c r="I113" s="73"/>
    </row>
    <row r="114" spans="1:9">
      <c r="A114" s="74"/>
      <c r="C114" s="201" t="s">
        <v>11</v>
      </c>
      <c r="D114" s="201"/>
      <c r="E114" s="201"/>
      <c r="F114" s="74"/>
      <c r="I114" s="71" t="s">
        <v>12</v>
      </c>
    </row>
    <row r="115" spans="1:9" ht="15.75">
      <c r="A115" s="4" t="s">
        <v>14</v>
      </c>
    </row>
    <row r="116" spans="1:9">
      <c r="A116" s="202" t="s">
        <v>15</v>
      </c>
      <c r="B116" s="202"/>
      <c r="C116" s="202"/>
      <c r="D116" s="202"/>
      <c r="E116" s="202"/>
      <c r="F116" s="202"/>
      <c r="G116" s="202"/>
      <c r="H116" s="202"/>
      <c r="I116" s="202"/>
    </row>
    <row r="117" spans="1:9" ht="45" customHeight="1">
      <c r="A117" s="199" t="s">
        <v>16</v>
      </c>
      <c r="B117" s="199"/>
      <c r="C117" s="199"/>
      <c r="D117" s="199"/>
      <c r="E117" s="199"/>
      <c r="F117" s="199"/>
      <c r="G117" s="199"/>
      <c r="H117" s="199"/>
      <c r="I117" s="199"/>
    </row>
    <row r="118" spans="1:9" ht="30" customHeight="1">
      <c r="A118" s="199" t="s">
        <v>17</v>
      </c>
      <c r="B118" s="199"/>
      <c r="C118" s="199"/>
      <c r="D118" s="199"/>
      <c r="E118" s="199"/>
      <c r="F118" s="199"/>
      <c r="G118" s="199"/>
      <c r="H118" s="199"/>
      <c r="I118" s="199"/>
    </row>
    <row r="119" spans="1:9" ht="30" customHeight="1">
      <c r="A119" s="199" t="s">
        <v>21</v>
      </c>
      <c r="B119" s="199"/>
      <c r="C119" s="199"/>
      <c r="D119" s="199"/>
      <c r="E119" s="199"/>
      <c r="F119" s="199"/>
      <c r="G119" s="199"/>
      <c r="H119" s="199"/>
      <c r="I119" s="199"/>
    </row>
    <row r="120" spans="1:9" ht="15" customHeight="1">
      <c r="A120" s="199" t="s">
        <v>20</v>
      </c>
      <c r="B120" s="199"/>
      <c r="C120" s="199"/>
      <c r="D120" s="199"/>
      <c r="E120" s="199"/>
      <c r="F120" s="199"/>
      <c r="G120" s="199"/>
      <c r="H120" s="199"/>
      <c r="I120" s="199"/>
    </row>
  </sheetData>
  <autoFilter ref="I12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69:U69"/>
    <mergeCell ref="C114:E114"/>
    <mergeCell ref="A88:I88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4:I84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02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2021-02-16T06:37:40Z</cp:lastPrinted>
  <dcterms:created xsi:type="dcterms:W3CDTF">2016-03-25T08:33:47Z</dcterms:created>
  <dcterms:modified xsi:type="dcterms:W3CDTF">2021-02-16T06:38:26Z</dcterms:modified>
</cp:coreProperties>
</file>