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3" sheetId="1" r:id="rId1"/>
  </sheets>
  <definedNames>
    <definedName name="_xlnm.Print_Area" localSheetId="0">'Косм.,3'!$A$1:$U$135</definedName>
  </definedNames>
  <calcPr calcId="124519"/>
</workbook>
</file>

<file path=xl/calcChain.xml><?xml version="1.0" encoding="utf-8"?>
<calcChain xmlns="http://schemas.openxmlformats.org/spreadsheetml/2006/main">
  <c r="L38" i="1"/>
  <c r="K38"/>
  <c r="U123"/>
  <c r="H123"/>
  <c r="F122"/>
  <c r="T122" s="1"/>
  <c r="U122" s="1"/>
  <c r="F107"/>
  <c r="H107" s="1"/>
  <c r="N107"/>
  <c r="U107" s="1"/>
  <c r="Q114"/>
  <c r="H114"/>
  <c r="G121"/>
  <c r="C133"/>
  <c r="C130"/>
  <c r="R118"/>
  <c r="U118" s="1"/>
  <c r="H118"/>
  <c r="H122" l="1"/>
  <c r="S72"/>
  <c r="T121"/>
  <c r="U121"/>
  <c r="H121"/>
  <c r="S60" l="1"/>
  <c r="S119"/>
  <c r="U119" s="1"/>
  <c r="J119"/>
  <c r="H119"/>
  <c r="S120"/>
  <c r="U120" s="1"/>
  <c r="J120"/>
  <c r="H120"/>
  <c r="F88"/>
  <c r="R88"/>
  <c r="R117"/>
  <c r="U117" s="1"/>
  <c r="H117"/>
  <c r="U114"/>
  <c r="U57"/>
  <c r="U61"/>
  <c r="U70"/>
  <c r="U71"/>
  <c r="U72"/>
  <c r="U73"/>
  <c r="U75"/>
  <c r="U35"/>
  <c r="U28"/>
  <c r="U29"/>
  <c r="Q116"/>
  <c r="U116" s="1"/>
  <c r="H116"/>
  <c r="M105" l="1"/>
  <c r="U105" s="1"/>
  <c r="H105"/>
  <c r="Q115" l="1"/>
  <c r="U115" s="1"/>
  <c r="H115"/>
  <c r="Q113"/>
  <c r="U113" s="1"/>
  <c r="J113"/>
  <c r="H113"/>
  <c r="Q60"/>
  <c r="Q108"/>
  <c r="Q112"/>
  <c r="U112" s="1"/>
  <c r="H112"/>
  <c r="P106" l="1"/>
  <c r="P111"/>
  <c r="U111" s="1"/>
  <c r="H111"/>
  <c r="P92"/>
  <c r="P110"/>
  <c r="U110" s="1"/>
  <c r="H110"/>
  <c r="P109"/>
  <c r="U109" s="1"/>
  <c r="H109"/>
  <c r="N106"/>
  <c r="U106" s="1"/>
  <c r="H106"/>
  <c r="O108"/>
  <c r="U108" s="1"/>
  <c r="H108"/>
  <c r="N88" l="1"/>
  <c r="K55" l="1"/>
  <c r="U55" s="1"/>
  <c r="M104"/>
  <c r="U104" s="1"/>
  <c r="H104"/>
  <c r="K92" l="1"/>
  <c r="U92" s="1"/>
  <c r="M88"/>
  <c r="M98"/>
  <c r="U98" s="1"/>
  <c r="M95"/>
  <c r="U95" s="1"/>
  <c r="M103"/>
  <c r="U103" s="1"/>
  <c r="H103"/>
  <c r="M102" l="1"/>
  <c r="U102" s="1"/>
  <c r="H102"/>
  <c r="M101"/>
  <c r="U101" s="1"/>
  <c r="H101"/>
  <c r="M100"/>
  <c r="U100" s="1"/>
  <c r="H100"/>
  <c r="M99"/>
  <c r="U99" s="1"/>
  <c r="H99"/>
  <c r="H98"/>
  <c r="M97"/>
  <c r="U97" s="1"/>
  <c r="H97"/>
  <c r="M96"/>
  <c r="U96" s="1"/>
  <c r="C132" s="1"/>
  <c r="H96"/>
  <c r="H95"/>
  <c r="M94"/>
  <c r="U94" s="1"/>
  <c r="H94"/>
  <c r="H93"/>
  <c r="M93"/>
  <c r="U93" s="1"/>
  <c r="L60" l="1"/>
  <c r="U60" s="1"/>
  <c r="K91" l="1"/>
  <c r="U91" s="1"/>
  <c r="H91"/>
  <c r="K90" l="1"/>
  <c r="U90" s="1"/>
  <c r="H90"/>
  <c r="K89"/>
  <c r="U89" s="1"/>
  <c r="H89"/>
  <c r="K88" l="1"/>
  <c r="U88" s="1"/>
  <c r="K87"/>
  <c r="U87" s="1"/>
  <c r="H87"/>
  <c r="F72"/>
  <c r="F71"/>
  <c r="F73"/>
  <c r="F70"/>
  <c r="F68" l="1"/>
  <c r="S68" l="1"/>
  <c r="Q68"/>
  <c r="T68"/>
  <c r="R68"/>
  <c r="P68"/>
  <c r="N68"/>
  <c r="L68"/>
  <c r="M68"/>
  <c r="O68"/>
  <c r="K68"/>
  <c r="U68" s="1"/>
  <c r="H68"/>
  <c r="F66"/>
  <c r="F67"/>
  <c r="F65"/>
  <c r="E66"/>
  <c r="F61"/>
  <c r="F60"/>
  <c r="H55"/>
  <c r="F58"/>
  <c r="F57"/>
  <c r="H57" s="1"/>
  <c r="E47"/>
  <c r="F38"/>
  <c r="F37"/>
  <c r="F16"/>
  <c r="Q16" s="1"/>
  <c r="F15"/>
  <c r="Q15" s="1"/>
  <c r="E26"/>
  <c r="O58" l="1"/>
  <c r="T58"/>
  <c r="R58"/>
  <c r="P58"/>
  <c r="S58"/>
  <c r="Q58"/>
  <c r="H58"/>
  <c r="L58"/>
  <c r="N58"/>
  <c r="K58"/>
  <c r="M58"/>
  <c r="J92"/>
  <c r="J88"/>
  <c r="H88"/>
  <c r="K77"/>
  <c r="U77" s="1"/>
  <c r="U58" l="1"/>
  <c r="I72"/>
  <c r="H92" l="1"/>
  <c r="Q51" l="1"/>
  <c r="Q50"/>
  <c r="F50" l="1"/>
  <c r="H50" s="1"/>
  <c r="T39"/>
  <c r="S39"/>
  <c r="T33"/>
  <c r="S33"/>
  <c r="Q67"/>
  <c r="U67" s="1"/>
  <c r="M51"/>
  <c r="U51" s="1"/>
  <c r="M50"/>
  <c r="U50" s="1"/>
  <c r="I51"/>
  <c r="I50"/>
  <c r="Q49"/>
  <c r="F26"/>
  <c r="L39"/>
  <c r="L33"/>
  <c r="K39"/>
  <c r="U39" s="1"/>
  <c r="K33"/>
  <c r="U33" s="1"/>
  <c r="H77"/>
  <c r="K49"/>
  <c r="U49" s="1"/>
  <c r="J39"/>
  <c r="J33"/>
  <c r="F51"/>
  <c r="I39"/>
  <c r="I33"/>
  <c r="H70"/>
  <c r="R26" l="1"/>
  <c r="H26"/>
  <c r="N26"/>
  <c r="O26"/>
  <c r="Q26"/>
  <c r="M26"/>
  <c r="P26"/>
  <c r="F45"/>
  <c r="U26" l="1"/>
  <c r="M45"/>
  <c r="H45"/>
  <c r="Q45"/>
  <c r="F19"/>
  <c r="M19" s="1"/>
  <c r="U19" s="1"/>
  <c r="M16"/>
  <c r="U16" s="1"/>
  <c r="M15"/>
  <c r="U15" s="1"/>
  <c r="U45" l="1"/>
  <c r="H19"/>
  <c r="F34"/>
  <c r="I34" l="1"/>
  <c r="T34"/>
  <c r="J34"/>
  <c r="S34"/>
  <c r="L34"/>
  <c r="K34"/>
  <c r="U34" s="1"/>
  <c r="I37"/>
  <c r="T37"/>
  <c r="J37"/>
  <c r="S37"/>
  <c r="L37"/>
  <c r="K37"/>
  <c r="U37" s="1"/>
  <c r="H35" l="1"/>
  <c r="H34" l="1"/>
  <c r="H73"/>
  <c r="H71" l="1"/>
  <c r="F14" l="1"/>
  <c r="M14" s="1"/>
  <c r="U14" s="1"/>
  <c r="F17"/>
  <c r="M17" s="1"/>
  <c r="U17" s="1"/>
  <c r="F18"/>
  <c r="M18" s="1"/>
  <c r="U18" s="1"/>
  <c r="F126" l="1"/>
  <c r="H125"/>
  <c r="E80"/>
  <c r="H83" s="1"/>
  <c r="F78"/>
  <c r="H75"/>
  <c r="H72"/>
  <c r="H67"/>
  <c r="F64"/>
  <c r="F63"/>
  <c r="F62"/>
  <c r="H61"/>
  <c r="H60"/>
  <c r="F54"/>
  <c r="K54" s="1"/>
  <c r="H51"/>
  <c r="H49"/>
  <c r="F48"/>
  <c r="F47"/>
  <c r="F46"/>
  <c r="J46" s="1"/>
  <c r="F44"/>
  <c r="M44" s="1"/>
  <c r="F43"/>
  <c r="M43" s="1"/>
  <c r="F42"/>
  <c r="M42" s="1"/>
  <c r="H39"/>
  <c r="H37"/>
  <c r="F36"/>
  <c r="H33"/>
  <c r="F30"/>
  <c r="H29"/>
  <c r="H28"/>
  <c r="F27"/>
  <c r="F25"/>
  <c r="F24"/>
  <c r="F23"/>
  <c r="F20"/>
  <c r="M20" s="1"/>
  <c r="U20" s="1"/>
  <c r="H18"/>
  <c r="H17"/>
  <c r="H14"/>
  <c r="E13"/>
  <c r="F13" s="1"/>
  <c r="F12"/>
  <c r="F11"/>
  <c r="I13" l="1"/>
  <c r="T13"/>
  <c r="R13"/>
  <c r="P13"/>
  <c r="N13"/>
  <c r="L13"/>
  <c r="K13"/>
  <c r="S13"/>
  <c r="Q13"/>
  <c r="O13"/>
  <c r="M13"/>
  <c r="J13"/>
  <c r="H20"/>
  <c r="H24"/>
  <c r="Q24"/>
  <c r="O24"/>
  <c r="R24"/>
  <c r="P24"/>
  <c r="N24"/>
  <c r="M24"/>
  <c r="U24" s="1"/>
  <c r="I12"/>
  <c r="T12"/>
  <c r="Q12"/>
  <c r="O12"/>
  <c r="M12"/>
  <c r="J12"/>
  <c r="S12"/>
  <c r="R12"/>
  <c r="P12"/>
  <c r="N12"/>
  <c r="L12"/>
  <c r="K12"/>
  <c r="U12" s="1"/>
  <c r="H23"/>
  <c r="R23"/>
  <c r="P23"/>
  <c r="N23"/>
  <c r="M23"/>
  <c r="Q23"/>
  <c r="O23"/>
  <c r="H25"/>
  <c r="M25"/>
  <c r="U25" s="1"/>
  <c r="I27"/>
  <c r="T27"/>
  <c r="Q27"/>
  <c r="O27"/>
  <c r="J27"/>
  <c r="S27"/>
  <c r="R27"/>
  <c r="P27"/>
  <c r="N27"/>
  <c r="M27"/>
  <c r="L27"/>
  <c r="K27"/>
  <c r="H44"/>
  <c r="Q44"/>
  <c r="U44" s="1"/>
  <c r="H47"/>
  <c r="K47"/>
  <c r="Q47"/>
  <c r="T54"/>
  <c r="S54"/>
  <c r="U54" s="1"/>
  <c r="L54"/>
  <c r="H63"/>
  <c r="M63"/>
  <c r="U63" s="1"/>
  <c r="H65"/>
  <c r="M65"/>
  <c r="U65" s="1"/>
  <c r="I11"/>
  <c r="T11"/>
  <c r="R11"/>
  <c r="P11"/>
  <c r="N11"/>
  <c r="L11"/>
  <c r="K11"/>
  <c r="S11"/>
  <c r="Q11"/>
  <c r="O11"/>
  <c r="M11"/>
  <c r="J11"/>
  <c r="T30"/>
  <c r="R30"/>
  <c r="P30"/>
  <c r="N30"/>
  <c r="M30"/>
  <c r="L30"/>
  <c r="K30"/>
  <c r="S30"/>
  <c r="Q30"/>
  <c r="O30"/>
  <c r="J30"/>
  <c r="T36"/>
  <c r="L36"/>
  <c r="K36"/>
  <c r="S36"/>
  <c r="J36"/>
  <c r="U38"/>
  <c r="J38"/>
  <c r="H42"/>
  <c r="Q42"/>
  <c r="U42" s="1"/>
  <c r="H43"/>
  <c r="Q43"/>
  <c r="U43" s="1"/>
  <c r="I46"/>
  <c r="Q46"/>
  <c r="T46"/>
  <c r="M46"/>
  <c r="U46" s="1"/>
  <c r="H48"/>
  <c r="Q48"/>
  <c r="K48"/>
  <c r="H62"/>
  <c r="M62"/>
  <c r="U62" s="1"/>
  <c r="H64"/>
  <c r="M64"/>
  <c r="U64" s="1"/>
  <c r="H66"/>
  <c r="M66"/>
  <c r="U66" s="1"/>
  <c r="I78"/>
  <c r="T78"/>
  <c r="R78"/>
  <c r="P78"/>
  <c r="N78"/>
  <c r="L78"/>
  <c r="J78"/>
  <c r="S78"/>
  <c r="Q78"/>
  <c r="O78"/>
  <c r="M78"/>
  <c r="K78"/>
  <c r="H54"/>
  <c r="I54" s="1"/>
  <c r="J54" s="1"/>
  <c r="H30"/>
  <c r="I30"/>
  <c r="H36"/>
  <c r="I36"/>
  <c r="H38"/>
  <c r="I38"/>
  <c r="H78"/>
  <c r="H79" s="1"/>
  <c r="H27"/>
  <c r="H46"/>
  <c r="H11"/>
  <c r="H12"/>
  <c r="H16"/>
  <c r="H13"/>
  <c r="H15"/>
  <c r="F80"/>
  <c r="U30" l="1"/>
  <c r="U11"/>
  <c r="H52"/>
  <c r="U78"/>
  <c r="U79" s="1"/>
  <c r="U48"/>
  <c r="U36"/>
  <c r="U47"/>
  <c r="U27"/>
  <c r="U23"/>
  <c r="U13"/>
  <c r="H40"/>
  <c r="H76"/>
  <c r="U76"/>
  <c r="T80"/>
  <c r="T126" s="1"/>
  <c r="Q80"/>
  <c r="O80"/>
  <c r="O126" s="1"/>
  <c r="M80"/>
  <c r="M126" s="1"/>
  <c r="K80"/>
  <c r="I80"/>
  <c r="S80"/>
  <c r="S126" s="1"/>
  <c r="R80"/>
  <c r="P80"/>
  <c r="P126" s="1"/>
  <c r="N80"/>
  <c r="L80"/>
  <c r="L126" s="1"/>
  <c r="J80"/>
  <c r="J126" s="1"/>
  <c r="K126"/>
  <c r="Q126"/>
  <c r="N126"/>
  <c r="R126"/>
  <c r="U31"/>
  <c r="H31"/>
  <c r="U40"/>
  <c r="H80"/>
  <c r="H81" s="1"/>
  <c r="H21"/>
  <c r="U80" l="1"/>
  <c r="U21"/>
  <c r="U52"/>
  <c r="I126"/>
  <c r="H82"/>
  <c r="H84" s="1"/>
  <c r="G126" s="1"/>
  <c r="H126" s="1"/>
  <c r="U81" l="1"/>
  <c r="U82" s="1"/>
  <c r="U126" l="1"/>
  <c r="C131" l="1"/>
  <c r="C135" s="1"/>
</calcChain>
</file>

<file path=xl/sharedStrings.xml><?xml version="1.0" encoding="utf-8"?>
<sst xmlns="http://schemas.openxmlformats.org/spreadsheetml/2006/main" count="373" uniqueCount="260">
  <si>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</si>
  <si>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</si>
  <si>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</si>
  <si>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</si>
  <si>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</si>
  <si>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</si>
  <si>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</si>
  <si>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</si>
  <si>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</si>
  <si>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</si>
  <si>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</si>
  <si>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</si>
  <si>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</si>
  <si>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</si>
  <si>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</si>
  <si>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</si>
  <si>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</si>
  <si>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</si>
  <si>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</si>
  <si>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</si>
  <si>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</si>
  <si>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</si>
  <si>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</si>
  <si>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</si>
  <si>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</si>
  <si>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</si>
  <si>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</si>
  <si>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</si>
  <si>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</si>
  <si>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</si>
  <si>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</si>
  <si>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</si>
  <si>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</si>
  <si>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</si>
  <si>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</si>
  <si>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</si>
  <si>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</si>
  <si>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</si>
  <si>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</si>
  <si>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</si>
  <si>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</si>
  <si>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</si>
  <si>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</si>
  <si>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</si>
  <si>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</si>
  <si>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</si>
  <si>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</si>
  <si>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</si>
  <si>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</si>
  <si>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</si>
  <si>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</si>
  <si>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</si>
  <si>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</si>
  <si>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</si>
  <si>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</si>
  <si>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</si>
  <si>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</si>
  <si>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</si>
  <si>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</si>
  <si>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</si>
  <si>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</si>
  <si>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</si>
  <si>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</si>
  <si>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</si>
  <si>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</si>
  <si>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</si>
  <si>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</si>
  <si>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</si>
  <si>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</si>
  <si>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</si>
  <si>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</si>
  <si>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</si>
  <si>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</si>
  <si>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</si>
  <si>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</si>
  <si>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</si>
  <si>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</si>
  <si>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</si>
  <si>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</si>
  <si>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</si>
  <si>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</si>
  <si>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</si>
  <si>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</si>
  <si>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</si>
  <si>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</si>
  <si>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</si>
  <si>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</si>
  <si>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</si>
  <si>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</si>
  <si>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</si>
  <si>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</si>
  <si>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</si>
  <si>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</si>
  <si>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</si>
  <si>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</si>
  <si>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</si>
  <si>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30 раз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</si>
  <si>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</si>
  <si>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</si>
  <si>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</si>
  <si>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</si>
  <si>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ТЭР 33-030</t>
  </si>
  <si>
    <t>Влажное подметание лестничных клеток 2-4 этажа</t>
  </si>
  <si>
    <t>Мытье лестничных  площадок и маршей 1-4 этаж.</t>
  </si>
  <si>
    <t>Влажная протирка подоконников</t>
  </si>
  <si>
    <t>Осмотр шиферной кровли</t>
  </si>
  <si>
    <t>Осмотр деревянных конструкций стропил</t>
  </si>
  <si>
    <t>100 м3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</si>
  <si>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</si>
  <si>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</si>
  <si>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</si>
  <si>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</si>
  <si>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</si>
  <si>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</si>
  <si>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</si>
  <si>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</si>
  <si>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ноябрь</t>
  </si>
  <si>
    <t>Выполнение    декабрь</t>
  </si>
  <si>
    <t>3 раза в год</t>
  </si>
  <si>
    <t>1 м</t>
  </si>
  <si>
    <t>калькуляция</t>
  </si>
  <si>
    <t>4 этажа, 4 подъезда</t>
  </si>
  <si>
    <t>Стоимость (руб.)</t>
  </si>
  <si>
    <t>договор</t>
  </si>
  <si>
    <t>ТО внутридомового газ.оборудования</t>
  </si>
  <si>
    <t>Выполне  ние       май</t>
  </si>
  <si>
    <t>смета</t>
  </si>
  <si>
    <t>Выполне  ние    октябрь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</si>
  <si>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</si>
  <si>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</si>
  <si>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</si>
  <si>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</si>
  <si>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</si>
  <si>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</si>
  <si>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</si>
  <si>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</si>
  <si>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</si>
  <si>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</si>
  <si>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</si>
  <si>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</si>
  <si>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</si>
  <si>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</si>
  <si>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</si>
  <si>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</si>
  <si>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</si>
  <si>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</si>
  <si>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</si>
  <si>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</si>
  <si>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</si>
  <si>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</si>
  <si>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</si>
  <si>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</si>
  <si>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</si>
  <si>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</si>
  <si>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</si>
  <si>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</si>
  <si>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</si>
  <si>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</si>
  <si>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</si>
  <si>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</si>
  <si>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</si>
  <si>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</si>
  <si>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</si>
  <si>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</si>
  <si>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</si>
  <si>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</si>
  <si>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</si>
  <si>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</si>
  <si>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</si>
  <si>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</si>
  <si>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</si>
  <si>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</si>
  <si>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</si>
  <si>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</si>
  <si>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пр.ТЕР 33-024</t>
  </si>
  <si>
    <t>Смена трубопроводов на полипропиленовые трубы PN25 диаметром 20мм</t>
  </si>
  <si>
    <t>пр.ТЕР 32-101</t>
  </si>
  <si>
    <t>Баланс выполненных работ на 01.01.2017 г. ( -долг за предприятием, +долг за населением)</t>
  </si>
  <si>
    <t>1 мЗ</t>
  </si>
  <si>
    <t>Прочистка XВC, канализации</t>
  </si>
  <si>
    <t>пр.ТЕР 31-009</t>
  </si>
  <si>
    <t>156 раз в год</t>
  </si>
  <si>
    <t>104 раза в год</t>
  </si>
  <si>
    <t xml:space="preserve">24 раза в год </t>
  </si>
  <si>
    <t>52 раза в сезон</t>
  </si>
  <si>
    <t>78 раз за сезон</t>
  </si>
  <si>
    <t>Сдвигание снега в дни снегопада</t>
  </si>
  <si>
    <t>35 раз за сезон</t>
  </si>
  <si>
    <t>20 раз за сезон</t>
  </si>
  <si>
    <t>Работа автовышки</t>
  </si>
  <si>
    <t>маш/час</t>
  </si>
  <si>
    <t>Дератизация</t>
  </si>
  <si>
    <t>м2</t>
  </si>
  <si>
    <t>12 раз в год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</si>
  <si>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</si>
  <si>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</si>
  <si>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</si>
  <si>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</si>
  <si>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ТЕР 33-025</t>
  </si>
  <si>
    <t>Ремонт и регулировка доводчика (со стоимостью доводчика)</t>
  </si>
  <si>
    <t>1шт.</t>
  </si>
  <si>
    <t>Устройство подстилающих слоев щебеночных</t>
  </si>
  <si>
    <t>пр.ТЕР 11-01-002-4</t>
  </si>
  <si>
    <t xml:space="preserve">Работа гона </t>
  </si>
  <si>
    <t>1 шт</t>
  </si>
  <si>
    <t>пр.ТЕР 32-028</t>
  </si>
  <si>
    <t>Смена вентилей диаметром до 32 мм (без учёта материала)</t>
  </si>
  <si>
    <t>пр.ТЕР 32-082</t>
  </si>
  <si>
    <r>
      <t>Смена полипропиленовых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</si>
  <si>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t>пр.ТЕР 32-083</t>
  </si>
  <si>
    <r>
      <t>Смена полипропиленовых канализационных труб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</si>
  <si>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t>счёт</t>
  </si>
  <si>
    <t>Патрубок компенсационный ПП Ду 50</t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</si>
  <si>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</si>
  <si>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t>Крестовина 110*110*110*45°</t>
  </si>
  <si>
    <t>Крестовина 110*110*110*90°</t>
  </si>
  <si>
    <t>Тройник Ду-110*90°</t>
  </si>
  <si>
    <t>Переход чугун-пластик Ду 110 с манжетой</t>
  </si>
  <si>
    <t>Патрубок компенсационный ПП Ду 110</t>
  </si>
  <si>
    <t>Отвод 110*45°</t>
  </si>
  <si>
    <t>пр.ТЕР 2-2-1-2-17</t>
  </si>
  <si>
    <t xml:space="preserve">Герметизация стыков трубопроводов    </t>
  </si>
  <si>
    <t>1 место</t>
  </si>
  <si>
    <t>ТЕР 33-060</t>
  </si>
  <si>
    <t>Подключение и отключение сварочного аппарата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</si>
  <si>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</si>
  <si>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</si>
  <si>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</si>
  <si>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</si>
  <si>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ТЕР 32-027</t>
  </si>
  <si>
    <t>Смена арматуры - вентилей и клапанов обратных муфтовых диаметром до 20 мм</t>
  </si>
  <si>
    <t>Внеплановый осмотр электросетей, армазуры и электрооборудования на лестничных клетках</t>
  </si>
  <si>
    <t>100шт</t>
  </si>
  <si>
    <t>Внеплановый осмотр вводных электрических щитков</t>
  </si>
  <si>
    <t>Ремонт силового предохранительного шкафа (без стоимости материалов)</t>
  </si>
  <si>
    <t>ТЕР 33-032</t>
  </si>
  <si>
    <t>Смена отдельных участков наружной проводки</t>
  </si>
  <si>
    <t>м</t>
  </si>
  <si>
    <t>ТЕР 33-034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</si>
  <si>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</si>
  <si>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</si>
  <si>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</si>
  <si>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трубопроводов на полипропиленовые трубы PN25 диаметром 25мм</t>
  </si>
  <si>
    <t>ТЕР 2-1-1б</t>
  </si>
  <si>
    <t>Вскрытие и восстановление "шахты" для работ ВДИС (II под.)</t>
  </si>
  <si>
    <t>тыс.руб.</t>
  </si>
  <si>
    <t>ТО и ремонт ВКГО (кв.36)</t>
  </si>
  <si>
    <t>Устройство байпаса</t>
  </si>
  <si>
    <t>Смена трубопроводов на полипропиленовые трубы PN25 диаметром 32мм</t>
  </si>
  <si>
    <t>Смена санитарных приборов - счётчика</t>
  </si>
  <si>
    <t>пр.ТЕР 32-056</t>
  </si>
  <si>
    <t>ТЕР 2-1-1а</t>
  </si>
  <si>
    <t>Внеплановая проверка дымоходов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</si>
  <si>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</si>
  <si>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</si>
  <si>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33-034</t>
  </si>
  <si>
    <t>Монтаж защитных коробов на силовой кабель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</si>
  <si>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март-декабрь 2017 года</t>
    </r>
  </si>
  <si>
    <t>Сверхнормативы по ОДП за 1 полугодие</t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</si>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</sst>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0" xfId="0" applyFont="1" applyBorder="1"/>
    <xf numFmtId="0" fontId="1" fillId="5" borderId="20" xfId="0" applyFont="1" applyFill="1" applyBorder="1"/>
    <xf numFmtId="0" fontId="1" fillId="4" borderId="21" xfId="0" applyFont="1" applyFill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39"/>
  <sheetViews>
    <sheetView tabSelected="1" view="pageBreakPreview" zoomScaleNormal="75" zoomScaleSheetLayoutView="100" workbookViewId="0">
      <pane ySplit="7" topLeftCell="A131" activePane="bottomLeft" state="frozen"/>
      <selection activeCell="B1" sqref="B1"/>
      <selection pane="bottomLeft" activeCell="B136" sqref="B13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.140625" customWidth="1"/>
    <col min="5" max="8" width="10.140625" customWidth="1"/>
    <col min="9" max="10" width="9.85546875" hidden="1" customWidth="1"/>
    <col min="11" max="20" width="9.85546875" customWidth="1"/>
    <col min="21" max="21" width="12.28515625" customWidth="1"/>
  </cols>
  <sheetData>
    <row r="1" spans="1:21" ht="14.25" customHeight="1">
      <c r="A1" s="143"/>
    </row>
    <row r="3" spans="1:21" ht="18">
      <c r="A3" s="119"/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65"/>
      <c r="N3" s="65"/>
      <c r="O3" s="65"/>
      <c r="P3" s="65"/>
      <c r="Q3" s="65"/>
      <c r="R3" s="65"/>
      <c r="S3" s="65"/>
      <c r="T3" s="65"/>
      <c r="U3" s="65"/>
    </row>
    <row r="4" spans="1:21" ht="35.25" customHeight="1">
      <c r="A4" s="65"/>
      <c r="B4" s="173" t="s">
        <v>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65"/>
      <c r="N4" s="65"/>
      <c r="O4" s="65"/>
      <c r="P4" s="65"/>
      <c r="Q4" s="65"/>
      <c r="R4" s="65"/>
      <c r="S4" s="65"/>
      <c r="T4" s="65"/>
      <c r="U4" s="65"/>
    </row>
    <row r="5" spans="1:21" ht="18">
      <c r="A5" s="65"/>
      <c r="B5" s="173" t="s">
        <v>257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65"/>
      <c r="N5" s="65"/>
      <c r="O5" s="65"/>
      <c r="P5" s="65"/>
      <c r="Q5" s="65"/>
      <c r="R5" s="65"/>
      <c r="S5" s="65"/>
      <c r="T5" s="65"/>
      <c r="U5" s="65"/>
    </row>
    <row r="6" spans="1:21" ht="14.25">
      <c r="A6" s="65"/>
      <c r="B6" s="174" t="s">
        <v>121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65"/>
      <c r="N6" s="65"/>
      <c r="O6" s="65"/>
      <c r="P6" s="65"/>
      <c r="Q6" s="65"/>
      <c r="R6" s="65"/>
      <c r="S6" s="65"/>
      <c r="T6" s="65"/>
      <c r="U6" s="65"/>
    </row>
    <row r="7" spans="1:21" ht="54.75" customHeight="1">
      <c r="A7" s="132" t="s">
        <v>2</v>
      </c>
      <c r="B7" s="133" t="s">
        <v>3</v>
      </c>
      <c r="C7" s="133" t="s">
        <v>4</v>
      </c>
      <c r="D7" s="133" t="s">
        <v>5</v>
      </c>
      <c r="E7" s="133" t="s">
        <v>6</v>
      </c>
      <c r="F7" s="133" t="s">
        <v>7</v>
      </c>
      <c r="G7" s="133" t="s">
        <v>8</v>
      </c>
      <c r="H7" s="134" t="s">
        <v>9</v>
      </c>
      <c r="I7" s="25" t="s">
        <v>108</v>
      </c>
      <c r="J7" s="25" t="s">
        <v>109</v>
      </c>
      <c r="K7" s="25" t="s">
        <v>110</v>
      </c>
      <c r="L7" s="25" t="s">
        <v>111</v>
      </c>
      <c r="M7" s="25" t="s">
        <v>125</v>
      </c>
      <c r="N7" s="25" t="s">
        <v>112</v>
      </c>
      <c r="O7" s="25" t="s">
        <v>113</v>
      </c>
      <c r="P7" s="25" t="s">
        <v>114</v>
      </c>
      <c r="Q7" s="25" t="s">
        <v>115</v>
      </c>
      <c r="R7" s="25" t="s">
        <v>127</v>
      </c>
      <c r="S7" s="25" t="s">
        <v>116</v>
      </c>
      <c r="T7" s="25" t="s">
        <v>117</v>
      </c>
      <c r="U7" s="25" t="s">
        <v>122</v>
      </c>
    </row>
    <row r="8" spans="1:21">
      <c r="A8" s="135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120">
        <v>8</v>
      </c>
      <c r="I8" s="121">
        <v>9</v>
      </c>
      <c r="J8" s="121">
        <v>10</v>
      </c>
      <c r="K8" s="121">
        <v>9</v>
      </c>
      <c r="L8" s="121">
        <v>10</v>
      </c>
      <c r="M8" s="121">
        <v>11</v>
      </c>
      <c r="N8" s="121">
        <v>12</v>
      </c>
      <c r="O8" s="121">
        <v>13</v>
      </c>
      <c r="P8" s="121">
        <v>14</v>
      </c>
      <c r="Q8" s="121">
        <v>15</v>
      </c>
      <c r="R8" s="121">
        <v>16</v>
      </c>
      <c r="S8" s="121">
        <v>17</v>
      </c>
      <c r="T8" s="121">
        <v>18</v>
      </c>
      <c r="U8" s="121">
        <v>19</v>
      </c>
    </row>
    <row r="9" spans="1:21" ht="38.25">
      <c r="A9" s="135"/>
      <c r="B9" s="9" t="s">
        <v>10</v>
      </c>
      <c r="C9" s="26"/>
      <c r="D9" s="10"/>
      <c r="E9" s="10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35"/>
      <c r="B10" s="9" t="s">
        <v>11</v>
      </c>
      <c r="C10" s="26"/>
      <c r="D10" s="10"/>
      <c r="E10" s="10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12.75" customHeight="1">
      <c r="A11" s="135" t="s">
        <v>137</v>
      </c>
      <c r="B11" s="10" t="s">
        <v>12</v>
      </c>
      <c r="C11" s="26" t="s">
        <v>13</v>
      </c>
      <c r="D11" s="10" t="s">
        <v>181</v>
      </c>
      <c r="E11" s="31">
        <v>66.2</v>
      </c>
      <c r="F11" s="32">
        <f>SUM(E11*156/100)</f>
        <v>103.27200000000001</v>
      </c>
      <c r="G11" s="32">
        <v>230</v>
      </c>
      <c r="H11" s="33">
        <f t="shared" ref="H11:H20" si="0">SUM(F11*G11/1000)</f>
        <v>23.752560000000003</v>
      </c>
      <c r="I11" s="34">
        <f>F11/12*G11</f>
        <v>1979.3799999999999</v>
      </c>
      <c r="J11" s="34">
        <f>F11/12*G11</f>
        <v>1979.3799999999999</v>
      </c>
      <c r="K11" s="34">
        <f>F11/12*G11</f>
        <v>1979.3799999999999</v>
      </c>
      <c r="L11" s="34">
        <f>F11/12*G11</f>
        <v>1979.3799999999999</v>
      </c>
      <c r="M11" s="34">
        <f>F11/12*G11</f>
        <v>1979.3799999999999</v>
      </c>
      <c r="N11" s="34">
        <f>F11/12*G11</f>
        <v>1979.3799999999999</v>
      </c>
      <c r="O11" s="34">
        <f>F11/12*G11</f>
        <v>1979.3799999999999</v>
      </c>
      <c r="P11" s="34">
        <f>F11/12*G11</f>
        <v>1979.3799999999999</v>
      </c>
      <c r="Q11" s="34">
        <f>F11/12*G11</f>
        <v>1979.3799999999999</v>
      </c>
      <c r="R11" s="34">
        <f>F11/12*G11</f>
        <v>1979.3799999999999</v>
      </c>
      <c r="S11" s="34">
        <f>F11/12*G11</f>
        <v>1979.3799999999999</v>
      </c>
      <c r="T11" s="34">
        <f>F11/12*G11</f>
        <v>1979.3799999999999</v>
      </c>
      <c r="U11" s="34">
        <f>SUM(K11:T11)</f>
        <v>19793.8</v>
      </c>
    </row>
    <row r="12" spans="1:21" ht="25.5">
      <c r="A12" s="135" t="s">
        <v>137</v>
      </c>
      <c r="B12" s="10" t="s">
        <v>102</v>
      </c>
      <c r="C12" s="26" t="s">
        <v>13</v>
      </c>
      <c r="D12" s="10" t="s">
        <v>182</v>
      </c>
      <c r="E12" s="31">
        <v>198.7</v>
      </c>
      <c r="F12" s="32">
        <f>SUM(E12*104/100)</f>
        <v>206.648</v>
      </c>
      <c r="G12" s="32">
        <v>230</v>
      </c>
      <c r="H12" s="33">
        <f t="shared" si="0"/>
        <v>47.529040000000002</v>
      </c>
      <c r="I12" s="34">
        <f>F12/12*G12</f>
        <v>3960.7533333333331</v>
      </c>
      <c r="J12" s="34">
        <f>F12/12*G12</f>
        <v>3960.7533333333331</v>
      </c>
      <c r="K12" s="34">
        <f>F12/12*G12</f>
        <v>3960.7533333333331</v>
      </c>
      <c r="L12" s="34">
        <f>F12/12*G12</f>
        <v>3960.7533333333331</v>
      </c>
      <c r="M12" s="34">
        <f>F12/12*G12</f>
        <v>3960.7533333333331</v>
      </c>
      <c r="N12" s="34">
        <f>F12/12*G12</f>
        <v>3960.7533333333331</v>
      </c>
      <c r="O12" s="34">
        <f>F12/12*G12</f>
        <v>3960.7533333333331</v>
      </c>
      <c r="P12" s="34">
        <f>F12/12*G12</f>
        <v>3960.7533333333331</v>
      </c>
      <c r="Q12" s="34">
        <f>F12/12*G12</f>
        <v>3960.7533333333331</v>
      </c>
      <c r="R12" s="34">
        <f>F12/12*G12</f>
        <v>3960.7533333333331</v>
      </c>
      <c r="S12" s="34">
        <f>F12/12*G12</f>
        <v>3960.7533333333331</v>
      </c>
      <c r="T12" s="34">
        <f>F12/12*G12</f>
        <v>3960.7533333333331</v>
      </c>
      <c r="U12" s="34">
        <f t="shared" ref="U12:U20" si="1">SUM(K12:T12)</f>
        <v>39607.533333333333</v>
      </c>
    </row>
    <row r="13" spans="1:21" ht="25.5">
      <c r="A13" s="135" t="s">
        <v>138</v>
      </c>
      <c r="B13" s="10" t="s">
        <v>103</v>
      </c>
      <c r="C13" s="26" t="s">
        <v>13</v>
      </c>
      <c r="D13" s="10" t="s">
        <v>183</v>
      </c>
      <c r="E13" s="31">
        <f>SUM(E11+E12)</f>
        <v>264.89999999999998</v>
      </c>
      <c r="F13" s="32">
        <f>SUM(E13*24/100)</f>
        <v>63.575999999999993</v>
      </c>
      <c r="G13" s="32">
        <v>661.67</v>
      </c>
      <c r="H13" s="33">
        <f t="shared" si="0"/>
        <v>42.066331919999989</v>
      </c>
      <c r="I13" s="34">
        <f>F13/12*G13</f>
        <v>3505.5276599999993</v>
      </c>
      <c r="J13" s="34">
        <f>F13/12*G13</f>
        <v>3505.5276599999993</v>
      </c>
      <c r="K13" s="34">
        <f>F13/12*G13</f>
        <v>3505.5276599999993</v>
      </c>
      <c r="L13" s="34">
        <f>F13/12*G13</f>
        <v>3505.5276599999993</v>
      </c>
      <c r="M13" s="34">
        <f>F13/12*G13</f>
        <v>3505.5276599999993</v>
      </c>
      <c r="N13" s="34">
        <f>F13/12*G13</f>
        <v>3505.5276599999993</v>
      </c>
      <c r="O13" s="34">
        <f>F13/12*G13</f>
        <v>3505.5276599999993</v>
      </c>
      <c r="P13" s="34">
        <f>F13/12*G13</f>
        <v>3505.5276599999993</v>
      </c>
      <c r="Q13" s="34">
        <f>F13/12*G13</f>
        <v>3505.5276599999993</v>
      </c>
      <c r="R13" s="34">
        <f>F13/12*G13</f>
        <v>3505.5276599999993</v>
      </c>
      <c r="S13" s="34">
        <f>F13/12*G13</f>
        <v>3505.5276599999993</v>
      </c>
      <c r="T13" s="34">
        <f>F13/12*G13</f>
        <v>3505.5276599999993</v>
      </c>
      <c r="U13" s="34">
        <f t="shared" si="1"/>
        <v>35055.27659999999</v>
      </c>
    </row>
    <row r="14" spans="1:21">
      <c r="A14" s="135" t="s">
        <v>139</v>
      </c>
      <c r="B14" s="10" t="s">
        <v>14</v>
      </c>
      <c r="C14" s="26" t="s">
        <v>15</v>
      </c>
      <c r="D14" s="130" t="s">
        <v>90</v>
      </c>
      <c r="E14" s="31">
        <v>40</v>
      </c>
      <c r="F14" s="32">
        <f>SUM(E14/10)</f>
        <v>4</v>
      </c>
      <c r="G14" s="32">
        <v>223.17</v>
      </c>
      <c r="H14" s="33">
        <f t="shared" si="0"/>
        <v>0.89267999999999992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446.34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446.34</v>
      </c>
    </row>
    <row r="15" spans="1:21">
      <c r="A15" s="135" t="s">
        <v>140</v>
      </c>
      <c r="B15" s="10" t="s">
        <v>16</v>
      </c>
      <c r="C15" s="26" t="s">
        <v>13</v>
      </c>
      <c r="D15" s="130" t="s">
        <v>44</v>
      </c>
      <c r="E15" s="31">
        <v>10.5</v>
      </c>
      <c r="F15" s="32">
        <f>SUM(E15*2/100)</f>
        <v>0.21</v>
      </c>
      <c r="G15" s="32">
        <v>285.76</v>
      </c>
      <c r="H15" s="33">
        <f t="shared" si="0"/>
        <v>6.0009599999999996E-2</v>
      </c>
      <c r="I15" s="34">
        <v>0</v>
      </c>
      <c r="J15" s="34">
        <v>0</v>
      </c>
      <c r="K15" s="34">
        <v>0</v>
      </c>
      <c r="L15" s="34">
        <v>0</v>
      </c>
      <c r="M15" s="34">
        <f>G15/2*F15</f>
        <v>30.004799999999999</v>
      </c>
      <c r="N15" s="34">
        <v>0</v>
      </c>
      <c r="O15" s="34">
        <v>0</v>
      </c>
      <c r="P15" s="34">
        <v>0</v>
      </c>
      <c r="Q15" s="34">
        <f>F15/2*G15</f>
        <v>30.004799999999999</v>
      </c>
      <c r="R15" s="34">
        <v>0</v>
      </c>
      <c r="S15" s="34">
        <v>0</v>
      </c>
      <c r="T15" s="34">
        <v>0</v>
      </c>
      <c r="U15" s="34">
        <f t="shared" si="1"/>
        <v>60.009599999999999</v>
      </c>
    </row>
    <row r="16" spans="1:21">
      <c r="A16" s="135" t="s">
        <v>141</v>
      </c>
      <c r="B16" s="10" t="s">
        <v>17</v>
      </c>
      <c r="C16" s="26" t="s">
        <v>13</v>
      </c>
      <c r="D16" s="130" t="s">
        <v>44</v>
      </c>
      <c r="E16" s="31">
        <v>2.7</v>
      </c>
      <c r="F16" s="32">
        <f>SUM(E16*2/100)</f>
        <v>5.4000000000000006E-2</v>
      </c>
      <c r="G16" s="32">
        <v>283.44</v>
      </c>
      <c r="H16" s="33">
        <f t="shared" si="0"/>
        <v>1.5305760000000002E-2</v>
      </c>
      <c r="I16" s="34">
        <v>0</v>
      </c>
      <c r="J16" s="34">
        <v>0</v>
      </c>
      <c r="K16" s="34">
        <v>0</v>
      </c>
      <c r="L16" s="34">
        <v>0</v>
      </c>
      <c r="M16" s="34">
        <f>G16/2*F16</f>
        <v>7.6528800000000006</v>
      </c>
      <c r="N16" s="34">
        <v>0</v>
      </c>
      <c r="O16" s="34">
        <v>0</v>
      </c>
      <c r="P16" s="34">
        <v>0</v>
      </c>
      <c r="Q16" s="34">
        <f>F16/2*G16</f>
        <v>7.6528800000000006</v>
      </c>
      <c r="R16" s="34">
        <v>0</v>
      </c>
      <c r="S16" s="34">
        <v>0</v>
      </c>
      <c r="T16" s="34">
        <v>0</v>
      </c>
      <c r="U16" s="34">
        <f t="shared" si="1"/>
        <v>15.305760000000001</v>
      </c>
    </row>
    <row r="17" spans="1:21">
      <c r="A17" s="135" t="s">
        <v>142</v>
      </c>
      <c r="B17" s="10" t="s">
        <v>18</v>
      </c>
      <c r="C17" s="26" t="s">
        <v>19</v>
      </c>
      <c r="D17" s="130" t="s">
        <v>90</v>
      </c>
      <c r="E17" s="31">
        <v>357</v>
      </c>
      <c r="F17" s="32">
        <f t="shared" ref="F17:F20" si="2">SUM(E17/100)</f>
        <v>3.57</v>
      </c>
      <c r="G17" s="32">
        <v>353.14</v>
      </c>
      <c r="H17" s="33">
        <f t="shared" si="0"/>
        <v>1.2607097999999999</v>
      </c>
      <c r="I17" s="34">
        <v>0</v>
      </c>
      <c r="J17" s="34">
        <v>0</v>
      </c>
      <c r="K17" s="34">
        <v>0</v>
      </c>
      <c r="L17" s="34">
        <v>0</v>
      </c>
      <c r="M17" s="34">
        <f t="shared" ref="M17:M20" si="3">G17*F17</f>
        <v>1260.7097999999999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1260.7097999999999</v>
      </c>
    </row>
    <row r="18" spans="1:21">
      <c r="A18" s="135" t="s">
        <v>143</v>
      </c>
      <c r="B18" s="10" t="s">
        <v>20</v>
      </c>
      <c r="C18" s="26" t="s">
        <v>19</v>
      </c>
      <c r="D18" s="130" t="s">
        <v>90</v>
      </c>
      <c r="E18" s="36">
        <v>38.64</v>
      </c>
      <c r="F18" s="32">
        <f t="shared" si="2"/>
        <v>0.38640000000000002</v>
      </c>
      <c r="G18" s="32">
        <v>58.08</v>
      </c>
      <c r="H18" s="33">
        <f t="shared" si="0"/>
        <v>2.2442112E-2</v>
      </c>
      <c r="I18" s="34">
        <v>0</v>
      </c>
      <c r="J18" s="34">
        <v>0</v>
      </c>
      <c r="K18" s="34">
        <v>0</v>
      </c>
      <c r="L18" s="34">
        <v>0</v>
      </c>
      <c r="M18" s="34">
        <f t="shared" si="3"/>
        <v>22.442112000000002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22.442112000000002</v>
      </c>
    </row>
    <row r="19" spans="1:21">
      <c r="A19" s="135" t="s">
        <v>144</v>
      </c>
      <c r="B19" s="10" t="s">
        <v>104</v>
      </c>
      <c r="C19" s="26" t="s">
        <v>19</v>
      </c>
      <c r="D19" s="131" t="s">
        <v>90</v>
      </c>
      <c r="E19" s="37">
        <v>15</v>
      </c>
      <c r="F19" s="38">
        <f t="shared" si="2"/>
        <v>0.15</v>
      </c>
      <c r="G19" s="32">
        <v>511.12</v>
      </c>
      <c r="H19" s="33">
        <f t="shared" si="0"/>
        <v>7.6667999999999986E-2</v>
      </c>
      <c r="I19" s="34">
        <v>0</v>
      </c>
      <c r="J19" s="34">
        <v>0</v>
      </c>
      <c r="K19" s="34">
        <v>0</v>
      </c>
      <c r="L19" s="34">
        <v>0</v>
      </c>
      <c r="M19" s="34">
        <f t="shared" si="3"/>
        <v>76.667999999999992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"/>
        <v>76.667999999999992</v>
      </c>
    </row>
    <row r="20" spans="1:21">
      <c r="A20" s="135" t="s">
        <v>145</v>
      </c>
      <c r="B20" s="10" t="s">
        <v>21</v>
      </c>
      <c r="C20" s="26" t="s">
        <v>19</v>
      </c>
      <c r="D20" s="130" t="s">
        <v>90</v>
      </c>
      <c r="E20" s="39">
        <v>6.38</v>
      </c>
      <c r="F20" s="32">
        <f t="shared" si="2"/>
        <v>6.3799999999999996E-2</v>
      </c>
      <c r="G20" s="32">
        <v>683.05</v>
      </c>
      <c r="H20" s="33">
        <f t="shared" si="0"/>
        <v>4.3578589999999993E-2</v>
      </c>
      <c r="I20" s="34">
        <v>0</v>
      </c>
      <c r="J20" s="34">
        <v>0</v>
      </c>
      <c r="K20" s="34">
        <v>0</v>
      </c>
      <c r="L20" s="34">
        <v>0</v>
      </c>
      <c r="M20" s="34">
        <f t="shared" si="3"/>
        <v>43.578589999999991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f t="shared" si="1"/>
        <v>43.578589999999991</v>
      </c>
    </row>
    <row r="21" spans="1:21" s="18" customFormat="1">
      <c r="A21" s="136"/>
      <c r="B21" s="19" t="s">
        <v>22</v>
      </c>
      <c r="C21" s="40"/>
      <c r="D21" s="19"/>
      <c r="E21" s="41"/>
      <c r="F21" s="42"/>
      <c r="G21" s="42"/>
      <c r="H21" s="43">
        <f>SUM(H11:H20)</f>
        <v>115.71932578199997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>
        <f>SUM(U11:U20)</f>
        <v>96381.663795333341</v>
      </c>
    </row>
    <row r="22" spans="1:21">
      <c r="A22" s="135"/>
      <c r="B22" s="11" t="s">
        <v>23</v>
      </c>
      <c r="C22" s="26"/>
      <c r="D22" s="10"/>
      <c r="E22" s="31"/>
      <c r="F22" s="32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12.75" customHeight="1">
      <c r="A23" s="135" t="s">
        <v>146</v>
      </c>
      <c r="B23" s="10" t="s">
        <v>128</v>
      </c>
      <c r="C23" s="26" t="s">
        <v>24</v>
      </c>
      <c r="D23" s="10" t="s">
        <v>184</v>
      </c>
      <c r="E23" s="32">
        <v>152.6</v>
      </c>
      <c r="F23" s="32">
        <f>SUM(E23*52/1000)</f>
        <v>7.9352</v>
      </c>
      <c r="G23" s="32">
        <v>204.44</v>
      </c>
      <c r="H23" s="33">
        <f t="shared" ref="H23:H30" si="4">SUM(F23*G23/1000)</f>
        <v>1.6222722879999998</v>
      </c>
      <c r="I23" s="34">
        <v>0</v>
      </c>
      <c r="J23" s="34">
        <v>0</v>
      </c>
      <c r="K23" s="34">
        <v>0</v>
      </c>
      <c r="L23" s="34">
        <v>0</v>
      </c>
      <c r="M23" s="34">
        <f>F23/6*G23</f>
        <v>270.37871466666667</v>
      </c>
      <c r="N23" s="34">
        <f>F23/6*G23</f>
        <v>270.37871466666667</v>
      </c>
      <c r="O23" s="34">
        <f>F23/6*G23</f>
        <v>270.37871466666667</v>
      </c>
      <c r="P23" s="34">
        <f>F23/6*G23</f>
        <v>270.37871466666667</v>
      </c>
      <c r="Q23" s="34">
        <f>F23/6*G23</f>
        <v>270.37871466666667</v>
      </c>
      <c r="R23" s="34">
        <f>F23/6*G23</f>
        <v>270.37871466666667</v>
      </c>
      <c r="S23" s="34">
        <v>0</v>
      </c>
      <c r="T23" s="34">
        <v>0</v>
      </c>
      <c r="U23" s="34">
        <f t="shared" ref="U23:U30" si="5">SUM(K23:T23)</f>
        <v>1622.2722879999999</v>
      </c>
    </row>
    <row r="24" spans="1:21" ht="38.25" customHeight="1">
      <c r="A24" s="135" t="s">
        <v>147</v>
      </c>
      <c r="B24" s="10" t="s">
        <v>129</v>
      </c>
      <c r="C24" s="26" t="s">
        <v>24</v>
      </c>
      <c r="D24" s="10" t="s">
        <v>185</v>
      </c>
      <c r="E24" s="32">
        <v>58.1</v>
      </c>
      <c r="F24" s="32">
        <f>SUM(E24*78/1000)</f>
        <v>4.5318000000000005</v>
      </c>
      <c r="G24" s="32">
        <v>339.21</v>
      </c>
      <c r="H24" s="33">
        <f t="shared" si="4"/>
        <v>1.5372318780000001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256.20531299999999</v>
      </c>
      <c r="N24" s="34">
        <f>F24/6*G24</f>
        <v>256.20531299999999</v>
      </c>
      <c r="O24" s="34">
        <f>F24/6*G24</f>
        <v>256.20531299999999</v>
      </c>
      <c r="P24" s="34">
        <f>F24/6*G24</f>
        <v>256.20531299999999</v>
      </c>
      <c r="Q24" s="34">
        <f>F24/6*G24</f>
        <v>256.20531299999999</v>
      </c>
      <c r="R24" s="34">
        <f>F24/6*G24</f>
        <v>256.20531299999999</v>
      </c>
      <c r="S24" s="34">
        <v>0</v>
      </c>
      <c r="T24" s="34">
        <v>0</v>
      </c>
      <c r="U24" s="34">
        <f t="shared" si="5"/>
        <v>1537.2318779999998</v>
      </c>
    </row>
    <row r="25" spans="1:21">
      <c r="A25" s="135" t="s">
        <v>148</v>
      </c>
      <c r="B25" s="10" t="s">
        <v>25</v>
      </c>
      <c r="C25" s="26" t="s">
        <v>24</v>
      </c>
      <c r="D25" s="10" t="s">
        <v>26</v>
      </c>
      <c r="E25" s="32">
        <v>152.6</v>
      </c>
      <c r="F25" s="32">
        <f>SUM(E25/1000)</f>
        <v>0.15259999999999999</v>
      </c>
      <c r="G25" s="32">
        <v>3961.23</v>
      </c>
      <c r="H25" s="33">
        <f t="shared" si="4"/>
        <v>0.6044836979999999</v>
      </c>
      <c r="I25" s="34">
        <v>0</v>
      </c>
      <c r="J25" s="34">
        <v>0</v>
      </c>
      <c r="K25" s="34">
        <v>0</v>
      </c>
      <c r="L25" s="34">
        <v>0</v>
      </c>
      <c r="M25" s="34">
        <f>F25*G25</f>
        <v>604.48369799999989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f t="shared" si="5"/>
        <v>604.48369799999989</v>
      </c>
    </row>
    <row r="26" spans="1:21">
      <c r="A26" s="135" t="s">
        <v>149</v>
      </c>
      <c r="B26" s="10" t="s">
        <v>27</v>
      </c>
      <c r="C26" s="26" t="s">
        <v>28</v>
      </c>
      <c r="D26" s="10" t="s">
        <v>29</v>
      </c>
      <c r="E26" s="46">
        <f>1/3</f>
        <v>0.33333333333333331</v>
      </c>
      <c r="F26" s="32">
        <f>155/3</f>
        <v>51.666666666666664</v>
      </c>
      <c r="G26" s="32">
        <v>74.349999999999994</v>
      </c>
      <c r="H26" s="33">
        <f t="shared" si="4"/>
        <v>3.841416666666666</v>
      </c>
      <c r="I26" s="34">
        <v>0</v>
      </c>
      <c r="J26" s="34">
        <v>0</v>
      </c>
      <c r="K26" s="34">
        <v>0</v>
      </c>
      <c r="L26" s="34">
        <v>0</v>
      </c>
      <c r="M26" s="34">
        <f>F26/6*G26</f>
        <v>640.23611111111109</v>
      </c>
      <c r="N26" s="34">
        <f>F26/6*G26</f>
        <v>640.23611111111109</v>
      </c>
      <c r="O26" s="34">
        <f>F26/6*G26</f>
        <v>640.23611111111109</v>
      </c>
      <c r="P26" s="34">
        <f>F26/6*G26</f>
        <v>640.23611111111109</v>
      </c>
      <c r="Q26" s="34">
        <f>F26/6*G26</f>
        <v>640.23611111111109</v>
      </c>
      <c r="R26" s="34">
        <f>F26/6*G26</f>
        <v>640.23611111111109</v>
      </c>
      <c r="S26" s="34">
        <v>0</v>
      </c>
      <c r="T26" s="34">
        <v>0</v>
      </c>
      <c r="U26" s="34">
        <f t="shared" si="5"/>
        <v>3841.416666666667</v>
      </c>
    </row>
    <row r="27" spans="1:21" ht="12.75" customHeight="1">
      <c r="A27" s="135" t="s">
        <v>150</v>
      </c>
      <c r="B27" s="10" t="s">
        <v>30</v>
      </c>
      <c r="C27" s="26" t="s">
        <v>31</v>
      </c>
      <c r="D27" s="10" t="s">
        <v>32</v>
      </c>
      <c r="E27" s="47">
        <v>0.1</v>
      </c>
      <c r="F27" s="32">
        <f>SUM(E27*365)</f>
        <v>36.5</v>
      </c>
      <c r="G27" s="32">
        <v>192.84</v>
      </c>
      <c r="H27" s="33">
        <f t="shared" si="4"/>
        <v>7.0386600000000001</v>
      </c>
      <c r="I27" s="34">
        <f>F27/12*G27</f>
        <v>586.55499999999995</v>
      </c>
      <c r="J27" s="34">
        <f>F27/12*G27</f>
        <v>586.55499999999995</v>
      </c>
      <c r="K27" s="34">
        <f>F27/12*G27</f>
        <v>586.55499999999995</v>
      </c>
      <c r="L27" s="34">
        <f>F27/12*G27</f>
        <v>586.55499999999995</v>
      </c>
      <c r="M27" s="34">
        <f>F27/12*G27</f>
        <v>586.55499999999995</v>
      </c>
      <c r="N27" s="34">
        <f>F27/12*G27</f>
        <v>586.55499999999995</v>
      </c>
      <c r="O27" s="34">
        <f>F27/12*G27</f>
        <v>586.55499999999995</v>
      </c>
      <c r="P27" s="34">
        <f>F27/12*G27</f>
        <v>586.55499999999995</v>
      </c>
      <c r="Q27" s="34">
        <f>F27/12*G27</f>
        <v>586.55499999999995</v>
      </c>
      <c r="R27" s="34">
        <f>F27/12*G27</f>
        <v>586.55499999999995</v>
      </c>
      <c r="S27" s="34">
        <f>F27/12*G27</f>
        <v>586.55499999999995</v>
      </c>
      <c r="T27" s="34">
        <f>F27/12*G27</f>
        <v>586.55499999999995</v>
      </c>
      <c r="U27" s="34">
        <f t="shared" si="5"/>
        <v>5865.55</v>
      </c>
    </row>
    <row r="28" spans="1:21" ht="12.75" customHeight="1">
      <c r="A28" s="135" t="s">
        <v>151</v>
      </c>
      <c r="B28" s="10" t="s">
        <v>130</v>
      </c>
      <c r="C28" s="26" t="s">
        <v>31</v>
      </c>
      <c r="D28" s="10" t="s">
        <v>33</v>
      </c>
      <c r="E28" s="31"/>
      <c r="F28" s="32">
        <v>1</v>
      </c>
      <c r="G28" s="32">
        <v>250.92</v>
      </c>
      <c r="H28" s="33">
        <f t="shared" si="4"/>
        <v>0.25091999999999998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f t="shared" si="5"/>
        <v>0</v>
      </c>
    </row>
    <row r="29" spans="1:21" ht="12.75" customHeight="1">
      <c r="A29" s="135" t="s">
        <v>120</v>
      </c>
      <c r="B29" s="10" t="s">
        <v>34</v>
      </c>
      <c r="C29" s="26" t="s">
        <v>35</v>
      </c>
      <c r="D29" s="10" t="s">
        <v>33</v>
      </c>
      <c r="E29" s="31"/>
      <c r="F29" s="32">
        <v>1</v>
      </c>
      <c r="G29" s="32">
        <v>1490.31</v>
      </c>
      <c r="H29" s="33">
        <f t="shared" si="4"/>
        <v>1.49031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5"/>
        <v>0</v>
      </c>
    </row>
    <row r="30" spans="1:21">
      <c r="A30" s="135"/>
      <c r="B30" s="48" t="s">
        <v>36</v>
      </c>
      <c r="C30" s="26" t="s">
        <v>37</v>
      </c>
      <c r="D30" s="48" t="s">
        <v>38</v>
      </c>
      <c r="E30" s="31">
        <v>2566.6</v>
      </c>
      <c r="F30" s="32">
        <f>SUM(E30*12)</f>
        <v>30799.199999999997</v>
      </c>
      <c r="G30" s="32">
        <v>2.4500000000000002</v>
      </c>
      <c r="H30" s="33">
        <f t="shared" si="4"/>
        <v>75.458039999999997</v>
      </c>
      <c r="I30" s="34">
        <f>F30/12*G30</f>
        <v>6288.17</v>
      </c>
      <c r="J30" s="34">
        <f>F30/12*G30</f>
        <v>6288.17</v>
      </c>
      <c r="K30" s="34">
        <f>F30/12*G30</f>
        <v>6288.17</v>
      </c>
      <c r="L30" s="34">
        <f>F30/12*G30</f>
        <v>6288.17</v>
      </c>
      <c r="M30" s="34">
        <f>F30/12*G30</f>
        <v>6288.17</v>
      </c>
      <c r="N30" s="34">
        <f>F30/12*G30</f>
        <v>6288.17</v>
      </c>
      <c r="O30" s="34">
        <f>F30/12*G30</f>
        <v>6288.17</v>
      </c>
      <c r="P30" s="34">
        <f>F30/12*G30</f>
        <v>6288.17</v>
      </c>
      <c r="Q30" s="34">
        <f>F30/12*G30</f>
        <v>6288.17</v>
      </c>
      <c r="R30" s="34">
        <f>F30/12*G30</f>
        <v>6288.17</v>
      </c>
      <c r="S30" s="34">
        <f>F30/12*G30</f>
        <v>6288.17</v>
      </c>
      <c r="T30" s="34">
        <f>F30/12*G30</f>
        <v>6288.17</v>
      </c>
      <c r="U30" s="34">
        <f t="shared" si="5"/>
        <v>62881.69999999999</v>
      </c>
    </row>
    <row r="31" spans="1:21" s="18" customFormat="1">
      <c r="A31" s="136"/>
      <c r="B31" s="19" t="s">
        <v>22</v>
      </c>
      <c r="C31" s="40"/>
      <c r="D31" s="19"/>
      <c r="E31" s="41"/>
      <c r="F31" s="42"/>
      <c r="G31" s="42"/>
      <c r="H31" s="49">
        <f>SUM(H23:H30)</f>
        <v>91.843334530666667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>
        <f>SUM(U23:U30)</f>
        <v>76352.654530666652</v>
      </c>
    </row>
    <row r="32" spans="1:21">
      <c r="A32" s="135"/>
      <c r="B32" s="11" t="s">
        <v>39</v>
      </c>
      <c r="C32" s="26"/>
      <c r="D32" s="10"/>
      <c r="E32" s="31"/>
      <c r="F32" s="32"/>
      <c r="G32" s="32"/>
      <c r="H32" s="33" t="s">
        <v>38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2.75" customHeight="1">
      <c r="A33" s="135" t="s">
        <v>120</v>
      </c>
      <c r="B33" s="12" t="s">
        <v>40</v>
      </c>
      <c r="C33" s="26" t="s">
        <v>35</v>
      </c>
      <c r="D33" s="10"/>
      <c r="E33" s="31"/>
      <c r="F33" s="32">
        <v>3</v>
      </c>
      <c r="G33" s="32">
        <v>2003</v>
      </c>
      <c r="H33" s="33">
        <f t="shared" ref="H33:H39" si="6">SUM(F33*G33/1000)</f>
        <v>6.0090000000000003</v>
      </c>
      <c r="I33" s="34">
        <f>F33/6*G33</f>
        <v>1001.5</v>
      </c>
      <c r="J33" s="34">
        <f>F33/6*G33</f>
        <v>1001.5</v>
      </c>
      <c r="K33" s="34">
        <f>F33/6*G33</f>
        <v>1001.5</v>
      </c>
      <c r="L33" s="34">
        <f>F33/6*G33</f>
        <v>1001.5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f>F33/6*G33</f>
        <v>1001.5</v>
      </c>
      <c r="T33" s="34">
        <f>F33/6*G33</f>
        <v>1001.5</v>
      </c>
      <c r="U33" s="34">
        <f t="shared" ref="U33:U39" si="7">SUM(K33:T33)</f>
        <v>4006</v>
      </c>
    </row>
    <row r="34" spans="1:21">
      <c r="A34" s="137" t="s">
        <v>152</v>
      </c>
      <c r="B34" s="12" t="s">
        <v>186</v>
      </c>
      <c r="C34" s="51" t="s">
        <v>41</v>
      </c>
      <c r="D34" s="10" t="s">
        <v>96</v>
      </c>
      <c r="E34" s="31">
        <v>58.1</v>
      </c>
      <c r="F34" s="50">
        <f>E34*30/1000</f>
        <v>1.7430000000000001</v>
      </c>
      <c r="G34" s="32">
        <v>2757.78</v>
      </c>
      <c r="H34" s="33">
        <f>G34*F34/1000</f>
        <v>4.8068105400000007</v>
      </c>
      <c r="I34" s="34">
        <f>F34/6*G34</f>
        <v>801.1350900000001</v>
      </c>
      <c r="J34" s="34">
        <f>F34/6*G34</f>
        <v>801.1350900000001</v>
      </c>
      <c r="K34" s="34">
        <f>F34/6*G34</f>
        <v>801.1350900000001</v>
      </c>
      <c r="L34" s="34">
        <f>F34/6*G34</f>
        <v>801.1350900000001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>F34/6*G34</f>
        <v>801.1350900000001</v>
      </c>
      <c r="T34" s="34">
        <f>F34/6*G34</f>
        <v>801.1350900000001</v>
      </c>
      <c r="U34" s="34">
        <f t="shared" si="7"/>
        <v>3204.5403600000004</v>
      </c>
    </row>
    <row r="35" spans="1:21">
      <c r="A35" s="135" t="s">
        <v>120</v>
      </c>
      <c r="B35" s="10" t="s">
        <v>95</v>
      </c>
      <c r="C35" s="26" t="s">
        <v>60</v>
      </c>
      <c r="D35" s="10" t="s">
        <v>33</v>
      </c>
      <c r="E35" s="31"/>
      <c r="F35" s="50">
        <v>26</v>
      </c>
      <c r="G35" s="32">
        <v>301.70999999999998</v>
      </c>
      <c r="H35" s="33">
        <f>G35*F35/1000</f>
        <v>7.8444599999999989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f t="shared" si="7"/>
        <v>0</v>
      </c>
    </row>
    <row r="36" spans="1:21" ht="24.75" customHeight="1">
      <c r="A36" s="135" t="s">
        <v>153</v>
      </c>
      <c r="B36" s="10" t="s">
        <v>131</v>
      </c>
      <c r="C36" s="26" t="s">
        <v>41</v>
      </c>
      <c r="D36" s="10" t="s">
        <v>42</v>
      </c>
      <c r="E36" s="32">
        <v>58.1</v>
      </c>
      <c r="F36" s="50">
        <f>SUM(E36*155/1000)</f>
        <v>9.0054999999999996</v>
      </c>
      <c r="G36" s="32">
        <v>460.02</v>
      </c>
      <c r="H36" s="33">
        <f t="shared" si="6"/>
        <v>4.1427101100000003</v>
      </c>
      <c r="I36" s="34">
        <f>F36/6*G36</f>
        <v>690.451685</v>
      </c>
      <c r="J36" s="34">
        <f>F36/6*G36</f>
        <v>690.451685</v>
      </c>
      <c r="K36" s="34">
        <f>F36/6*G36</f>
        <v>690.451685</v>
      </c>
      <c r="L36" s="34">
        <f>F36/6*G36</f>
        <v>690.451685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>F36/6*G36</f>
        <v>690.451685</v>
      </c>
      <c r="T36" s="34">
        <f>F36/6*G36</f>
        <v>690.451685</v>
      </c>
      <c r="U36" s="34">
        <f t="shared" si="7"/>
        <v>2761.80674</v>
      </c>
    </row>
    <row r="37" spans="1:21" ht="51" customHeight="1">
      <c r="A37" s="135" t="s">
        <v>154</v>
      </c>
      <c r="B37" s="10" t="s">
        <v>132</v>
      </c>
      <c r="C37" s="26" t="s">
        <v>24</v>
      </c>
      <c r="D37" s="10" t="s">
        <v>187</v>
      </c>
      <c r="E37" s="32">
        <v>58.1</v>
      </c>
      <c r="F37" s="50">
        <f>SUM(E37*35/1000)</f>
        <v>2.0335000000000001</v>
      </c>
      <c r="G37" s="32">
        <v>7611.16</v>
      </c>
      <c r="H37" s="33">
        <f t="shared" si="6"/>
        <v>15.47729386</v>
      </c>
      <c r="I37" s="34">
        <f>F37/6*G37</f>
        <v>2579.5489766666669</v>
      </c>
      <c r="J37" s="34">
        <f>F37/6*G37</f>
        <v>2579.5489766666669</v>
      </c>
      <c r="K37" s="34">
        <f>F37/6*G37</f>
        <v>2579.5489766666669</v>
      </c>
      <c r="L37" s="34">
        <f>F37/6*G37</f>
        <v>2579.5489766666669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f>F37/6*G37</f>
        <v>2579.5489766666669</v>
      </c>
      <c r="T37" s="34">
        <f>F37/6*G37</f>
        <v>2579.5489766666669</v>
      </c>
      <c r="U37" s="34">
        <f t="shared" si="7"/>
        <v>10318.195906666668</v>
      </c>
    </row>
    <row r="38" spans="1:21" ht="12.75" customHeight="1">
      <c r="A38" s="135" t="s">
        <v>155</v>
      </c>
      <c r="B38" s="10" t="s">
        <v>133</v>
      </c>
      <c r="C38" s="26" t="s">
        <v>24</v>
      </c>
      <c r="D38" s="10" t="s">
        <v>188</v>
      </c>
      <c r="E38" s="32">
        <v>58.1</v>
      </c>
      <c r="F38" s="50">
        <f>SUM(E38*20/1000)</f>
        <v>1.1619999999999999</v>
      </c>
      <c r="G38" s="32">
        <v>562.25</v>
      </c>
      <c r="H38" s="33">
        <f t="shared" si="6"/>
        <v>0.65333449999999993</v>
      </c>
      <c r="I38" s="34">
        <f>F38/6*G38</f>
        <v>108.88908333333333</v>
      </c>
      <c r="J38" s="34">
        <f>F38/6*G38</f>
        <v>108.88908333333333</v>
      </c>
      <c r="K38" s="34">
        <f>F38/2*G38</f>
        <v>326.66724999999997</v>
      </c>
      <c r="L38" s="34">
        <f>F38/2*G38</f>
        <v>326.66724999999997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f t="shared" si="7"/>
        <v>653.33449999999993</v>
      </c>
    </row>
    <row r="39" spans="1:21" s="1" customFormat="1">
      <c r="A39" s="137"/>
      <c r="B39" s="12" t="s">
        <v>134</v>
      </c>
      <c r="C39" s="51" t="s">
        <v>31</v>
      </c>
      <c r="D39" s="12"/>
      <c r="E39" s="47"/>
      <c r="F39" s="50">
        <v>0.4</v>
      </c>
      <c r="G39" s="50">
        <v>974.83</v>
      </c>
      <c r="H39" s="33">
        <f t="shared" si="6"/>
        <v>0.389932</v>
      </c>
      <c r="I39" s="52">
        <f>F39/6*G39</f>
        <v>64.988666666666674</v>
      </c>
      <c r="J39" s="52">
        <f>F39/6*G39</f>
        <v>64.988666666666674</v>
      </c>
      <c r="K39" s="52">
        <f>F39/6*G39</f>
        <v>64.988666666666674</v>
      </c>
      <c r="L39" s="52">
        <f>F39/6*G39</f>
        <v>64.988666666666674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f>F39/6*G39</f>
        <v>64.988666666666674</v>
      </c>
      <c r="T39" s="52">
        <f>F39/6*G39</f>
        <v>64.988666666666674</v>
      </c>
      <c r="U39" s="34">
        <f t="shared" si="7"/>
        <v>259.9546666666667</v>
      </c>
    </row>
    <row r="40" spans="1:21" s="18" customFormat="1">
      <c r="A40" s="136"/>
      <c r="B40" s="19" t="s">
        <v>22</v>
      </c>
      <c r="C40" s="40"/>
      <c r="D40" s="19"/>
      <c r="E40" s="41"/>
      <c r="F40" s="42" t="s">
        <v>38</v>
      </c>
      <c r="G40" s="42"/>
      <c r="H40" s="49">
        <f>SUM(H33:H39)</f>
        <v>39.32354101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>
        <f>SUM(U33:U39)</f>
        <v>21203.832173333336</v>
      </c>
    </row>
    <row r="41" spans="1:21">
      <c r="A41" s="135"/>
      <c r="B41" s="13" t="s">
        <v>43</v>
      </c>
      <c r="C41" s="26"/>
      <c r="D41" s="10"/>
      <c r="E41" s="31"/>
      <c r="F41" s="32"/>
      <c r="G41" s="32"/>
      <c r="H41" s="33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>
      <c r="A42" s="135" t="s">
        <v>156</v>
      </c>
      <c r="B42" s="10" t="s">
        <v>105</v>
      </c>
      <c r="C42" s="26" t="s">
        <v>24</v>
      </c>
      <c r="D42" s="10" t="s">
        <v>44</v>
      </c>
      <c r="E42" s="31">
        <v>1114.75</v>
      </c>
      <c r="F42" s="32">
        <f>SUM(E42*2/1000)</f>
        <v>2.2294999999999998</v>
      </c>
      <c r="G42" s="53">
        <v>1352.76</v>
      </c>
      <c r="H42" s="33">
        <f t="shared" ref="H42:H51" si="8">SUM(F42*G42/1000)</f>
        <v>3.0159784199999997</v>
      </c>
      <c r="I42" s="34">
        <v>0</v>
      </c>
      <c r="J42" s="34">
        <v>0</v>
      </c>
      <c r="K42" s="34">
        <v>0</v>
      </c>
      <c r="L42" s="34">
        <v>0</v>
      </c>
      <c r="M42" s="34">
        <f>F42/2*G42</f>
        <v>1507.98921</v>
      </c>
      <c r="N42" s="34">
        <v>0</v>
      </c>
      <c r="O42" s="34">
        <v>0</v>
      </c>
      <c r="P42" s="34">
        <v>0</v>
      </c>
      <c r="Q42" s="34">
        <f>F42/2*G42</f>
        <v>1507.98921</v>
      </c>
      <c r="R42" s="34">
        <v>0</v>
      </c>
      <c r="S42" s="34">
        <v>0</v>
      </c>
      <c r="T42" s="34">
        <v>0</v>
      </c>
      <c r="U42" s="34">
        <f t="shared" ref="U42:U51" si="9">SUM(K42:T42)</f>
        <v>3015.9784199999999</v>
      </c>
    </row>
    <row r="43" spans="1:21" ht="12.75" customHeight="1">
      <c r="A43" s="135" t="s">
        <v>157</v>
      </c>
      <c r="B43" s="10" t="s">
        <v>45</v>
      </c>
      <c r="C43" s="26" t="s">
        <v>24</v>
      </c>
      <c r="D43" s="10" t="s">
        <v>44</v>
      </c>
      <c r="E43" s="31">
        <v>1250.6199999999999</v>
      </c>
      <c r="F43" s="32">
        <f>SUM(E43*2/1000)</f>
        <v>2.5012399999999997</v>
      </c>
      <c r="G43" s="53">
        <v>1803.69</v>
      </c>
      <c r="H43" s="33">
        <f t="shared" si="8"/>
        <v>4.5114615755999994</v>
      </c>
      <c r="I43" s="34">
        <v>0</v>
      </c>
      <c r="J43" s="34">
        <v>0</v>
      </c>
      <c r="K43" s="34">
        <v>0</v>
      </c>
      <c r="L43" s="34">
        <v>0</v>
      </c>
      <c r="M43" s="34">
        <f t="shared" ref="M43:M45" si="10">F43/2*G43</f>
        <v>2255.7307877999997</v>
      </c>
      <c r="N43" s="34">
        <v>0</v>
      </c>
      <c r="O43" s="34">
        <v>0</v>
      </c>
      <c r="P43" s="34">
        <v>0</v>
      </c>
      <c r="Q43" s="34">
        <f>F43/2*G43</f>
        <v>2255.7307877999997</v>
      </c>
      <c r="R43" s="34">
        <v>0</v>
      </c>
      <c r="S43" s="34">
        <v>0</v>
      </c>
      <c r="T43" s="34">
        <v>0</v>
      </c>
      <c r="U43" s="34">
        <f t="shared" si="9"/>
        <v>4511.4615755999994</v>
      </c>
    </row>
    <row r="44" spans="1:21">
      <c r="A44" s="135" t="s">
        <v>158</v>
      </c>
      <c r="B44" s="10" t="s">
        <v>46</v>
      </c>
      <c r="C44" s="26" t="s">
        <v>24</v>
      </c>
      <c r="D44" s="10" t="s">
        <v>44</v>
      </c>
      <c r="E44" s="31">
        <v>1295.68</v>
      </c>
      <c r="F44" s="32">
        <f>SUM(E44*2/1000)</f>
        <v>2.5913600000000003</v>
      </c>
      <c r="G44" s="53">
        <v>1243.43</v>
      </c>
      <c r="H44" s="33">
        <f t="shared" si="8"/>
        <v>3.2221747648000005</v>
      </c>
      <c r="I44" s="34">
        <v>0</v>
      </c>
      <c r="J44" s="34">
        <v>0</v>
      </c>
      <c r="K44" s="34">
        <v>0</v>
      </c>
      <c r="L44" s="34">
        <v>0</v>
      </c>
      <c r="M44" s="34">
        <f t="shared" si="10"/>
        <v>1611.0873824000003</v>
      </c>
      <c r="N44" s="34">
        <v>0</v>
      </c>
      <c r="O44" s="34">
        <v>0</v>
      </c>
      <c r="P44" s="34">
        <v>0</v>
      </c>
      <c r="Q44" s="34">
        <f>F44/2*G44</f>
        <v>1611.0873824000003</v>
      </c>
      <c r="R44" s="34">
        <v>0</v>
      </c>
      <c r="S44" s="34">
        <v>0</v>
      </c>
      <c r="T44" s="34">
        <v>0</v>
      </c>
      <c r="U44" s="34">
        <f t="shared" si="9"/>
        <v>3222.1747648000005</v>
      </c>
    </row>
    <row r="45" spans="1:21">
      <c r="A45" s="135" t="s">
        <v>159</v>
      </c>
      <c r="B45" s="10" t="s">
        <v>106</v>
      </c>
      <c r="C45" s="26" t="s">
        <v>107</v>
      </c>
      <c r="D45" s="10" t="s">
        <v>44</v>
      </c>
      <c r="E45" s="31">
        <v>85.84</v>
      </c>
      <c r="F45" s="32">
        <f>E45*2/100</f>
        <v>1.7168000000000001</v>
      </c>
      <c r="G45" s="53">
        <v>95.49</v>
      </c>
      <c r="H45" s="33">
        <f t="shared" si="8"/>
        <v>0.16393723199999999</v>
      </c>
      <c r="I45" s="34">
        <v>0</v>
      </c>
      <c r="J45" s="34">
        <v>0</v>
      </c>
      <c r="K45" s="34">
        <v>0</v>
      </c>
      <c r="L45" s="34">
        <v>0</v>
      </c>
      <c r="M45" s="34">
        <f t="shared" si="10"/>
        <v>81.968615999999997</v>
      </c>
      <c r="N45" s="34">
        <v>0</v>
      </c>
      <c r="O45" s="34">
        <v>0</v>
      </c>
      <c r="P45" s="34">
        <v>0</v>
      </c>
      <c r="Q45" s="34">
        <f>F45/2*G45</f>
        <v>81.968615999999997</v>
      </c>
      <c r="R45" s="34">
        <v>0</v>
      </c>
      <c r="S45" s="34">
        <v>0</v>
      </c>
      <c r="T45" s="34">
        <v>0</v>
      </c>
      <c r="U45" s="34">
        <f t="shared" si="9"/>
        <v>163.93723199999999</v>
      </c>
    </row>
    <row r="46" spans="1:21" ht="25.5">
      <c r="A46" s="135" t="s">
        <v>160</v>
      </c>
      <c r="B46" s="10" t="s">
        <v>47</v>
      </c>
      <c r="C46" s="26" t="s">
        <v>24</v>
      </c>
      <c r="D46" s="10" t="s">
        <v>48</v>
      </c>
      <c r="E46" s="31">
        <v>2566.6</v>
      </c>
      <c r="F46" s="32">
        <f>SUM(E46*5/1000)</f>
        <v>12.833</v>
      </c>
      <c r="G46" s="53">
        <v>1803.69</v>
      </c>
      <c r="H46" s="33">
        <f t="shared" si="8"/>
        <v>23.14675377</v>
      </c>
      <c r="I46" s="34">
        <f>F46/5*G46</f>
        <v>4629.350754000001</v>
      </c>
      <c r="J46" s="34">
        <f>F46/5*G46</f>
        <v>4629.350754000001</v>
      </c>
      <c r="K46" s="34">
        <v>0</v>
      </c>
      <c r="L46" s="34">
        <v>0</v>
      </c>
      <c r="M46" s="34">
        <f>F46/5*G46</f>
        <v>4629.350754000001</v>
      </c>
      <c r="N46" s="34">
        <v>0</v>
      </c>
      <c r="O46" s="34">
        <v>0</v>
      </c>
      <c r="P46" s="34">
        <v>0</v>
      </c>
      <c r="Q46" s="34">
        <f>F46/5*G46</f>
        <v>4629.350754000001</v>
      </c>
      <c r="R46" s="34">
        <v>0</v>
      </c>
      <c r="S46" s="34">
        <v>0</v>
      </c>
      <c r="T46" s="34">
        <f>F46/5*G46</f>
        <v>4629.350754000001</v>
      </c>
      <c r="U46" s="34">
        <f t="shared" si="9"/>
        <v>13888.052262000003</v>
      </c>
    </row>
    <row r="47" spans="1:21" ht="38.25" customHeight="1">
      <c r="A47" s="135" t="s">
        <v>161</v>
      </c>
      <c r="B47" s="10" t="s">
        <v>49</v>
      </c>
      <c r="C47" s="26" t="s">
        <v>24</v>
      </c>
      <c r="D47" s="10" t="s">
        <v>44</v>
      </c>
      <c r="E47" s="31">
        <f>E46</f>
        <v>2566.6</v>
      </c>
      <c r="F47" s="32">
        <f>SUM(E47*2/1000)</f>
        <v>5.1331999999999995</v>
      </c>
      <c r="G47" s="53">
        <v>1591.6</v>
      </c>
      <c r="H47" s="33">
        <f t="shared" si="8"/>
        <v>8.1700011199999985</v>
      </c>
      <c r="I47" s="34">
        <v>0</v>
      </c>
      <c r="J47" s="34">
        <v>0</v>
      </c>
      <c r="K47" s="34">
        <f>F47/2*G47</f>
        <v>4085.0005599999995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f>F47/2*G47</f>
        <v>4085.0005599999995</v>
      </c>
      <c r="R47" s="34">
        <v>0</v>
      </c>
      <c r="S47" s="34">
        <v>0</v>
      </c>
      <c r="T47" s="34">
        <v>0</v>
      </c>
      <c r="U47" s="34">
        <f t="shared" si="9"/>
        <v>8170.001119999999</v>
      </c>
    </row>
    <row r="48" spans="1:21" ht="25.5" customHeight="1">
      <c r="A48" s="135" t="s">
        <v>162</v>
      </c>
      <c r="B48" s="10" t="s">
        <v>50</v>
      </c>
      <c r="C48" s="26" t="s">
        <v>51</v>
      </c>
      <c r="D48" s="10" t="s">
        <v>44</v>
      </c>
      <c r="E48" s="31">
        <v>16</v>
      </c>
      <c r="F48" s="32">
        <f>SUM(E48*2/100)</f>
        <v>0.32</v>
      </c>
      <c r="G48" s="53">
        <v>4058.32</v>
      </c>
      <c r="H48" s="33">
        <f t="shared" si="8"/>
        <v>1.2986624000000002</v>
      </c>
      <c r="I48" s="34">
        <v>0</v>
      </c>
      <c r="J48" s="34">
        <v>0</v>
      </c>
      <c r="K48" s="34">
        <f>F48/2*G48</f>
        <v>649.33120000000008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f>F48/2*G48</f>
        <v>649.33120000000008</v>
      </c>
      <c r="R48" s="34">
        <v>0</v>
      </c>
      <c r="S48" s="34">
        <v>0</v>
      </c>
      <c r="T48" s="34">
        <v>0</v>
      </c>
      <c r="U48" s="34">
        <f t="shared" si="9"/>
        <v>1298.6624000000002</v>
      </c>
    </row>
    <row r="49" spans="1:21">
      <c r="A49" s="135" t="s">
        <v>163</v>
      </c>
      <c r="B49" s="10" t="s">
        <v>52</v>
      </c>
      <c r="C49" s="26" t="s">
        <v>53</v>
      </c>
      <c r="D49" s="10" t="s">
        <v>44</v>
      </c>
      <c r="E49" s="31">
        <v>1</v>
      </c>
      <c r="F49" s="32">
        <v>0.02</v>
      </c>
      <c r="G49" s="53">
        <v>7412.92</v>
      </c>
      <c r="H49" s="33">
        <f t="shared" si="8"/>
        <v>0.14825839999999998</v>
      </c>
      <c r="I49" s="34">
        <v>0</v>
      </c>
      <c r="J49" s="34">
        <v>0</v>
      </c>
      <c r="K49" s="34">
        <f>F49/2*G49</f>
        <v>74.129199999999997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f>F49/2*G49</f>
        <v>74.129199999999997</v>
      </c>
      <c r="R49" s="34">
        <v>0</v>
      </c>
      <c r="S49" s="34">
        <v>0</v>
      </c>
      <c r="T49" s="34">
        <v>0</v>
      </c>
      <c r="U49" s="34">
        <f t="shared" si="9"/>
        <v>148.25839999999999</v>
      </c>
    </row>
    <row r="50" spans="1:21">
      <c r="A50" s="135" t="s">
        <v>97</v>
      </c>
      <c r="B50" s="10" t="s">
        <v>98</v>
      </c>
      <c r="C50" s="26" t="s">
        <v>54</v>
      </c>
      <c r="D50" s="10" t="s">
        <v>118</v>
      </c>
      <c r="E50" s="31">
        <v>60</v>
      </c>
      <c r="F50" s="32">
        <f>E50*3</f>
        <v>180</v>
      </c>
      <c r="G50" s="53">
        <v>185.08</v>
      </c>
      <c r="H50" s="33">
        <f t="shared" si="8"/>
        <v>33.314399999999999</v>
      </c>
      <c r="I50" s="34">
        <f>E50*G50</f>
        <v>11104.800000000001</v>
      </c>
      <c r="J50" s="34">
        <v>0</v>
      </c>
      <c r="K50" s="34">
        <v>0</v>
      </c>
      <c r="L50" s="34">
        <v>0</v>
      </c>
      <c r="M50" s="34">
        <f>E50*G50</f>
        <v>11104.800000000001</v>
      </c>
      <c r="N50" s="34">
        <v>0</v>
      </c>
      <c r="O50" s="34">
        <v>0</v>
      </c>
      <c r="P50" s="34">
        <v>0</v>
      </c>
      <c r="Q50" s="34">
        <f>E50*G50</f>
        <v>11104.800000000001</v>
      </c>
      <c r="R50" s="34">
        <v>0</v>
      </c>
      <c r="S50" s="34">
        <v>0</v>
      </c>
      <c r="T50" s="34">
        <v>0</v>
      </c>
      <c r="U50" s="34">
        <f t="shared" si="9"/>
        <v>22209.600000000002</v>
      </c>
    </row>
    <row r="51" spans="1:21" ht="13.5" customHeight="1">
      <c r="A51" s="135" t="s">
        <v>55</v>
      </c>
      <c r="B51" s="10" t="s">
        <v>56</v>
      </c>
      <c r="C51" s="26" t="s">
        <v>54</v>
      </c>
      <c r="D51" s="10" t="s">
        <v>118</v>
      </c>
      <c r="E51" s="31">
        <v>120</v>
      </c>
      <c r="F51" s="32">
        <f>SUM(E51)*3</f>
        <v>360</v>
      </c>
      <c r="G51" s="54">
        <v>86.15</v>
      </c>
      <c r="H51" s="33">
        <f t="shared" si="8"/>
        <v>31.014000000000003</v>
      </c>
      <c r="I51" s="34">
        <f>E51*G51</f>
        <v>10338</v>
      </c>
      <c r="J51" s="34">
        <v>0</v>
      </c>
      <c r="K51" s="34">
        <v>0</v>
      </c>
      <c r="L51" s="34">
        <v>0</v>
      </c>
      <c r="M51" s="34">
        <f>E51*G51</f>
        <v>10338</v>
      </c>
      <c r="N51" s="34">
        <v>0</v>
      </c>
      <c r="O51" s="34">
        <v>0</v>
      </c>
      <c r="P51" s="34">
        <v>0</v>
      </c>
      <c r="Q51" s="34">
        <f>E51*G51</f>
        <v>10338</v>
      </c>
      <c r="R51" s="34">
        <v>0</v>
      </c>
      <c r="S51" s="34">
        <v>0</v>
      </c>
      <c r="T51" s="34">
        <v>0</v>
      </c>
      <c r="U51" s="34">
        <f t="shared" si="9"/>
        <v>20676</v>
      </c>
    </row>
    <row r="52" spans="1:21" s="20" customFormat="1">
      <c r="A52" s="136"/>
      <c r="B52" s="19" t="s">
        <v>22</v>
      </c>
      <c r="C52" s="55"/>
      <c r="D52" s="19"/>
      <c r="E52" s="56"/>
      <c r="F52" s="57"/>
      <c r="G52" s="57"/>
      <c r="H52" s="49">
        <f>SUM(H42:H51)</f>
        <v>108.00562768240002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>
        <f>SUM(U42:U51)</f>
        <v>77304.126174400008</v>
      </c>
    </row>
    <row r="53" spans="1:21">
      <c r="A53" s="135"/>
      <c r="B53" s="11" t="s">
        <v>57</v>
      </c>
      <c r="C53" s="26"/>
      <c r="D53" s="10"/>
      <c r="E53" s="31"/>
      <c r="F53" s="32"/>
      <c r="G53" s="32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38.25" customHeight="1">
      <c r="A54" s="135" t="s">
        <v>164</v>
      </c>
      <c r="B54" s="10" t="s">
        <v>135</v>
      </c>
      <c r="C54" s="26" t="s">
        <v>13</v>
      </c>
      <c r="D54" s="10" t="s">
        <v>58</v>
      </c>
      <c r="E54" s="31">
        <v>16</v>
      </c>
      <c r="F54" s="32">
        <f>SUM(E54*6/100)</f>
        <v>0.96</v>
      </c>
      <c r="G54" s="53">
        <v>2431.1799999999998</v>
      </c>
      <c r="H54" s="33">
        <f>SUM(F54*G54/1000)</f>
        <v>2.3339327999999995</v>
      </c>
      <c r="I54" s="33">
        <f t="shared" ref="I54:J54" si="11">SUM(G54*H54/1000)</f>
        <v>5.6742107447039976</v>
      </c>
      <c r="J54" s="33">
        <f t="shared" si="11"/>
        <v>1.3243226571177082E-2</v>
      </c>
      <c r="K54" s="34">
        <f>F54/6*G54</f>
        <v>388.98879999999997</v>
      </c>
      <c r="L54" s="34">
        <f>F54/6*G54</f>
        <v>388.98879999999997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f>F54/6*G54</f>
        <v>388.98879999999997</v>
      </c>
      <c r="T54" s="34">
        <f>F54/6*G54</f>
        <v>388.98879999999997</v>
      </c>
      <c r="U54" s="34">
        <f t="shared" ref="U54:U80" si="12">SUM(K54:T54)</f>
        <v>1555.9551999999999</v>
      </c>
    </row>
    <row r="55" spans="1:21" ht="12.75" customHeight="1">
      <c r="A55" s="138" t="s">
        <v>120</v>
      </c>
      <c r="B55" s="23" t="s">
        <v>189</v>
      </c>
      <c r="C55" s="59" t="s">
        <v>190</v>
      </c>
      <c r="D55" s="23" t="s">
        <v>33</v>
      </c>
      <c r="E55" s="60"/>
      <c r="F55" s="61">
        <v>2</v>
      </c>
      <c r="G55" s="53">
        <v>1582.05</v>
      </c>
      <c r="H55" s="33">
        <f t="shared" ref="H55:H58" si="13">SUM(F55*G55/1000)</f>
        <v>3.1640999999999999</v>
      </c>
      <c r="I55" s="34"/>
      <c r="J55" s="34"/>
      <c r="K55" s="34">
        <f>G55</f>
        <v>1582.05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f t="shared" si="12"/>
        <v>1582.05</v>
      </c>
    </row>
    <row r="56" spans="1:21" ht="12.75" customHeight="1">
      <c r="A56" s="138"/>
      <c r="B56" s="24" t="s">
        <v>59</v>
      </c>
      <c r="C56" s="59"/>
      <c r="D56" s="23"/>
      <c r="E56" s="60"/>
      <c r="F56" s="61"/>
      <c r="G56" s="53"/>
      <c r="H56" s="33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ht="12.75" customHeight="1">
      <c r="A57" s="138" t="s">
        <v>165</v>
      </c>
      <c r="B57" s="23" t="s">
        <v>99</v>
      </c>
      <c r="C57" s="59" t="s">
        <v>19</v>
      </c>
      <c r="D57" s="23" t="s">
        <v>26</v>
      </c>
      <c r="E57" s="60">
        <v>191.8</v>
      </c>
      <c r="F57" s="32">
        <f>SUM(E57/100)</f>
        <v>1.9180000000000001</v>
      </c>
      <c r="G57" s="53">
        <v>1040.8399999999999</v>
      </c>
      <c r="H57" s="33">
        <f t="shared" si="13"/>
        <v>1.99633112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f t="shared" si="12"/>
        <v>0</v>
      </c>
    </row>
    <row r="58" spans="1:21" ht="12.75" customHeight="1">
      <c r="A58" s="138" t="s">
        <v>123</v>
      </c>
      <c r="B58" s="23" t="s">
        <v>191</v>
      </c>
      <c r="C58" s="59" t="s">
        <v>192</v>
      </c>
      <c r="D58" s="23" t="s">
        <v>193</v>
      </c>
      <c r="E58" s="60">
        <v>100</v>
      </c>
      <c r="F58" s="32">
        <f>SUM(E58)*12</f>
        <v>1200</v>
      </c>
      <c r="G58" s="53">
        <v>2.8</v>
      </c>
      <c r="H58" s="33">
        <f t="shared" si="13"/>
        <v>3.36</v>
      </c>
      <c r="I58" s="34"/>
      <c r="J58" s="34"/>
      <c r="K58" s="34">
        <f>F58/12*G58</f>
        <v>280</v>
      </c>
      <c r="L58" s="34">
        <f>F58/12*G58</f>
        <v>280</v>
      </c>
      <c r="M58" s="34">
        <f>F58/12*G58</f>
        <v>280</v>
      </c>
      <c r="N58" s="34">
        <f>F58/12*G58</f>
        <v>280</v>
      </c>
      <c r="O58" s="34">
        <f>F58/12*G58</f>
        <v>280</v>
      </c>
      <c r="P58" s="34">
        <f>F58/12*G58</f>
        <v>280</v>
      </c>
      <c r="Q58" s="34">
        <f>F58/12*G58</f>
        <v>280</v>
      </c>
      <c r="R58" s="34">
        <f>F58/12*G58</f>
        <v>280</v>
      </c>
      <c r="S58" s="34">
        <f>F58/12*G58</f>
        <v>280</v>
      </c>
      <c r="T58" s="34">
        <f>F58/12*G58</f>
        <v>280</v>
      </c>
      <c r="U58" s="34">
        <f t="shared" si="12"/>
        <v>2800</v>
      </c>
    </row>
    <row r="59" spans="1:21">
      <c r="A59" s="138"/>
      <c r="B59" s="14" t="s">
        <v>61</v>
      </c>
      <c r="C59" s="59"/>
      <c r="D59" s="23"/>
      <c r="E59" s="60"/>
      <c r="F59" s="62"/>
      <c r="G59" s="62"/>
      <c r="H59" s="61" t="s">
        <v>38</v>
      </c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ht="12.75" customHeight="1">
      <c r="A60" s="63" t="s">
        <v>166</v>
      </c>
      <c r="B60" s="15" t="s">
        <v>62</v>
      </c>
      <c r="C60" s="63" t="s">
        <v>54</v>
      </c>
      <c r="D60" s="8" t="s">
        <v>33</v>
      </c>
      <c r="E60" s="37">
        <v>5</v>
      </c>
      <c r="F60" s="32">
        <f>E60</f>
        <v>5</v>
      </c>
      <c r="G60" s="53">
        <v>291.68</v>
      </c>
      <c r="H60" s="127">
        <f t="shared" ref="H60:H75" si="14">SUM(F60*G60/1000)</f>
        <v>1.4584000000000001</v>
      </c>
      <c r="I60" s="34">
        <v>0</v>
      </c>
      <c r="J60" s="34">
        <v>0</v>
      </c>
      <c r="K60" s="34">
        <v>0</v>
      </c>
      <c r="L60" s="34">
        <f>G60</f>
        <v>291.68</v>
      </c>
      <c r="M60" s="34">
        <v>0</v>
      </c>
      <c r="N60" s="34">
        <v>0</v>
      </c>
      <c r="O60" s="34">
        <v>0</v>
      </c>
      <c r="P60" s="34">
        <v>0</v>
      </c>
      <c r="Q60" s="34">
        <f>G60</f>
        <v>291.68</v>
      </c>
      <c r="R60" s="34">
        <v>0</v>
      </c>
      <c r="S60" s="34">
        <f>G60</f>
        <v>291.68</v>
      </c>
      <c r="T60" s="34">
        <v>0</v>
      </c>
      <c r="U60" s="34">
        <f t="shared" si="12"/>
        <v>875.04</v>
      </c>
    </row>
    <row r="61" spans="1:21" ht="12.75" customHeight="1">
      <c r="A61" s="63" t="s">
        <v>167</v>
      </c>
      <c r="B61" s="15" t="s">
        <v>63</v>
      </c>
      <c r="C61" s="63" t="s">
        <v>54</v>
      </c>
      <c r="D61" s="8" t="s">
        <v>33</v>
      </c>
      <c r="E61" s="37">
        <v>5</v>
      </c>
      <c r="F61" s="32">
        <f>E61</f>
        <v>5</v>
      </c>
      <c r="G61" s="53">
        <v>100.01</v>
      </c>
      <c r="H61" s="127">
        <f t="shared" si="14"/>
        <v>0.50004999999999999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f t="shared" si="12"/>
        <v>0</v>
      </c>
    </row>
    <row r="62" spans="1:21" s="1" customFormat="1">
      <c r="A62" s="64" t="s">
        <v>168</v>
      </c>
      <c r="B62" s="15" t="s">
        <v>64</v>
      </c>
      <c r="C62" s="64" t="s">
        <v>65</v>
      </c>
      <c r="D62" s="8" t="s">
        <v>26</v>
      </c>
      <c r="E62" s="31">
        <v>10059</v>
      </c>
      <c r="F62" s="54">
        <f>SUM(E62/100)</f>
        <v>100.59</v>
      </c>
      <c r="G62" s="53">
        <v>278.24</v>
      </c>
      <c r="H62" s="127">
        <f t="shared" si="14"/>
        <v>27.988161600000002</v>
      </c>
      <c r="I62" s="52">
        <v>0</v>
      </c>
      <c r="J62" s="52">
        <v>0</v>
      </c>
      <c r="K62" s="52">
        <v>0</v>
      </c>
      <c r="L62" s="52">
        <v>0</v>
      </c>
      <c r="M62" s="52">
        <f>F62*G62</f>
        <v>27988.161600000003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34">
        <f t="shared" si="12"/>
        <v>27988.161600000003</v>
      </c>
    </row>
    <row r="63" spans="1:21" ht="12.75" customHeight="1">
      <c r="A63" s="63" t="s">
        <v>169</v>
      </c>
      <c r="B63" s="15" t="s">
        <v>66</v>
      </c>
      <c r="C63" s="63" t="s">
        <v>67</v>
      </c>
      <c r="D63" s="8"/>
      <c r="E63" s="31">
        <v>10059</v>
      </c>
      <c r="F63" s="53">
        <f>SUM(E63/1000)</f>
        <v>10.058999999999999</v>
      </c>
      <c r="G63" s="53">
        <v>216.68</v>
      </c>
      <c r="H63" s="127">
        <f t="shared" si="14"/>
        <v>2.1795841199999999</v>
      </c>
      <c r="I63" s="34">
        <v>0</v>
      </c>
      <c r="J63" s="34">
        <v>0</v>
      </c>
      <c r="K63" s="34">
        <v>0</v>
      </c>
      <c r="L63" s="34">
        <v>0</v>
      </c>
      <c r="M63" s="34">
        <f>F63*G63</f>
        <v>2179.58412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f t="shared" si="12"/>
        <v>2179.58412</v>
      </c>
    </row>
    <row r="64" spans="1:21">
      <c r="A64" s="63" t="s">
        <v>170</v>
      </c>
      <c r="B64" s="15" t="s">
        <v>68</v>
      </c>
      <c r="C64" s="63" t="s">
        <v>69</v>
      </c>
      <c r="D64" s="8" t="s">
        <v>26</v>
      </c>
      <c r="E64" s="31">
        <v>2200</v>
      </c>
      <c r="F64" s="53">
        <f>SUM(E64/100)</f>
        <v>22</v>
      </c>
      <c r="G64" s="53">
        <v>2720.94</v>
      </c>
      <c r="H64" s="127">
        <f t="shared" si="14"/>
        <v>59.860680000000002</v>
      </c>
      <c r="I64" s="34">
        <v>0</v>
      </c>
      <c r="J64" s="34">
        <v>0</v>
      </c>
      <c r="K64" s="34">
        <v>0</v>
      </c>
      <c r="L64" s="34">
        <v>0</v>
      </c>
      <c r="M64" s="34">
        <f>F64*G64</f>
        <v>59860.68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12"/>
        <v>59860.68</v>
      </c>
    </row>
    <row r="65" spans="1:21">
      <c r="A65" s="63"/>
      <c r="B65" s="16" t="s">
        <v>91</v>
      </c>
      <c r="C65" s="63" t="s">
        <v>31</v>
      </c>
      <c r="D65" s="8"/>
      <c r="E65" s="31">
        <v>9.6</v>
      </c>
      <c r="F65" s="32">
        <f>E65</f>
        <v>9.6</v>
      </c>
      <c r="G65" s="53">
        <v>42.61</v>
      </c>
      <c r="H65" s="127">
        <f t="shared" si="14"/>
        <v>0.40905599999999998</v>
      </c>
      <c r="I65" s="34">
        <v>0</v>
      </c>
      <c r="J65" s="34">
        <v>0</v>
      </c>
      <c r="K65" s="34">
        <v>0</v>
      </c>
      <c r="L65" s="34">
        <v>0</v>
      </c>
      <c r="M65" s="34">
        <f>F65*G65</f>
        <v>409.05599999999998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f t="shared" si="12"/>
        <v>409.05599999999998</v>
      </c>
    </row>
    <row r="66" spans="1:21" ht="12.75" customHeight="1">
      <c r="A66" s="139"/>
      <c r="B66" s="16" t="s">
        <v>92</v>
      </c>
      <c r="C66" s="63" t="s">
        <v>31</v>
      </c>
      <c r="D66" s="8"/>
      <c r="E66" s="31">
        <f>E65</f>
        <v>9.6</v>
      </c>
      <c r="F66" s="32">
        <f t="shared" ref="F66:F67" si="15">E66</f>
        <v>9.6</v>
      </c>
      <c r="G66" s="53">
        <v>46.04</v>
      </c>
      <c r="H66" s="127">
        <f t="shared" si="14"/>
        <v>0.44198399999999999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441.98399999999998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12"/>
        <v>441.98399999999998</v>
      </c>
    </row>
    <row r="67" spans="1:21">
      <c r="A67" s="63" t="s">
        <v>171</v>
      </c>
      <c r="B67" s="8" t="s">
        <v>70</v>
      </c>
      <c r="C67" s="63" t="s">
        <v>71</v>
      </c>
      <c r="D67" s="8" t="s">
        <v>26</v>
      </c>
      <c r="E67" s="37">
        <v>3</v>
      </c>
      <c r="F67" s="32">
        <f t="shared" si="15"/>
        <v>3</v>
      </c>
      <c r="G67" s="53">
        <v>65.42</v>
      </c>
      <c r="H67" s="127">
        <f t="shared" si="14"/>
        <v>0.19625999999999999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f>F67*G67</f>
        <v>196.26</v>
      </c>
      <c r="R67" s="34">
        <v>0</v>
      </c>
      <c r="S67" s="34">
        <v>0</v>
      </c>
      <c r="T67" s="34">
        <v>0</v>
      </c>
      <c r="U67" s="34">
        <f t="shared" si="12"/>
        <v>196.26</v>
      </c>
    </row>
    <row r="68" spans="1:21" ht="25.5">
      <c r="A68" s="63"/>
      <c r="B68" s="8" t="s">
        <v>194</v>
      </c>
      <c r="C68" s="66" t="s">
        <v>195</v>
      </c>
      <c r="D68" s="8" t="s">
        <v>33</v>
      </c>
      <c r="E68" s="37">
        <v>2566.6</v>
      </c>
      <c r="F68" s="32">
        <f>SUM(E68)*12</f>
        <v>30799.199999999997</v>
      </c>
      <c r="G68" s="53">
        <v>2.2799999999999998</v>
      </c>
      <c r="H68" s="127">
        <f t="shared" si="14"/>
        <v>70.22217599999999</v>
      </c>
      <c r="I68" s="34"/>
      <c r="J68" s="34"/>
      <c r="K68" s="34">
        <f>F68/12*G68</f>
        <v>5851.847999999999</v>
      </c>
      <c r="L68" s="34">
        <f>F68/12*G68</f>
        <v>5851.847999999999</v>
      </c>
      <c r="M68" s="34">
        <f>F68/12*G68</f>
        <v>5851.847999999999</v>
      </c>
      <c r="N68" s="34">
        <f>F68/12*G68</f>
        <v>5851.847999999999</v>
      </c>
      <c r="O68" s="34">
        <f>F68/12*G68</f>
        <v>5851.847999999999</v>
      </c>
      <c r="P68" s="34">
        <f>F68/12*G68</f>
        <v>5851.847999999999</v>
      </c>
      <c r="Q68" s="34">
        <f>F68/12*G68</f>
        <v>5851.847999999999</v>
      </c>
      <c r="R68" s="34">
        <f>F68/12*G68</f>
        <v>5851.847999999999</v>
      </c>
      <c r="S68" s="34">
        <f>F68/12*G68</f>
        <v>5851.847999999999</v>
      </c>
      <c r="T68" s="34">
        <f>F68/12*G68</f>
        <v>5851.847999999999</v>
      </c>
      <c r="U68" s="34">
        <f t="shared" si="12"/>
        <v>58518.479999999989</v>
      </c>
    </row>
    <row r="69" spans="1:21">
      <c r="A69" s="67"/>
      <c r="B69" s="17" t="s">
        <v>72</v>
      </c>
      <c r="C69" s="63"/>
      <c r="D69" s="8"/>
      <c r="E69" s="37"/>
      <c r="F69" s="53"/>
      <c r="G69" s="53"/>
      <c r="H69" s="127" t="s">
        <v>38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ht="25.5">
      <c r="A70" s="66" t="s">
        <v>174</v>
      </c>
      <c r="B70" s="8" t="s">
        <v>196</v>
      </c>
      <c r="C70" s="63" t="s">
        <v>28</v>
      </c>
      <c r="D70" s="8"/>
      <c r="E70" s="37">
        <v>1</v>
      </c>
      <c r="F70" s="32">
        <f t="shared" ref="F70:F73" si="16">E70</f>
        <v>1</v>
      </c>
      <c r="G70" s="53">
        <v>1543.4</v>
      </c>
      <c r="H70" s="127">
        <f>G70*F70/1000</f>
        <v>1.5434000000000001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f t="shared" si="12"/>
        <v>0</v>
      </c>
    </row>
    <row r="71" spans="1:21">
      <c r="A71" s="63" t="s">
        <v>173</v>
      </c>
      <c r="B71" s="8" t="s">
        <v>93</v>
      </c>
      <c r="C71" s="63" t="s">
        <v>28</v>
      </c>
      <c r="D71" s="8"/>
      <c r="E71" s="37">
        <v>1</v>
      </c>
      <c r="F71" s="32">
        <f>E71</f>
        <v>1</v>
      </c>
      <c r="G71" s="53">
        <v>1118.72</v>
      </c>
      <c r="H71" s="127">
        <f>F71*G71/1000</f>
        <v>1.1187199999999999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f t="shared" si="12"/>
        <v>0</v>
      </c>
    </row>
    <row r="72" spans="1:21">
      <c r="A72" s="63" t="s">
        <v>172</v>
      </c>
      <c r="B72" s="8" t="s">
        <v>73</v>
      </c>
      <c r="C72" s="63" t="s">
        <v>74</v>
      </c>
      <c r="D72" s="8"/>
      <c r="E72" s="37">
        <v>3</v>
      </c>
      <c r="F72" s="32">
        <f>E72/10</f>
        <v>0.3</v>
      </c>
      <c r="G72" s="53">
        <v>657.87</v>
      </c>
      <c r="H72" s="127">
        <f t="shared" si="14"/>
        <v>0.19736099999999998</v>
      </c>
      <c r="I72" s="34">
        <f>G72*0.3</f>
        <v>197.36099999999999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f>G72*0.2</f>
        <v>131.57400000000001</v>
      </c>
      <c r="T72" s="34">
        <v>0</v>
      </c>
      <c r="U72" s="34">
        <f t="shared" si="12"/>
        <v>131.57400000000001</v>
      </c>
    </row>
    <row r="73" spans="1:21">
      <c r="A73" s="151" t="s">
        <v>198</v>
      </c>
      <c r="B73" s="152" t="s">
        <v>197</v>
      </c>
      <c r="C73" s="153" t="s">
        <v>54</v>
      </c>
      <c r="D73" s="8"/>
      <c r="E73" s="37">
        <v>1</v>
      </c>
      <c r="F73" s="32">
        <f t="shared" si="16"/>
        <v>1</v>
      </c>
      <c r="G73" s="53">
        <v>130.96</v>
      </c>
      <c r="H73" s="127">
        <f>G73*F73/1000</f>
        <v>0.13096000000000002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f t="shared" si="12"/>
        <v>0</v>
      </c>
    </row>
    <row r="74" spans="1:21">
      <c r="A74" s="67"/>
      <c r="B74" s="68" t="s">
        <v>75</v>
      </c>
      <c r="C74" s="63"/>
      <c r="D74" s="8"/>
      <c r="E74" s="37"/>
      <c r="F74" s="53"/>
      <c r="G74" s="53" t="s">
        <v>38</v>
      </c>
      <c r="H74" s="127" t="s">
        <v>38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1" s="1" customFormat="1">
      <c r="A75" s="64" t="s">
        <v>76</v>
      </c>
      <c r="B75" s="69" t="s">
        <v>77</v>
      </c>
      <c r="C75" s="64" t="s">
        <v>69</v>
      </c>
      <c r="D75" s="15"/>
      <c r="E75" s="70"/>
      <c r="F75" s="54">
        <v>1</v>
      </c>
      <c r="G75" s="54">
        <v>3619.09</v>
      </c>
      <c r="H75" s="127">
        <f t="shared" si="14"/>
        <v>3.6190900000000004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34">
        <f t="shared" si="12"/>
        <v>0</v>
      </c>
    </row>
    <row r="76" spans="1:21" s="20" customFormat="1">
      <c r="A76" s="140"/>
      <c r="B76" s="19" t="s">
        <v>22</v>
      </c>
      <c r="C76" s="71"/>
      <c r="D76" s="72"/>
      <c r="E76" s="73"/>
      <c r="F76" s="58"/>
      <c r="G76" s="58"/>
      <c r="H76" s="74">
        <f>SUM(H54:H75)</f>
        <v>180.72024663999997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>
        <f>SUM(U54:U75)</f>
        <v>156538.82491999996</v>
      </c>
    </row>
    <row r="77" spans="1:21">
      <c r="A77" s="141" t="s">
        <v>123</v>
      </c>
      <c r="B77" s="10" t="s">
        <v>124</v>
      </c>
      <c r="C77" s="76"/>
      <c r="D77" s="77"/>
      <c r="E77" s="122"/>
      <c r="F77" s="78">
        <v>1</v>
      </c>
      <c r="G77" s="79">
        <v>22892</v>
      </c>
      <c r="H77" s="127">
        <f>G77*F77/1000</f>
        <v>22.891999999999999</v>
      </c>
      <c r="I77" s="34">
        <v>0</v>
      </c>
      <c r="J77" s="34">
        <v>0</v>
      </c>
      <c r="K77" s="34">
        <f>G77</f>
        <v>22892</v>
      </c>
      <c r="L77" s="34">
        <v>0</v>
      </c>
      <c r="M77" s="35">
        <v>0</v>
      </c>
      <c r="N77" s="35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f t="shared" si="12"/>
        <v>22892</v>
      </c>
    </row>
    <row r="78" spans="1:21" ht="12.75" customHeight="1">
      <c r="A78" s="63"/>
      <c r="B78" s="75" t="s">
        <v>78</v>
      </c>
      <c r="C78" s="63" t="s">
        <v>79</v>
      </c>
      <c r="D78" s="80"/>
      <c r="E78" s="53">
        <v>2566.6</v>
      </c>
      <c r="F78" s="53">
        <f>SUM(E78*12)</f>
        <v>30799.199999999997</v>
      </c>
      <c r="G78" s="81">
        <v>3.1</v>
      </c>
      <c r="H78" s="127">
        <f>SUM(F78*G78/1000)</f>
        <v>95.477519999999984</v>
      </c>
      <c r="I78" s="34">
        <f>F78/12*G78</f>
        <v>7956.46</v>
      </c>
      <c r="J78" s="34">
        <f>F78/12*G78</f>
        <v>7956.46</v>
      </c>
      <c r="K78" s="34">
        <f>F78/12*G78</f>
        <v>7956.46</v>
      </c>
      <c r="L78" s="34">
        <f>F78/12*G78</f>
        <v>7956.46</v>
      </c>
      <c r="M78" s="34">
        <f>F78/12*G78</f>
        <v>7956.46</v>
      </c>
      <c r="N78" s="34">
        <f>F78/12*G78</f>
        <v>7956.46</v>
      </c>
      <c r="O78" s="34">
        <f>F78/12*G78</f>
        <v>7956.46</v>
      </c>
      <c r="P78" s="34">
        <f>F78/12*G78</f>
        <v>7956.46</v>
      </c>
      <c r="Q78" s="34">
        <f>F78/12*G78</f>
        <v>7956.46</v>
      </c>
      <c r="R78" s="34">
        <f>F78/12*G78</f>
        <v>7956.46</v>
      </c>
      <c r="S78" s="34">
        <f>F78/12*G78</f>
        <v>7956.46</v>
      </c>
      <c r="T78" s="34">
        <f>F78/12*G78</f>
        <v>7956.46</v>
      </c>
      <c r="U78" s="34">
        <f t="shared" si="12"/>
        <v>79564.600000000006</v>
      </c>
    </row>
    <row r="79" spans="1:21" s="18" customFormat="1">
      <c r="A79" s="82"/>
      <c r="B79" s="19" t="s">
        <v>22</v>
      </c>
      <c r="C79" s="83"/>
      <c r="D79" s="84"/>
      <c r="E79" s="85"/>
      <c r="F79" s="44"/>
      <c r="G79" s="86"/>
      <c r="H79" s="45">
        <f>SUM(H77:H78)</f>
        <v>118.36951999999998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>
        <f>SUM(U77:U78)</f>
        <v>102456.6</v>
      </c>
    </row>
    <row r="80" spans="1:21" ht="25.5" customHeight="1">
      <c r="A80" s="139"/>
      <c r="B80" s="8" t="s">
        <v>80</v>
      </c>
      <c r="C80" s="63"/>
      <c r="D80" s="87"/>
      <c r="E80" s="31">
        <f>E78</f>
        <v>2566.6</v>
      </c>
      <c r="F80" s="53">
        <f>E80*12</f>
        <v>30799.199999999997</v>
      </c>
      <c r="G80" s="53">
        <v>3.5</v>
      </c>
      <c r="H80" s="127">
        <f>F80*G80/1000</f>
        <v>107.79719999999999</v>
      </c>
      <c r="I80" s="34">
        <f>F80/12*G80</f>
        <v>8983.1</v>
      </c>
      <c r="J80" s="34">
        <f>F80/12*G80</f>
        <v>8983.1</v>
      </c>
      <c r="K80" s="34">
        <f>F80/12*G80</f>
        <v>8983.1</v>
      </c>
      <c r="L80" s="34">
        <f>F80/12*G80</f>
        <v>8983.1</v>
      </c>
      <c r="M80" s="34">
        <f>F80/12*G80</f>
        <v>8983.1</v>
      </c>
      <c r="N80" s="34">
        <f>F80/12*G80</f>
        <v>8983.1</v>
      </c>
      <c r="O80" s="34">
        <f>F80/12*G80</f>
        <v>8983.1</v>
      </c>
      <c r="P80" s="34">
        <f>F80/12*G80</f>
        <v>8983.1</v>
      </c>
      <c r="Q80" s="34">
        <f>F80/12*G80</f>
        <v>8983.1</v>
      </c>
      <c r="R80" s="34">
        <f>F80/12*G80</f>
        <v>8983.1</v>
      </c>
      <c r="S80" s="34">
        <f>F80/12*G80</f>
        <v>8983.1</v>
      </c>
      <c r="T80" s="34">
        <f>F80/12*G80</f>
        <v>8983.1</v>
      </c>
      <c r="U80" s="34">
        <f t="shared" si="12"/>
        <v>89831.000000000015</v>
      </c>
    </row>
    <row r="81" spans="1:27" s="18" customFormat="1">
      <c r="A81" s="82"/>
      <c r="B81" s="88" t="s">
        <v>81</v>
      </c>
      <c r="C81" s="89"/>
      <c r="D81" s="88"/>
      <c r="E81" s="44"/>
      <c r="F81" s="44"/>
      <c r="G81" s="44"/>
      <c r="H81" s="74">
        <f>H80</f>
        <v>107.79719999999999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123">
        <f>U80</f>
        <v>89831.000000000015</v>
      </c>
    </row>
    <row r="82" spans="1:27" s="18" customFormat="1">
      <c r="A82" s="82"/>
      <c r="B82" s="88" t="s">
        <v>82</v>
      </c>
      <c r="C82" s="90"/>
      <c r="D82" s="91"/>
      <c r="E82" s="92"/>
      <c r="F82" s="92"/>
      <c r="G82" s="92"/>
      <c r="H82" s="74">
        <f>SUM(H81+H79+H76+H52+H40+H31+H21)</f>
        <v>761.77879564506657</v>
      </c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123">
        <f>SUM(U81+U79+U76+U52+U40+U31+U21)</f>
        <v>620068.70159373328</v>
      </c>
      <c r="X82" s="162"/>
      <c r="Y82" s="162"/>
      <c r="Z82" s="162"/>
      <c r="AA82" s="162"/>
    </row>
    <row r="83" spans="1:27">
      <c r="A83" s="67"/>
      <c r="B83" s="87" t="s">
        <v>83</v>
      </c>
      <c r="C83" s="63"/>
      <c r="D83" s="87"/>
      <c r="E83" s="53"/>
      <c r="F83" s="53"/>
      <c r="G83" s="53" t="s">
        <v>84</v>
      </c>
      <c r="H83" s="93">
        <f>E80</f>
        <v>2566.6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7" s="18" customFormat="1">
      <c r="A84" s="82"/>
      <c r="B84" s="91" t="s">
        <v>85</v>
      </c>
      <c r="C84" s="90"/>
      <c r="D84" s="91"/>
      <c r="E84" s="92"/>
      <c r="F84" s="92"/>
      <c r="G84" s="92"/>
      <c r="H84" s="94">
        <f>SUM(H82/H83/12*1000)</f>
        <v>24.733720214975278</v>
      </c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124"/>
    </row>
    <row r="85" spans="1:27">
      <c r="A85" s="95"/>
      <c r="B85" s="87"/>
      <c r="C85" s="63"/>
      <c r="D85" s="87"/>
      <c r="E85" s="53"/>
      <c r="F85" s="53"/>
      <c r="G85" s="53"/>
      <c r="H85" s="96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125"/>
    </row>
    <row r="86" spans="1:27">
      <c r="A86" s="139"/>
      <c r="B86" s="68" t="s">
        <v>86</v>
      </c>
      <c r="C86" s="63"/>
      <c r="D86" s="87"/>
      <c r="E86" s="53"/>
      <c r="F86" s="53"/>
      <c r="G86" s="53"/>
      <c r="H86" s="53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spans="1:27" ht="25.5">
      <c r="A87" s="147" t="s">
        <v>120</v>
      </c>
      <c r="B87" s="148" t="s">
        <v>199</v>
      </c>
      <c r="C87" s="66" t="s">
        <v>200</v>
      </c>
      <c r="D87" s="87"/>
      <c r="E87" s="53"/>
      <c r="F87" s="53">
        <v>1</v>
      </c>
      <c r="G87" s="53">
        <v>1934.94</v>
      </c>
      <c r="H87" s="127">
        <f>G87*F87/1000</f>
        <v>1.9349400000000001</v>
      </c>
      <c r="I87" s="97"/>
      <c r="J87" s="97"/>
      <c r="K87" s="97">
        <f>G87</f>
        <v>1934.94</v>
      </c>
      <c r="L87" s="97">
        <v>0</v>
      </c>
      <c r="M87" s="97">
        <v>0</v>
      </c>
      <c r="N87" s="97">
        <v>0</v>
      </c>
      <c r="O87" s="97">
        <v>0</v>
      </c>
      <c r="P87" s="97">
        <v>0</v>
      </c>
      <c r="Q87" s="97">
        <v>0</v>
      </c>
      <c r="R87" s="97">
        <v>0</v>
      </c>
      <c r="S87" s="97">
        <v>0</v>
      </c>
      <c r="T87" s="97">
        <v>0</v>
      </c>
      <c r="U87" s="34">
        <f t="shared" ref="U87:U119" si="17">SUM(K87:T87)</f>
        <v>1934.94</v>
      </c>
    </row>
    <row r="88" spans="1:27">
      <c r="A88" s="144" t="s">
        <v>176</v>
      </c>
      <c r="B88" s="145" t="s">
        <v>179</v>
      </c>
      <c r="C88" s="144" t="s">
        <v>136</v>
      </c>
      <c r="D88" s="8"/>
      <c r="E88" s="37"/>
      <c r="F88" s="53">
        <f>31/3</f>
        <v>10.333333333333334</v>
      </c>
      <c r="G88" s="53">
        <v>1120.8900000000001</v>
      </c>
      <c r="H88" s="127">
        <f>G88*F88/1000</f>
        <v>11.582530000000002</v>
      </c>
      <c r="I88" s="97">
        <v>0</v>
      </c>
      <c r="J88" s="97">
        <f>G88*7</f>
        <v>7846.2300000000005</v>
      </c>
      <c r="K88" s="97">
        <f>G88</f>
        <v>1120.8900000000001</v>
      </c>
      <c r="L88" s="97">
        <v>0</v>
      </c>
      <c r="M88" s="97">
        <f>G88</f>
        <v>1120.8900000000001</v>
      </c>
      <c r="N88" s="97">
        <f>G88*(10/3)</f>
        <v>3736.3000000000006</v>
      </c>
      <c r="O88" s="97">
        <v>0</v>
      </c>
      <c r="P88" s="97">
        <v>0</v>
      </c>
      <c r="Q88" s="97">
        <v>0</v>
      </c>
      <c r="R88" s="97">
        <f>G88*(15/3)</f>
        <v>5604.4500000000007</v>
      </c>
      <c r="S88" s="97">
        <v>0</v>
      </c>
      <c r="T88" s="97">
        <v>0</v>
      </c>
      <c r="U88" s="34">
        <f t="shared" si="17"/>
        <v>11582.530000000002</v>
      </c>
    </row>
    <row r="89" spans="1:27" ht="25.5">
      <c r="A89" s="128" t="s">
        <v>202</v>
      </c>
      <c r="B89" s="154" t="s">
        <v>201</v>
      </c>
      <c r="C89" s="128" t="s">
        <v>178</v>
      </c>
      <c r="D89" s="149"/>
      <c r="E89" s="150"/>
      <c r="F89" s="150">
        <v>1</v>
      </c>
      <c r="G89" s="150">
        <v>2563.48</v>
      </c>
      <c r="H89" s="127">
        <f t="shared" ref="H89:H93" si="18">G89*F89/1000</f>
        <v>2.5634800000000002</v>
      </c>
      <c r="I89" s="97">
        <v>0</v>
      </c>
      <c r="J89" s="97">
        <v>0</v>
      </c>
      <c r="K89" s="97">
        <f>G89</f>
        <v>2563.48</v>
      </c>
      <c r="L89" s="97">
        <v>0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0</v>
      </c>
      <c r="S89" s="97">
        <v>0</v>
      </c>
      <c r="T89" s="97">
        <v>0</v>
      </c>
      <c r="U89" s="34">
        <f t="shared" si="17"/>
        <v>2563.48</v>
      </c>
    </row>
    <row r="90" spans="1:27">
      <c r="A90" s="144" t="s">
        <v>120</v>
      </c>
      <c r="B90" s="155" t="s">
        <v>203</v>
      </c>
      <c r="C90" s="144" t="s">
        <v>190</v>
      </c>
      <c r="D90" s="149"/>
      <c r="E90" s="150"/>
      <c r="F90" s="150">
        <v>0.2</v>
      </c>
      <c r="G90" s="150">
        <v>1725</v>
      </c>
      <c r="H90" s="127">
        <f t="shared" si="18"/>
        <v>0.34499999999999997</v>
      </c>
      <c r="I90" s="97"/>
      <c r="J90" s="97"/>
      <c r="K90" s="97">
        <f>G90*0.2</f>
        <v>345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7">
        <v>0</v>
      </c>
      <c r="T90" s="97">
        <v>0</v>
      </c>
      <c r="U90" s="34">
        <f t="shared" si="17"/>
        <v>345</v>
      </c>
    </row>
    <row r="91" spans="1:27" ht="25.5">
      <c r="A91" s="146" t="s">
        <v>205</v>
      </c>
      <c r="B91" s="129" t="s">
        <v>206</v>
      </c>
      <c r="C91" s="128" t="s">
        <v>204</v>
      </c>
      <c r="D91" s="87"/>
      <c r="E91" s="53"/>
      <c r="F91" s="53">
        <v>1</v>
      </c>
      <c r="G91" s="53">
        <v>666.24</v>
      </c>
      <c r="H91" s="127">
        <f t="shared" si="18"/>
        <v>0.66624000000000005</v>
      </c>
      <c r="I91" s="34">
        <v>0</v>
      </c>
      <c r="J91" s="34">
        <v>0</v>
      </c>
      <c r="K91" s="34">
        <f>G91</f>
        <v>666.24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97">
        <v>0</v>
      </c>
      <c r="R91" s="97">
        <v>0</v>
      </c>
      <c r="S91" s="97">
        <v>0</v>
      </c>
      <c r="T91" s="97">
        <v>0</v>
      </c>
      <c r="U91" s="34">
        <f t="shared" si="17"/>
        <v>666.24</v>
      </c>
    </row>
    <row r="92" spans="1:27" ht="25.5">
      <c r="A92" s="146" t="s">
        <v>101</v>
      </c>
      <c r="B92" s="129" t="s">
        <v>100</v>
      </c>
      <c r="C92" s="128" t="s">
        <v>54</v>
      </c>
      <c r="D92" s="8"/>
      <c r="E92" s="37"/>
      <c r="F92" s="53">
        <v>4</v>
      </c>
      <c r="G92" s="53">
        <v>83.36</v>
      </c>
      <c r="H92" s="127">
        <f>G92*F92/1000</f>
        <v>0.33344000000000001</v>
      </c>
      <c r="I92" s="97">
        <v>0</v>
      </c>
      <c r="J92" s="97">
        <f>G92</f>
        <v>83.36</v>
      </c>
      <c r="K92" s="97">
        <f>G92</f>
        <v>83.36</v>
      </c>
      <c r="L92" s="97">
        <v>0</v>
      </c>
      <c r="M92" s="97">
        <v>0</v>
      </c>
      <c r="N92" s="97">
        <v>0</v>
      </c>
      <c r="O92" s="97">
        <v>0</v>
      </c>
      <c r="P92" s="97">
        <f>G92*3</f>
        <v>250.07999999999998</v>
      </c>
      <c r="Q92" s="97">
        <v>0</v>
      </c>
      <c r="R92" s="97">
        <v>0</v>
      </c>
      <c r="S92" s="97">
        <v>0</v>
      </c>
      <c r="T92" s="97">
        <v>0</v>
      </c>
      <c r="U92" s="34">
        <f t="shared" si="17"/>
        <v>333.44</v>
      </c>
    </row>
    <row r="93" spans="1:27" ht="25.5" customHeight="1">
      <c r="A93" s="153" t="s">
        <v>207</v>
      </c>
      <c r="B93" s="152" t="s">
        <v>208</v>
      </c>
      <c r="C93" s="153" t="s">
        <v>204</v>
      </c>
      <c r="D93" s="87"/>
      <c r="E93" s="53"/>
      <c r="F93" s="53">
        <v>1</v>
      </c>
      <c r="G93" s="53">
        <v>727.73</v>
      </c>
      <c r="H93" s="127">
        <f t="shared" si="18"/>
        <v>0.72772999999999999</v>
      </c>
      <c r="I93" s="97"/>
      <c r="J93" s="97"/>
      <c r="K93" s="97">
        <v>0</v>
      </c>
      <c r="L93" s="97">
        <v>0</v>
      </c>
      <c r="M93" s="97">
        <f>G93</f>
        <v>727.73</v>
      </c>
      <c r="N93" s="97">
        <v>0</v>
      </c>
      <c r="O93" s="97">
        <v>0</v>
      </c>
      <c r="P93" s="97">
        <v>0</v>
      </c>
      <c r="Q93" s="97">
        <v>0</v>
      </c>
      <c r="R93" s="97">
        <v>0</v>
      </c>
      <c r="S93" s="97">
        <v>0</v>
      </c>
      <c r="T93" s="97">
        <v>0</v>
      </c>
      <c r="U93" s="34">
        <f t="shared" si="17"/>
        <v>727.73</v>
      </c>
    </row>
    <row r="94" spans="1:27" ht="25.5" customHeight="1">
      <c r="A94" s="153" t="s">
        <v>209</v>
      </c>
      <c r="B94" s="152" t="s">
        <v>210</v>
      </c>
      <c r="C94" s="153" t="s">
        <v>204</v>
      </c>
      <c r="D94" s="87"/>
      <c r="E94" s="53"/>
      <c r="F94" s="53">
        <v>8</v>
      </c>
      <c r="G94" s="53">
        <v>1046.06</v>
      </c>
      <c r="H94" s="127">
        <f t="shared" ref="H94:H97" si="19">G94*F94/1000</f>
        <v>8.3684799999999999</v>
      </c>
      <c r="I94" s="97"/>
      <c r="J94" s="97"/>
      <c r="K94" s="97">
        <v>0</v>
      </c>
      <c r="L94" s="97">
        <v>0</v>
      </c>
      <c r="M94" s="97">
        <f>G94*8</f>
        <v>8368.48</v>
      </c>
      <c r="N94" s="97">
        <v>0</v>
      </c>
      <c r="O94" s="97">
        <v>0</v>
      </c>
      <c r="P94" s="97">
        <v>0</v>
      </c>
      <c r="Q94" s="97">
        <v>0</v>
      </c>
      <c r="R94" s="97">
        <v>0</v>
      </c>
      <c r="S94" s="97">
        <v>0</v>
      </c>
      <c r="T94" s="97">
        <v>0</v>
      </c>
      <c r="U94" s="34">
        <f t="shared" si="17"/>
        <v>8368.48</v>
      </c>
    </row>
    <row r="95" spans="1:27" ht="12.75" customHeight="1">
      <c r="A95" s="156" t="s">
        <v>211</v>
      </c>
      <c r="B95" s="157" t="s">
        <v>212</v>
      </c>
      <c r="C95" s="158" t="s">
        <v>54</v>
      </c>
      <c r="D95" s="8"/>
      <c r="E95" s="37"/>
      <c r="F95" s="53">
        <v>2</v>
      </c>
      <c r="G95" s="150">
        <v>45</v>
      </c>
      <c r="H95" s="127">
        <f t="shared" si="19"/>
        <v>0.09</v>
      </c>
      <c r="I95" s="34">
        <v>0</v>
      </c>
      <c r="J95" s="34">
        <v>0</v>
      </c>
      <c r="K95" s="34">
        <v>0</v>
      </c>
      <c r="L95" s="34">
        <v>0</v>
      </c>
      <c r="M95" s="34">
        <f>G95*2</f>
        <v>90</v>
      </c>
      <c r="N95" s="34">
        <v>0</v>
      </c>
      <c r="O95" s="34">
        <v>0</v>
      </c>
      <c r="P95" s="34">
        <v>0</v>
      </c>
      <c r="Q95" s="97">
        <v>0</v>
      </c>
      <c r="R95" s="97">
        <v>0</v>
      </c>
      <c r="S95" s="97">
        <v>0</v>
      </c>
      <c r="T95" s="97">
        <v>0</v>
      </c>
      <c r="U95" s="34">
        <f t="shared" si="17"/>
        <v>90</v>
      </c>
    </row>
    <row r="96" spans="1:27" ht="12.75" customHeight="1">
      <c r="A96" s="128" t="s">
        <v>211</v>
      </c>
      <c r="B96" s="129" t="s">
        <v>213</v>
      </c>
      <c r="C96" s="128" t="s">
        <v>54</v>
      </c>
      <c r="D96" s="87"/>
      <c r="E96" s="53"/>
      <c r="F96" s="53">
        <v>2</v>
      </c>
      <c r="G96" s="53">
        <v>22</v>
      </c>
      <c r="H96" s="127">
        <f t="shared" si="19"/>
        <v>4.3999999999999997E-2</v>
      </c>
      <c r="I96" s="34">
        <v>0</v>
      </c>
      <c r="J96" s="34">
        <v>0</v>
      </c>
      <c r="K96" s="34">
        <v>0</v>
      </c>
      <c r="L96" s="34">
        <v>0</v>
      </c>
      <c r="M96" s="34">
        <f>G96*2</f>
        <v>44</v>
      </c>
      <c r="N96" s="34">
        <v>0</v>
      </c>
      <c r="O96" s="34">
        <v>0</v>
      </c>
      <c r="P96" s="34">
        <v>0</v>
      </c>
      <c r="Q96" s="97">
        <v>0</v>
      </c>
      <c r="R96" s="97">
        <v>0</v>
      </c>
      <c r="S96" s="97">
        <v>0</v>
      </c>
      <c r="T96" s="97">
        <v>0</v>
      </c>
      <c r="U96" s="34">
        <f t="shared" si="17"/>
        <v>44</v>
      </c>
    </row>
    <row r="97" spans="1:23" ht="12.75" customHeight="1">
      <c r="A97" s="128" t="s">
        <v>211</v>
      </c>
      <c r="B97" s="129" t="s">
        <v>214</v>
      </c>
      <c r="C97" s="128" t="s">
        <v>54</v>
      </c>
      <c r="D97" s="87"/>
      <c r="E97" s="53"/>
      <c r="F97" s="53">
        <v>2</v>
      </c>
      <c r="G97" s="53">
        <v>204</v>
      </c>
      <c r="H97" s="127">
        <f t="shared" si="19"/>
        <v>0.40799999999999997</v>
      </c>
      <c r="I97" s="34">
        <v>0</v>
      </c>
      <c r="J97" s="34">
        <v>0</v>
      </c>
      <c r="K97" s="34">
        <v>0</v>
      </c>
      <c r="L97" s="34">
        <v>0</v>
      </c>
      <c r="M97" s="34">
        <f>G97*2</f>
        <v>408</v>
      </c>
      <c r="N97" s="34">
        <v>0</v>
      </c>
      <c r="O97" s="34">
        <v>0</v>
      </c>
      <c r="P97" s="34">
        <v>0</v>
      </c>
      <c r="Q97" s="97">
        <v>0</v>
      </c>
      <c r="R97" s="97">
        <v>0</v>
      </c>
      <c r="S97" s="97">
        <v>0</v>
      </c>
      <c r="T97" s="97">
        <v>0</v>
      </c>
      <c r="U97" s="34">
        <f t="shared" si="17"/>
        <v>408</v>
      </c>
    </row>
    <row r="98" spans="1:23" ht="12.75" customHeight="1">
      <c r="A98" s="128" t="s">
        <v>211</v>
      </c>
      <c r="B98" s="129" t="s">
        <v>215</v>
      </c>
      <c r="C98" s="128" t="s">
        <v>54</v>
      </c>
      <c r="D98" s="87"/>
      <c r="E98" s="53"/>
      <c r="F98" s="53">
        <v>3</v>
      </c>
      <c r="G98" s="53">
        <v>244</v>
      </c>
      <c r="H98" s="127">
        <f t="shared" ref="H98" si="20">G98*F98/1000</f>
        <v>0.73199999999999998</v>
      </c>
      <c r="I98" s="34">
        <v>0</v>
      </c>
      <c r="J98" s="34">
        <v>0</v>
      </c>
      <c r="K98" s="34">
        <v>0</v>
      </c>
      <c r="L98" s="34">
        <v>0</v>
      </c>
      <c r="M98" s="34">
        <f>G98*3</f>
        <v>732</v>
      </c>
      <c r="N98" s="34">
        <v>0</v>
      </c>
      <c r="O98" s="34">
        <v>0</v>
      </c>
      <c r="P98" s="34">
        <v>0</v>
      </c>
      <c r="Q98" s="97">
        <v>0</v>
      </c>
      <c r="R98" s="97">
        <v>0</v>
      </c>
      <c r="S98" s="97">
        <v>0</v>
      </c>
      <c r="T98" s="97">
        <v>0</v>
      </c>
      <c r="U98" s="34">
        <f t="shared" si="17"/>
        <v>732</v>
      </c>
    </row>
    <row r="99" spans="1:23" ht="12.75" customHeight="1">
      <c r="A99" s="128" t="s">
        <v>211</v>
      </c>
      <c r="B99" s="129" t="s">
        <v>216</v>
      </c>
      <c r="C99" s="128" t="s">
        <v>54</v>
      </c>
      <c r="D99" s="87"/>
      <c r="E99" s="53"/>
      <c r="F99" s="53">
        <v>6</v>
      </c>
      <c r="G99" s="53">
        <v>112</v>
      </c>
      <c r="H99" s="127">
        <f>G99*F99/1000</f>
        <v>0.67200000000000004</v>
      </c>
      <c r="I99" s="34">
        <v>0</v>
      </c>
      <c r="J99" s="34">
        <v>0</v>
      </c>
      <c r="K99" s="34">
        <v>0</v>
      </c>
      <c r="L99" s="34">
        <v>0</v>
      </c>
      <c r="M99" s="34">
        <f>G99*6</f>
        <v>672</v>
      </c>
      <c r="N99" s="34">
        <v>0</v>
      </c>
      <c r="O99" s="34">
        <v>0</v>
      </c>
      <c r="P99" s="34">
        <v>0</v>
      </c>
      <c r="Q99" s="97">
        <v>0</v>
      </c>
      <c r="R99" s="97">
        <v>0</v>
      </c>
      <c r="S99" s="97">
        <v>0</v>
      </c>
      <c r="T99" s="97">
        <v>0</v>
      </c>
      <c r="U99" s="34">
        <f t="shared" si="17"/>
        <v>672</v>
      </c>
    </row>
    <row r="100" spans="1:23" ht="12.75" customHeight="1">
      <c r="A100" s="128" t="s">
        <v>211</v>
      </c>
      <c r="B100" s="129" t="s">
        <v>217</v>
      </c>
      <c r="C100" s="128" t="s">
        <v>54</v>
      </c>
      <c r="D100" s="87"/>
      <c r="E100" s="53"/>
      <c r="F100" s="53">
        <v>1</v>
      </c>
      <c r="G100" s="53">
        <v>140</v>
      </c>
      <c r="H100" s="127">
        <f t="shared" ref="H100:H102" si="21">G100*F100/1000</f>
        <v>0.14000000000000001</v>
      </c>
      <c r="I100" s="34">
        <v>0</v>
      </c>
      <c r="J100" s="34">
        <v>0</v>
      </c>
      <c r="K100" s="34">
        <v>0</v>
      </c>
      <c r="L100" s="34">
        <v>0</v>
      </c>
      <c r="M100" s="34">
        <f>G100</f>
        <v>140</v>
      </c>
      <c r="N100" s="34">
        <v>0</v>
      </c>
      <c r="O100" s="34">
        <v>0</v>
      </c>
      <c r="P100" s="34">
        <v>0</v>
      </c>
      <c r="Q100" s="97">
        <v>0</v>
      </c>
      <c r="R100" s="97">
        <v>0</v>
      </c>
      <c r="S100" s="97">
        <v>0</v>
      </c>
      <c r="T100" s="97">
        <v>0</v>
      </c>
      <c r="U100" s="34">
        <f t="shared" si="17"/>
        <v>140</v>
      </c>
    </row>
    <row r="101" spans="1:23" ht="12.75" customHeight="1">
      <c r="A101" s="156" t="s">
        <v>211</v>
      </c>
      <c r="B101" s="157" t="s">
        <v>218</v>
      </c>
      <c r="C101" s="158" t="s">
        <v>54</v>
      </c>
      <c r="D101" s="8"/>
      <c r="E101" s="37"/>
      <c r="F101" s="53">
        <v>3</v>
      </c>
      <c r="G101" s="150">
        <v>108</v>
      </c>
      <c r="H101" s="127">
        <f t="shared" si="21"/>
        <v>0.32400000000000001</v>
      </c>
      <c r="I101" s="34">
        <v>0</v>
      </c>
      <c r="J101" s="34">
        <v>0</v>
      </c>
      <c r="K101" s="34">
        <v>0</v>
      </c>
      <c r="L101" s="34">
        <v>0</v>
      </c>
      <c r="M101" s="34">
        <f>G101*3</f>
        <v>324</v>
      </c>
      <c r="N101" s="34">
        <v>0</v>
      </c>
      <c r="O101" s="34">
        <v>0</v>
      </c>
      <c r="P101" s="34">
        <v>0</v>
      </c>
      <c r="Q101" s="97">
        <v>0</v>
      </c>
      <c r="R101" s="97">
        <v>0</v>
      </c>
      <c r="S101" s="97">
        <v>0</v>
      </c>
      <c r="T101" s="97">
        <v>0</v>
      </c>
      <c r="U101" s="34">
        <f t="shared" si="17"/>
        <v>324</v>
      </c>
    </row>
    <row r="102" spans="1:23" ht="12.75" customHeight="1">
      <c r="A102" s="128" t="s">
        <v>211</v>
      </c>
      <c r="B102" s="129" t="s">
        <v>219</v>
      </c>
      <c r="C102" s="128" t="s">
        <v>54</v>
      </c>
      <c r="D102" s="87"/>
      <c r="E102" s="53"/>
      <c r="F102" s="53">
        <v>1</v>
      </c>
      <c r="G102" s="53">
        <v>61</v>
      </c>
      <c r="H102" s="127">
        <f t="shared" si="21"/>
        <v>6.0999999999999999E-2</v>
      </c>
      <c r="I102" s="34">
        <v>0</v>
      </c>
      <c r="J102" s="34">
        <v>0</v>
      </c>
      <c r="K102" s="34">
        <v>0</v>
      </c>
      <c r="L102" s="34">
        <v>0</v>
      </c>
      <c r="M102" s="34">
        <f>G102</f>
        <v>61</v>
      </c>
      <c r="N102" s="34">
        <v>0</v>
      </c>
      <c r="O102" s="34">
        <v>0</v>
      </c>
      <c r="P102" s="34">
        <v>0</v>
      </c>
      <c r="Q102" s="97">
        <v>0</v>
      </c>
      <c r="R102" s="97">
        <v>0</v>
      </c>
      <c r="S102" s="97">
        <v>0</v>
      </c>
      <c r="T102" s="97">
        <v>0</v>
      </c>
      <c r="U102" s="34">
        <f t="shared" si="17"/>
        <v>61</v>
      </c>
    </row>
    <row r="103" spans="1:23" ht="25.5">
      <c r="A103" s="128" t="s">
        <v>220</v>
      </c>
      <c r="B103" s="129" t="s">
        <v>221</v>
      </c>
      <c r="C103" s="146" t="s">
        <v>222</v>
      </c>
      <c r="D103" s="87"/>
      <c r="E103" s="53"/>
      <c r="F103" s="53">
        <v>2</v>
      </c>
      <c r="G103" s="53">
        <v>294.45</v>
      </c>
      <c r="H103" s="127">
        <f>G103*F103/1000</f>
        <v>0.58889999999999998</v>
      </c>
      <c r="I103" s="34">
        <v>0</v>
      </c>
      <c r="J103" s="34">
        <v>0</v>
      </c>
      <c r="K103" s="34">
        <v>0</v>
      </c>
      <c r="L103" s="34">
        <v>0</v>
      </c>
      <c r="M103" s="34">
        <f>G103*2</f>
        <v>588.9</v>
      </c>
      <c r="N103" s="34">
        <v>0</v>
      </c>
      <c r="O103" s="34">
        <v>0</v>
      </c>
      <c r="P103" s="34">
        <v>0</v>
      </c>
      <c r="Q103" s="97">
        <v>0</v>
      </c>
      <c r="R103" s="97">
        <v>0</v>
      </c>
      <c r="S103" s="97">
        <v>0</v>
      </c>
      <c r="T103" s="97">
        <v>0</v>
      </c>
      <c r="U103" s="34">
        <f t="shared" si="17"/>
        <v>588.9</v>
      </c>
      <c r="V103" s="159"/>
      <c r="W103" s="159"/>
    </row>
    <row r="104" spans="1:23" ht="25.5">
      <c r="A104" s="128" t="s">
        <v>223</v>
      </c>
      <c r="B104" s="129" t="s">
        <v>224</v>
      </c>
      <c r="C104" s="128" t="s">
        <v>54</v>
      </c>
      <c r="D104" s="8"/>
      <c r="E104" s="37"/>
      <c r="F104" s="53">
        <v>5</v>
      </c>
      <c r="G104" s="53">
        <v>189.88</v>
      </c>
      <c r="H104" s="127">
        <f t="shared" ref="H104:H105" si="22">G104*F104/1000</f>
        <v>0.94940000000000002</v>
      </c>
      <c r="I104" s="34">
        <v>0</v>
      </c>
      <c r="J104" s="34">
        <v>0</v>
      </c>
      <c r="K104" s="34">
        <v>0</v>
      </c>
      <c r="L104" s="34">
        <v>0</v>
      </c>
      <c r="M104" s="34">
        <f>G104*5</f>
        <v>949.4</v>
      </c>
      <c r="N104" s="34">
        <v>0</v>
      </c>
      <c r="O104" s="34">
        <v>0</v>
      </c>
      <c r="P104" s="34">
        <v>0</v>
      </c>
      <c r="Q104" s="97">
        <v>0</v>
      </c>
      <c r="R104" s="97">
        <v>0</v>
      </c>
      <c r="S104" s="97">
        <v>0</v>
      </c>
      <c r="T104" s="97">
        <v>0</v>
      </c>
      <c r="U104" s="34">
        <f t="shared" si="17"/>
        <v>949.4</v>
      </c>
    </row>
    <row r="105" spans="1:23" ht="25.5">
      <c r="A105" s="128" t="s">
        <v>126</v>
      </c>
      <c r="B105" s="129" t="s">
        <v>244</v>
      </c>
      <c r="C105" s="128" t="s">
        <v>245</v>
      </c>
      <c r="D105" s="8"/>
      <c r="E105" s="37"/>
      <c r="F105" s="53">
        <v>1</v>
      </c>
      <c r="G105" s="53">
        <v>43831</v>
      </c>
      <c r="H105" s="127">
        <f t="shared" si="22"/>
        <v>43.831000000000003</v>
      </c>
      <c r="I105" s="97"/>
      <c r="J105" s="97"/>
      <c r="K105" s="97">
        <v>0</v>
      </c>
      <c r="L105" s="97">
        <v>0</v>
      </c>
      <c r="M105" s="97">
        <f>G105</f>
        <v>43831</v>
      </c>
      <c r="N105" s="97">
        <v>0</v>
      </c>
      <c r="O105" s="97">
        <v>0</v>
      </c>
      <c r="P105" s="97">
        <v>0</v>
      </c>
      <c r="Q105" s="97">
        <v>0</v>
      </c>
      <c r="R105" s="97">
        <v>0</v>
      </c>
      <c r="S105" s="97">
        <v>0</v>
      </c>
      <c r="T105" s="97">
        <v>0</v>
      </c>
      <c r="U105" s="34">
        <f t="shared" si="17"/>
        <v>43831</v>
      </c>
    </row>
    <row r="106" spans="1:23" ht="25.5">
      <c r="A106" s="128" t="s">
        <v>162</v>
      </c>
      <c r="B106" s="129" t="s">
        <v>231</v>
      </c>
      <c r="C106" s="128" t="s">
        <v>51</v>
      </c>
      <c r="D106" s="8"/>
      <c r="E106" s="37"/>
      <c r="F106" s="53">
        <v>0.05</v>
      </c>
      <c r="G106" s="53">
        <v>3581.13</v>
      </c>
      <c r="H106" s="127">
        <f t="shared" ref="H106:H115" si="23">G106*F106/1000</f>
        <v>0.17905650000000004</v>
      </c>
      <c r="I106" s="97">
        <v>0</v>
      </c>
      <c r="J106" s="97">
        <v>0</v>
      </c>
      <c r="K106" s="97">
        <v>0</v>
      </c>
      <c r="L106" s="97">
        <v>0</v>
      </c>
      <c r="M106" s="97">
        <v>0</v>
      </c>
      <c r="N106" s="97">
        <f>G106*0.02</f>
        <v>71.622600000000006</v>
      </c>
      <c r="O106" s="97">
        <v>0</v>
      </c>
      <c r="P106" s="97">
        <f>G106*0.03</f>
        <v>107.43389999999999</v>
      </c>
      <c r="Q106" s="97">
        <v>0</v>
      </c>
      <c r="R106" s="97">
        <v>0</v>
      </c>
      <c r="S106" s="97">
        <v>0</v>
      </c>
      <c r="T106" s="97">
        <v>0</v>
      </c>
      <c r="U106" s="34">
        <f t="shared" si="17"/>
        <v>179.0565</v>
      </c>
    </row>
    <row r="107" spans="1:23">
      <c r="A107" s="128" t="s">
        <v>120</v>
      </c>
      <c r="B107" s="129" t="s">
        <v>258</v>
      </c>
      <c r="C107" s="128" t="s">
        <v>31</v>
      </c>
      <c r="D107" s="8"/>
      <c r="E107" s="37"/>
      <c r="F107" s="53">
        <f>(139.06+124.46+55.02+115.6+96.62+329.47)-(5.298*6)</f>
        <v>828.44200000000001</v>
      </c>
      <c r="G107" s="53">
        <v>42.61</v>
      </c>
      <c r="H107" s="53">
        <f t="shared" si="23"/>
        <v>35.299913619999998</v>
      </c>
      <c r="I107" s="97">
        <v>0</v>
      </c>
      <c r="J107" s="97">
        <v>0</v>
      </c>
      <c r="K107" s="97">
        <v>0</v>
      </c>
      <c r="L107" s="97">
        <v>0</v>
      </c>
      <c r="M107" s="97">
        <v>0</v>
      </c>
      <c r="N107" s="34">
        <f>G107*F107</f>
        <v>35299.913619999999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f t="shared" ref="U107" si="24">SUM(I107:T107)</f>
        <v>35299.913619999999</v>
      </c>
    </row>
    <row r="108" spans="1:23" ht="25.5">
      <c r="A108" s="146" t="s">
        <v>229</v>
      </c>
      <c r="B108" s="129" t="s">
        <v>230</v>
      </c>
      <c r="C108" s="128" t="s">
        <v>204</v>
      </c>
      <c r="D108" s="8"/>
      <c r="E108" s="37"/>
      <c r="F108" s="53">
        <v>2</v>
      </c>
      <c r="G108" s="53">
        <v>589.84</v>
      </c>
      <c r="H108" s="127">
        <f t="shared" si="23"/>
        <v>1.1796800000000001</v>
      </c>
      <c r="I108" s="97">
        <v>0</v>
      </c>
      <c r="J108" s="97">
        <v>0</v>
      </c>
      <c r="K108" s="97">
        <v>0</v>
      </c>
      <c r="L108" s="97">
        <v>0</v>
      </c>
      <c r="M108" s="97">
        <v>0</v>
      </c>
      <c r="N108" s="97">
        <v>0</v>
      </c>
      <c r="O108" s="97">
        <f>G108</f>
        <v>589.84</v>
      </c>
      <c r="P108" s="97">
        <v>0</v>
      </c>
      <c r="Q108" s="97">
        <f>G108</f>
        <v>589.84</v>
      </c>
      <c r="R108" s="97">
        <v>0</v>
      </c>
      <c r="S108" s="97">
        <v>0</v>
      </c>
      <c r="T108" s="97">
        <v>0</v>
      </c>
      <c r="U108" s="34">
        <f t="shared" si="17"/>
        <v>1179.68</v>
      </c>
    </row>
    <row r="109" spans="1:23" ht="25.5">
      <c r="A109" s="128" t="s">
        <v>163</v>
      </c>
      <c r="B109" s="129" t="s">
        <v>233</v>
      </c>
      <c r="C109" s="128" t="s">
        <v>232</v>
      </c>
      <c r="D109" s="8"/>
      <c r="E109" s="37"/>
      <c r="F109" s="53">
        <v>0.01</v>
      </c>
      <c r="G109" s="53">
        <v>7412.92</v>
      </c>
      <c r="H109" s="127">
        <f t="shared" si="23"/>
        <v>7.4129199999999992E-2</v>
      </c>
      <c r="I109" s="97"/>
      <c r="J109" s="97"/>
      <c r="K109" s="97">
        <v>0</v>
      </c>
      <c r="L109" s="97">
        <v>0</v>
      </c>
      <c r="M109" s="97">
        <v>0</v>
      </c>
      <c r="N109" s="97">
        <v>0</v>
      </c>
      <c r="O109" s="97">
        <v>0</v>
      </c>
      <c r="P109" s="97">
        <f>G109*0.01</f>
        <v>74.129199999999997</v>
      </c>
      <c r="Q109" s="97">
        <v>0</v>
      </c>
      <c r="R109" s="97">
        <v>0</v>
      </c>
      <c r="S109" s="97">
        <v>0</v>
      </c>
      <c r="T109" s="97">
        <v>0</v>
      </c>
      <c r="U109" s="34">
        <f t="shared" si="17"/>
        <v>74.129199999999997</v>
      </c>
    </row>
    <row r="110" spans="1:23" ht="25.5">
      <c r="A110" s="151" t="s">
        <v>235</v>
      </c>
      <c r="B110" s="152" t="s">
        <v>234</v>
      </c>
      <c r="C110" s="153" t="s">
        <v>54</v>
      </c>
      <c r="D110" s="8"/>
      <c r="E110" s="37"/>
      <c r="F110" s="53">
        <v>1</v>
      </c>
      <c r="G110" s="53">
        <v>2297.02</v>
      </c>
      <c r="H110" s="127">
        <f t="shared" si="23"/>
        <v>2.2970199999999998</v>
      </c>
      <c r="I110" s="97"/>
      <c r="J110" s="97"/>
      <c r="K110" s="97">
        <v>0</v>
      </c>
      <c r="L110" s="97">
        <v>0</v>
      </c>
      <c r="M110" s="97">
        <v>0</v>
      </c>
      <c r="N110" s="97">
        <v>0</v>
      </c>
      <c r="O110" s="97">
        <v>0</v>
      </c>
      <c r="P110" s="97">
        <f>G110</f>
        <v>2297.02</v>
      </c>
      <c r="Q110" s="97">
        <v>0</v>
      </c>
      <c r="R110" s="97">
        <v>0</v>
      </c>
      <c r="S110" s="97">
        <v>0</v>
      </c>
      <c r="T110" s="97">
        <v>0</v>
      </c>
      <c r="U110" s="34">
        <f t="shared" si="17"/>
        <v>2297.02</v>
      </c>
    </row>
    <row r="111" spans="1:23" ht="12.75" customHeight="1">
      <c r="A111" s="151" t="s">
        <v>238</v>
      </c>
      <c r="B111" s="152" t="s">
        <v>236</v>
      </c>
      <c r="C111" s="153" t="s">
        <v>237</v>
      </c>
      <c r="D111" s="8"/>
      <c r="E111" s="37"/>
      <c r="F111" s="53">
        <v>5</v>
      </c>
      <c r="G111" s="53">
        <v>88.14</v>
      </c>
      <c r="H111" s="127">
        <f t="shared" si="23"/>
        <v>0.44069999999999998</v>
      </c>
      <c r="I111" s="97"/>
      <c r="J111" s="97"/>
      <c r="K111" s="97">
        <v>0</v>
      </c>
      <c r="L111" s="97">
        <v>0</v>
      </c>
      <c r="M111" s="97">
        <v>0</v>
      </c>
      <c r="N111" s="97">
        <v>0</v>
      </c>
      <c r="O111" s="97">
        <v>0</v>
      </c>
      <c r="P111" s="97">
        <f>G111*5</f>
        <v>440.7</v>
      </c>
      <c r="Q111" s="97">
        <v>0</v>
      </c>
      <c r="R111" s="97">
        <v>0</v>
      </c>
      <c r="S111" s="97">
        <v>0</v>
      </c>
      <c r="T111" s="97">
        <v>0</v>
      </c>
      <c r="U111" s="34">
        <f t="shared" si="17"/>
        <v>440.7</v>
      </c>
    </row>
    <row r="112" spans="1:23" ht="38.25">
      <c r="A112" s="128" t="s">
        <v>239</v>
      </c>
      <c r="B112" s="129" t="s">
        <v>240</v>
      </c>
      <c r="C112" s="128" t="s">
        <v>241</v>
      </c>
      <c r="D112" s="8"/>
      <c r="E112" s="37"/>
      <c r="F112" s="53">
        <v>1</v>
      </c>
      <c r="G112" s="53">
        <v>54.17</v>
      </c>
      <c r="H112" s="127">
        <f>G112*F112/1000</f>
        <v>5.4170000000000003E-2</v>
      </c>
      <c r="I112" s="97">
        <v>0</v>
      </c>
      <c r="J112" s="97">
        <v>0</v>
      </c>
      <c r="K112" s="97">
        <v>0</v>
      </c>
      <c r="L112" s="97">
        <v>0</v>
      </c>
      <c r="M112" s="97">
        <v>0</v>
      </c>
      <c r="N112" s="97">
        <v>0</v>
      </c>
      <c r="O112" s="97">
        <v>0</v>
      </c>
      <c r="P112" s="97">
        <v>0</v>
      </c>
      <c r="Q112" s="97">
        <f>G112</f>
        <v>54.17</v>
      </c>
      <c r="R112" s="97">
        <v>0</v>
      </c>
      <c r="S112" s="97">
        <v>0</v>
      </c>
      <c r="T112" s="97">
        <v>0</v>
      </c>
      <c r="U112" s="34">
        <f t="shared" si="17"/>
        <v>54.17</v>
      </c>
    </row>
    <row r="113" spans="1:21" ht="25.5">
      <c r="A113" s="128" t="s">
        <v>126</v>
      </c>
      <c r="B113" s="129" t="s">
        <v>242</v>
      </c>
      <c r="C113" s="128" t="s">
        <v>119</v>
      </c>
      <c r="D113" s="8"/>
      <c r="E113" s="37"/>
      <c r="F113" s="53">
        <v>0.5</v>
      </c>
      <c r="G113" s="53">
        <v>1272</v>
      </c>
      <c r="H113" s="127">
        <f>G113*F113/1000</f>
        <v>0.63600000000000001</v>
      </c>
      <c r="I113" s="97">
        <v>0</v>
      </c>
      <c r="J113" s="97">
        <f>G113*0.5</f>
        <v>636</v>
      </c>
      <c r="K113" s="97">
        <v>0</v>
      </c>
      <c r="L113" s="97">
        <v>0</v>
      </c>
      <c r="M113" s="97">
        <v>0</v>
      </c>
      <c r="N113" s="97">
        <v>0</v>
      </c>
      <c r="O113" s="97">
        <v>0</v>
      </c>
      <c r="P113" s="97">
        <v>0</v>
      </c>
      <c r="Q113" s="97">
        <f>G113*0.5</f>
        <v>636</v>
      </c>
      <c r="R113" s="97">
        <v>0</v>
      </c>
      <c r="S113" s="97">
        <v>0</v>
      </c>
      <c r="T113" s="97">
        <v>0</v>
      </c>
      <c r="U113" s="34">
        <f t="shared" si="17"/>
        <v>636</v>
      </c>
    </row>
    <row r="114" spans="1:21">
      <c r="A114" s="151" t="s">
        <v>255</v>
      </c>
      <c r="B114" s="152" t="s">
        <v>256</v>
      </c>
      <c r="C114" s="153" t="s">
        <v>237</v>
      </c>
      <c r="D114" s="8"/>
      <c r="E114" s="37"/>
      <c r="F114" s="53">
        <v>30</v>
      </c>
      <c r="G114" s="53">
        <v>114.47</v>
      </c>
      <c r="H114" s="127">
        <f>G114*F114/1000</f>
        <v>3.4340999999999999</v>
      </c>
      <c r="I114" s="97"/>
      <c r="J114" s="97"/>
      <c r="K114" s="97">
        <v>0</v>
      </c>
      <c r="L114" s="97">
        <v>0</v>
      </c>
      <c r="M114" s="97">
        <v>0</v>
      </c>
      <c r="N114" s="97">
        <v>0</v>
      </c>
      <c r="O114" s="97">
        <v>0</v>
      </c>
      <c r="P114" s="97">
        <v>0</v>
      </c>
      <c r="Q114" s="97">
        <f>G114*30</f>
        <v>3434.1</v>
      </c>
      <c r="R114" s="97">
        <v>0</v>
      </c>
      <c r="S114" s="97">
        <v>0</v>
      </c>
      <c r="T114" s="97">
        <v>0</v>
      </c>
      <c r="U114" s="34">
        <f t="shared" si="17"/>
        <v>3434.1</v>
      </c>
    </row>
    <row r="115" spans="1:21">
      <c r="A115" s="135" t="s">
        <v>243</v>
      </c>
      <c r="B115" s="10" t="s">
        <v>56</v>
      </c>
      <c r="C115" s="26" t="s">
        <v>54</v>
      </c>
      <c r="D115" s="8"/>
      <c r="E115" s="37"/>
      <c r="F115" s="53">
        <v>1</v>
      </c>
      <c r="G115" s="53">
        <v>86.15</v>
      </c>
      <c r="H115" s="127">
        <f t="shared" si="23"/>
        <v>8.6150000000000004E-2</v>
      </c>
      <c r="I115" s="97"/>
      <c r="J115" s="97"/>
      <c r="K115" s="97">
        <v>0</v>
      </c>
      <c r="L115" s="97">
        <v>0</v>
      </c>
      <c r="M115" s="97">
        <v>0</v>
      </c>
      <c r="N115" s="97">
        <v>0</v>
      </c>
      <c r="O115" s="97">
        <v>0</v>
      </c>
      <c r="P115" s="97">
        <v>0</v>
      </c>
      <c r="Q115" s="97">
        <f>G115</f>
        <v>86.15</v>
      </c>
      <c r="R115" s="97">
        <v>0</v>
      </c>
      <c r="S115" s="97">
        <v>0</v>
      </c>
      <c r="T115" s="97">
        <v>0</v>
      </c>
      <c r="U115" s="34">
        <f t="shared" si="17"/>
        <v>86.15</v>
      </c>
    </row>
    <row r="116" spans="1:21">
      <c r="A116" s="135" t="s">
        <v>123</v>
      </c>
      <c r="B116" s="10" t="s">
        <v>246</v>
      </c>
      <c r="C116" s="26"/>
      <c r="D116" s="8"/>
      <c r="E116" s="37"/>
      <c r="F116" s="53">
        <v>1</v>
      </c>
      <c r="G116" s="53">
        <v>1347</v>
      </c>
      <c r="H116" s="127">
        <f t="shared" ref="H116:H118" si="25">G116*F116/1000</f>
        <v>1.347</v>
      </c>
      <c r="I116" s="97"/>
      <c r="J116" s="97"/>
      <c r="K116" s="97">
        <v>0</v>
      </c>
      <c r="L116" s="97">
        <v>0</v>
      </c>
      <c r="M116" s="97">
        <v>0</v>
      </c>
      <c r="N116" s="97">
        <v>0</v>
      </c>
      <c r="O116" s="97">
        <v>0</v>
      </c>
      <c r="P116" s="97">
        <v>0</v>
      </c>
      <c r="Q116" s="97">
        <f>G116</f>
        <v>1347</v>
      </c>
      <c r="R116" s="97">
        <v>0</v>
      </c>
      <c r="S116" s="97">
        <v>0</v>
      </c>
      <c r="T116" s="97">
        <v>0</v>
      </c>
      <c r="U116" s="34">
        <f t="shared" si="17"/>
        <v>1347</v>
      </c>
    </row>
    <row r="117" spans="1:21">
      <c r="A117" s="128" t="s">
        <v>180</v>
      </c>
      <c r="B117" s="129" t="s">
        <v>247</v>
      </c>
      <c r="C117" s="128" t="s">
        <v>54</v>
      </c>
      <c r="D117" s="8"/>
      <c r="E117" s="37"/>
      <c r="F117" s="53">
        <v>1</v>
      </c>
      <c r="G117" s="53">
        <v>206.54</v>
      </c>
      <c r="H117" s="127">
        <f t="shared" si="25"/>
        <v>0.20654</v>
      </c>
      <c r="I117" s="97"/>
      <c r="J117" s="97"/>
      <c r="K117" s="97">
        <v>0</v>
      </c>
      <c r="L117" s="97">
        <v>0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f>G117</f>
        <v>206.54</v>
      </c>
      <c r="S117" s="97">
        <v>0</v>
      </c>
      <c r="T117" s="97">
        <v>0</v>
      </c>
      <c r="U117" s="34">
        <f t="shared" si="17"/>
        <v>206.54</v>
      </c>
    </row>
    <row r="118" spans="1:21">
      <c r="A118" s="160" t="s">
        <v>251</v>
      </c>
      <c r="B118" s="130" t="s">
        <v>252</v>
      </c>
      <c r="C118" s="161" t="s">
        <v>54</v>
      </c>
      <c r="D118" s="8"/>
      <c r="E118" s="37"/>
      <c r="F118" s="53">
        <v>1</v>
      </c>
      <c r="G118" s="53">
        <v>185.08</v>
      </c>
      <c r="H118" s="127">
        <f t="shared" si="25"/>
        <v>0.18508000000000002</v>
      </c>
      <c r="I118" s="97">
        <v>0</v>
      </c>
      <c r="J118" s="97">
        <v>0</v>
      </c>
      <c r="K118" s="97">
        <v>0</v>
      </c>
      <c r="L118" s="97">
        <v>0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f>G118</f>
        <v>185.08</v>
      </c>
      <c r="S118" s="97">
        <v>0</v>
      </c>
      <c r="T118" s="97">
        <v>0</v>
      </c>
      <c r="U118" s="34">
        <f t="shared" si="17"/>
        <v>185.08</v>
      </c>
    </row>
    <row r="119" spans="1:21" ht="25.5">
      <c r="A119" s="128" t="s">
        <v>126</v>
      </c>
      <c r="B119" s="129" t="s">
        <v>248</v>
      </c>
      <c r="C119" s="128" t="s">
        <v>119</v>
      </c>
      <c r="D119" s="8"/>
      <c r="E119" s="37"/>
      <c r="F119" s="53">
        <v>6</v>
      </c>
      <c r="G119" s="53">
        <v>1365</v>
      </c>
      <c r="H119" s="127">
        <f>G119*F119/1000</f>
        <v>8.19</v>
      </c>
      <c r="I119" s="97">
        <v>0</v>
      </c>
      <c r="J119" s="97">
        <f>G119*0.5</f>
        <v>682.5</v>
      </c>
      <c r="K119" s="97">
        <v>0</v>
      </c>
      <c r="L119" s="97">
        <v>0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0</v>
      </c>
      <c r="S119" s="97">
        <f>G119*6</f>
        <v>8190</v>
      </c>
      <c r="T119" s="97">
        <v>0</v>
      </c>
      <c r="U119" s="34">
        <f t="shared" si="17"/>
        <v>8190</v>
      </c>
    </row>
    <row r="120" spans="1:21" ht="25.5">
      <c r="A120" s="128" t="s">
        <v>126</v>
      </c>
      <c r="B120" s="129" t="s">
        <v>175</v>
      </c>
      <c r="C120" s="128" t="s">
        <v>119</v>
      </c>
      <c r="D120" s="8"/>
      <c r="E120" s="37"/>
      <c r="F120" s="53">
        <v>2</v>
      </c>
      <c r="G120" s="53">
        <v>1187</v>
      </c>
      <c r="H120" s="127">
        <f>G120*F120/1000</f>
        <v>2.3740000000000001</v>
      </c>
      <c r="I120" s="97">
        <v>0</v>
      </c>
      <c r="J120" s="97">
        <f>G120*0.5</f>
        <v>593.5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f>G120*2</f>
        <v>2374</v>
      </c>
      <c r="T120" s="97">
        <v>0</v>
      </c>
      <c r="U120" s="34">
        <f t="shared" ref="U120:U121" si="26">SUM(K120:T120)</f>
        <v>2374</v>
      </c>
    </row>
    <row r="121" spans="1:21">
      <c r="A121" s="153" t="s">
        <v>250</v>
      </c>
      <c r="B121" s="152" t="s">
        <v>249</v>
      </c>
      <c r="C121" s="153" t="s">
        <v>204</v>
      </c>
      <c r="D121" s="8"/>
      <c r="E121" s="37"/>
      <c r="F121" s="53">
        <v>1</v>
      </c>
      <c r="G121" s="53">
        <f>1106.54+5100.39</f>
        <v>6206.93</v>
      </c>
      <c r="H121" s="127">
        <f>G121*F121/1000</f>
        <v>6.2069300000000007</v>
      </c>
      <c r="I121" s="97"/>
      <c r="J121" s="97"/>
      <c r="K121" s="97">
        <v>0</v>
      </c>
      <c r="L121" s="97">
        <v>0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0</v>
      </c>
      <c r="S121" s="97">
        <v>0</v>
      </c>
      <c r="T121" s="97">
        <f>G121</f>
        <v>6206.93</v>
      </c>
      <c r="U121" s="34">
        <f t="shared" si="26"/>
        <v>6206.93</v>
      </c>
    </row>
    <row r="122" spans="1:21">
      <c r="A122" s="128" t="s">
        <v>120</v>
      </c>
      <c r="B122" s="129" t="s">
        <v>259</v>
      </c>
      <c r="C122" s="128" t="s">
        <v>31</v>
      </c>
      <c r="D122" s="8"/>
      <c r="E122" s="37"/>
      <c r="F122" s="53">
        <f>(168.77+144.21+56.81+128.68+74.79+40.2)-(5.298*6)</f>
        <v>581.67200000000003</v>
      </c>
      <c r="G122" s="53">
        <v>44.31</v>
      </c>
      <c r="H122" s="53">
        <f t="shared" ref="H122" si="27">G122*F122/1000</f>
        <v>25.773886320000003</v>
      </c>
      <c r="I122" s="97">
        <v>0</v>
      </c>
      <c r="J122" s="97">
        <v>0</v>
      </c>
      <c r="K122" s="97">
        <v>0</v>
      </c>
      <c r="L122" s="97">
        <v>0</v>
      </c>
      <c r="M122" s="97">
        <v>0</v>
      </c>
      <c r="N122" s="97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f>G122*F122</f>
        <v>25773.886320000001</v>
      </c>
      <c r="U122" s="34">
        <f t="shared" ref="U122" si="28">SUM(I122:T122)</f>
        <v>25773.886320000001</v>
      </c>
    </row>
    <row r="123" spans="1:21" s="18" customFormat="1">
      <c r="A123" s="98"/>
      <c r="B123" s="99" t="s">
        <v>87</v>
      </c>
      <c r="C123" s="98"/>
      <c r="D123" s="98"/>
      <c r="E123" s="92"/>
      <c r="F123" s="92"/>
      <c r="G123" s="92"/>
      <c r="H123" s="45">
        <f>SUM(H96:H122)</f>
        <v>135.71465563999999</v>
      </c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44">
        <f>SUM(U96:U122)</f>
        <v>135714.65563999998</v>
      </c>
    </row>
    <row r="124" spans="1:21">
      <c r="A124" s="95"/>
      <c r="B124" s="100"/>
      <c r="C124" s="101"/>
      <c r="D124" s="101"/>
      <c r="E124" s="53"/>
      <c r="F124" s="53"/>
      <c r="G124" s="53"/>
      <c r="H124" s="102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126"/>
    </row>
    <row r="125" spans="1:21" ht="12" customHeight="1">
      <c r="A125" s="139"/>
      <c r="B125" s="17" t="s">
        <v>88</v>
      </c>
      <c r="C125" s="63"/>
      <c r="D125" s="87"/>
      <c r="E125" s="53"/>
      <c r="F125" s="53"/>
      <c r="G125" s="53"/>
      <c r="H125" s="103">
        <f>H123/E126/12*1000</f>
        <v>4.4064344411543157</v>
      </c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126"/>
    </row>
    <row r="126" spans="1:21" s="18" customFormat="1">
      <c r="A126" s="82"/>
      <c r="B126" s="104" t="s">
        <v>89</v>
      </c>
      <c r="C126" s="105"/>
      <c r="D126" s="104"/>
      <c r="E126" s="142">
        <v>2566.6</v>
      </c>
      <c r="F126" s="106">
        <f>SUM(E126*12)</f>
        <v>30799.199999999997</v>
      </c>
      <c r="G126" s="107">
        <f>H84+H125</f>
        <v>29.140154656129596</v>
      </c>
      <c r="H126" s="108">
        <f>SUM(F126*G126/1000)</f>
        <v>897.4934512850665</v>
      </c>
      <c r="I126" s="92">
        <f t="shared" ref="I126:R126" si="29">SUM(I11:I125)</f>
        <v>64781.645459744701</v>
      </c>
      <c r="J126" s="92">
        <f t="shared" si="29"/>
        <v>52977.413492226573</v>
      </c>
      <c r="K126" s="92">
        <f t="shared" si="29"/>
        <v>81241.495421666681</v>
      </c>
      <c r="L126" s="92">
        <f t="shared" si="29"/>
        <v>45536.754461666664</v>
      </c>
      <c r="M126" s="92">
        <f t="shared" si="29"/>
        <v>223516.28648231114</v>
      </c>
      <c r="N126" s="92">
        <f t="shared" si="29"/>
        <v>79666.450352111104</v>
      </c>
      <c r="O126" s="92">
        <f t="shared" si="29"/>
        <v>41148.454132111103</v>
      </c>
      <c r="P126" s="92">
        <f t="shared" si="29"/>
        <v>43727.977232111109</v>
      </c>
      <c r="Q126" s="92">
        <f t="shared" si="29"/>
        <v>83568.859522311119</v>
      </c>
      <c r="R126" s="92">
        <f t="shared" si="29"/>
        <v>46554.684132111106</v>
      </c>
      <c r="S126" s="92">
        <f>SUM(S11:S125)</f>
        <v>55905.661211666666</v>
      </c>
      <c r="T126" s="92">
        <f>SUM(T11:T125)</f>
        <v>81528.574285666662</v>
      </c>
      <c r="U126" s="44">
        <f>U82+U123</f>
        <v>755783.35723373329</v>
      </c>
    </row>
    <row r="127" spans="1:21">
      <c r="A127" s="65"/>
      <c r="B127" s="65"/>
      <c r="C127" s="65"/>
      <c r="D127" s="65"/>
      <c r="E127" s="109"/>
      <c r="F127" s="109"/>
      <c r="G127" s="109"/>
      <c r="H127" s="109"/>
      <c r="I127" s="109"/>
      <c r="J127" s="109"/>
      <c r="K127" s="109"/>
      <c r="L127" s="109"/>
      <c r="M127" s="65"/>
      <c r="N127" s="109"/>
      <c r="O127" s="65"/>
      <c r="P127" s="65"/>
      <c r="Q127" s="65"/>
      <c r="R127" s="65"/>
      <c r="S127" s="65"/>
      <c r="T127" s="65"/>
      <c r="U127" s="65"/>
    </row>
    <row r="128" spans="1:21">
      <c r="A128" s="65"/>
      <c r="B128" s="65"/>
      <c r="C128" s="65"/>
      <c r="D128" s="65"/>
      <c r="E128" s="109"/>
      <c r="F128" s="109"/>
      <c r="G128" s="109"/>
      <c r="H128" s="109"/>
      <c r="I128" s="109"/>
      <c r="J128" s="110"/>
      <c r="K128" s="111"/>
      <c r="L128" s="110"/>
      <c r="M128" s="109"/>
      <c r="N128" s="65"/>
      <c r="O128" s="65"/>
      <c r="P128" s="65"/>
      <c r="Q128" s="65"/>
      <c r="R128" s="65"/>
      <c r="S128" s="65"/>
      <c r="T128" s="65"/>
      <c r="U128" s="65"/>
    </row>
    <row r="129" spans="1:21" ht="45">
      <c r="A129" s="65"/>
      <c r="B129" s="112" t="s">
        <v>177</v>
      </c>
      <c r="C129" s="166">
        <v>3522.7</v>
      </c>
      <c r="D129" s="167"/>
      <c r="E129" s="167"/>
      <c r="F129" s="168"/>
      <c r="G129" s="109"/>
      <c r="H129" s="109"/>
      <c r="I129" s="109"/>
      <c r="J129" s="110"/>
      <c r="K129" s="111"/>
      <c r="L129" s="110"/>
      <c r="M129" s="109"/>
      <c r="N129" s="65"/>
      <c r="O129" s="65"/>
      <c r="P129" s="65"/>
      <c r="Q129" s="65"/>
      <c r="R129" s="65"/>
      <c r="S129" s="65"/>
      <c r="T129" s="65"/>
      <c r="U129" s="65"/>
    </row>
    <row r="130" spans="1:21" ht="30">
      <c r="A130" s="65"/>
      <c r="B130" s="21" t="s">
        <v>225</v>
      </c>
      <c r="C130" s="166">
        <f>(58489.89*2)+(69035.22*10)</f>
        <v>807331.98</v>
      </c>
      <c r="D130" s="167"/>
      <c r="E130" s="167"/>
      <c r="F130" s="168"/>
      <c r="G130" s="109"/>
      <c r="H130" s="109"/>
      <c r="I130" s="109"/>
      <c r="J130" s="110"/>
      <c r="K130" s="111"/>
      <c r="L130" s="110"/>
      <c r="M130" s="109"/>
      <c r="N130" s="65"/>
      <c r="O130" s="65"/>
      <c r="P130" s="65"/>
      <c r="Q130" s="65"/>
      <c r="R130" s="65"/>
      <c r="S130" s="65"/>
      <c r="T130" s="65"/>
      <c r="U130" s="65"/>
    </row>
    <row r="131" spans="1:21" ht="30">
      <c r="A131" s="65"/>
      <c r="B131" s="21" t="s">
        <v>226</v>
      </c>
      <c r="C131" s="166">
        <f>SUM(U126-U123)+96841</f>
        <v>716909.70159373328</v>
      </c>
      <c r="D131" s="167"/>
      <c r="E131" s="167"/>
      <c r="F131" s="168"/>
      <c r="G131" s="109"/>
      <c r="H131" s="109"/>
      <c r="I131" s="109"/>
      <c r="J131" s="110"/>
      <c r="K131" s="111"/>
      <c r="L131" s="110"/>
      <c r="M131" s="109"/>
      <c r="N131" s="65"/>
      <c r="O131" s="65"/>
      <c r="P131" s="65"/>
      <c r="Q131" s="65"/>
      <c r="R131" s="65"/>
      <c r="S131" s="65"/>
      <c r="T131" s="65"/>
      <c r="U131" s="65"/>
    </row>
    <row r="132" spans="1:21" ht="30">
      <c r="A132" s="65"/>
      <c r="B132" s="21" t="s">
        <v>227</v>
      </c>
      <c r="C132" s="166">
        <f>SUM(U123)+28177.2</f>
        <v>163891.85563999999</v>
      </c>
      <c r="D132" s="167"/>
      <c r="E132" s="167"/>
      <c r="F132" s="168"/>
      <c r="G132" s="109"/>
      <c r="H132" s="109"/>
      <c r="I132" s="109"/>
      <c r="J132" s="110"/>
      <c r="K132" s="111"/>
      <c r="L132" s="110"/>
      <c r="M132" s="109"/>
      <c r="N132" s="65"/>
      <c r="O132" s="65"/>
      <c r="P132" s="65"/>
      <c r="Q132" s="65"/>
      <c r="R132" s="65"/>
      <c r="S132" s="65"/>
      <c r="T132" s="65"/>
      <c r="U132" s="65"/>
    </row>
    <row r="133" spans="1:21" ht="18">
      <c r="A133" s="65"/>
      <c r="B133" s="118" t="s">
        <v>228</v>
      </c>
      <c r="C133" s="166">
        <f>64720.15+61776.47+48229.64+77557.2+66061.5+68285+70385.72+87747.1+59390.74+61087.03+71667.55+67172.88</f>
        <v>804080.9800000001</v>
      </c>
      <c r="D133" s="167"/>
      <c r="E133" s="167"/>
      <c r="F133" s="168"/>
      <c r="G133" s="65"/>
      <c r="H133" s="113" t="s">
        <v>94</v>
      </c>
      <c r="J133" s="114"/>
      <c r="K133" s="115"/>
      <c r="L133" s="116"/>
      <c r="M133" s="113"/>
      <c r="N133" s="113"/>
      <c r="O133" s="65"/>
      <c r="P133" s="65"/>
      <c r="Q133" s="65"/>
      <c r="R133" s="65"/>
      <c r="S133" s="65"/>
      <c r="T133" s="65"/>
      <c r="U133" s="65"/>
    </row>
    <row r="134" spans="1:21" ht="78.75" customHeight="1">
      <c r="A134" s="65"/>
      <c r="B134" s="22" t="s">
        <v>253</v>
      </c>
      <c r="C134" s="169">
        <v>233369.69</v>
      </c>
      <c r="D134" s="170"/>
      <c r="E134" s="170"/>
      <c r="F134" s="171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</row>
    <row r="135" spans="1:21" ht="45">
      <c r="A135" s="65"/>
      <c r="B135" s="117" t="s">
        <v>254</v>
      </c>
      <c r="C135" s="163">
        <f>(C131+C132-C130)+C129</f>
        <v>76992.277233733257</v>
      </c>
      <c r="D135" s="164"/>
      <c r="E135" s="164"/>
      <c r="F135" s="1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</row>
    <row r="137" spans="1:21">
      <c r="J137" s="3"/>
      <c r="K137" s="4"/>
      <c r="L137" s="4"/>
      <c r="M137" s="2"/>
    </row>
    <row r="138" spans="1:21">
      <c r="G138" s="5"/>
      <c r="H138" s="5"/>
    </row>
    <row r="139" spans="1:21">
      <c r="G139" s="6"/>
    </row>
  </sheetData>
  <mergeCells count="12">
    <mergeCell ref="B3:L3"/>
    <mergeCell ref="B4:L4"/>
    <mergeCell ref="B5:L5"/>
    <mergeCell ref="B6:L6"/>
    <mergeCell ref="C129:F129"/>
    <mergeCell ref="X82:AA82"/>
    <mergeCell ref="C135:F135"/>
    <mergeCell ref="C130:F130"/>
    <mergeCell ref="C131:F131"/>
    <mergeCell ref="C132:F132"/>
    <mergeCell ref="C133:F133"/>
    <mergeCell ref="C134:F134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Косм.,3</vt:lpstr>
      <vt:lpstr>'Косм.,3'!Область_печати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2018-03-27T07:54:52Z</dcterms:modified>
</cp:coreProperties>
</file>