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9920" windowHeight="7695"/>
  </bookViews>
  <sheets>
    <sheet name="Стр.,9а" sheetId="1" r:id="rId1"/>
    <sheet name="Лист1" sheetId="2" r:id="rId2"/>
  </sheets>
  <definedNames>
    <definedName name="_xlnm.Print_Area" localSheetId="0">'Стр.,9а'!$A$1:$U$132</definedName>
  </definedNames>
  <calcPr calcId="124519"/>
</workbook>
</file>

<file path=xl/calcChain.xml><?xml version="1.0" encoding="utf-8"?>
<calcChain xmlns="http://schemas.openxmlformats.org/spreadsheetml/2006/main">
  <c r="U120" i="1"/>
  <c r="F119"/>
  <c r="H119"/>
  <c r="H120" s="1"/>
  <c r="T119"/>
  <c r="U119" s="1"/>
  <c r="F107"/>
  <c r="N107" s="1"/>
  <c r="U107" s="1"/>
  <c r="L40"/>
  <c r="K40"/>
  <c r="F40"/>
  <c r="C130"/>
  <c r="C127"/>
  <c r="R118"/>
  <c r="G118"/>
  <c r="H118" s="1"/>
  <c r="R95"/>
  <c r="H95"/>
  <c r="H107" l="1"/>
  <c r="T63"/>
  <c r="T88"/>
  <c r="S88"/>
  <c r="S63"/>
  <c r="S106"/>
  <c r="R89"/>
  <c r="R63"/>
  <c r="R116"/>
  <c r="U118" l="1"/>
  <c r="U58"/>
  <c r="U60"/>
  <c r="U64"/>
  <c r="U72"/>
  <c r="U73"/>
  <c r="U74"/>
  <c r="U76"/>
  <c r="U37"/>
  <c r="U30"/>
  <c r="U31"/>
  <c r="Q63"/>
  <c r="P106"/>
  <c r="O100"/>
  <c r="O108"/>
  <c r="U108" s="1"/>
  <c r="Q93" l="1"/>
  <c r="Q117"/>
  <c r="U117" s="1"/>
  <c r="F117"/>
  <c r="H117" s="1"/>
  <c r="Q88"/>
  <c r="Q116"/>
  <c r="U116" s="1"/>
  <c r="H116"/>
  <c r="Q89"/>
  <c r="T94"/>
  <c r="S94"/>
  <c r="R94"/>
  <c r="Q94"/>
  <c r="P94"/>
  <c r="P115"/>
  <c r="U115" s="1"/>
  <c r="F115"/>
  <c r="H115" s="1"/>
  <c r="O109"/>
  <c r="U109" s="1"/>
  <c r="F109"/>
  <c r="H109" s="1"/>
  <c r="O94" l="1"/>
  <c r="N94"/>
  <c r="M94"/>
  <c r="N93"/>
  <c r="P114"/>
  <c r="U114" s="1"/>
  <c r="H114"/>
  <c r="P113"/>
  <c r="U113" s="1"/>
  <c r="H113"/>
  <c r="P112"/>
  <c r="U112" s="1"/>
  <c r="H112"/>
  <c r="P111"/>
  <c r="U111" s="1"/>
  <c r="H111"/>
  <c r="P110"/>
  <c r="U110" s="1"/>
  <c r="H110"/>
  <c r="O63" l="1"/>
  <c r="N106"/>
  <c r="U106" s="1"/>
  <c r="H106" l="1"/>
  <c r="N105" l="1"/>
  <c r="U105" s="1"/>
  <c r="H105"/>
  <c r="N91"/>
  <c r="F91"/>
  <c r="N90"/>
  <c r="N63"/>
  <c r="M103" l="1"/>
  <c r="U103" s="1"/>
  <c r="M104"/>
  <c r="U104" s="1"/>
  <c r="F104"/>
  <c r="H104" s="1"/>
  <c r="K101"/>
  <c r="U101" s="1"/>
  <c r="H101"/>
  <c r="L98" l="1"/>
  <c r="L93"/>
  <c r="L94"/>
  <c r="K94"/>
  <c r="M63"/>
  <c r="M88"/>
  <c r="M102"/>
  <c r="U102" s="1"/>
  <c r="H102"/>
  <c r="L88"/>
  <c r="L63"/>
  <c r="K90"/>
  <c r="K91"/>
  <c r="K89"/>
  <c r="K63"/>
  <c r="U63" s="1"/>
  <c r="K100"/>
  <c r="U100" s="1"/>
  <c r="J99"/>
  <c r="U99" s="1"/>
  <c r="F99"/>
  <c r="H99" s="1"/>
  <c r="J94"/>
  <c r="J93"/>
  <c r="J95"/>
  <c r="J98"/>
  <c r="U98" s="1"/>
  <c r="H98"/>
  <c r="J92" l="1"/>
  <c r="I97"/>
  <c r="U97" s="1"/>
  <c r="H97"/>
  <c r="I96"/>
  <c r="U96" s="1"/>
  <c r="H96"/>
  <c r="I95"/>
  <c r="U95" s="1"/>
  <c r="I94"/>
  <c r="U94" s="1"/>
  <c r="I93"/>
  <c r="U93" s="1"/>
  <c r="I92" l="1"/>
  <c r="U92" s="1"/>
  <c r="H92"/>
  <c r="I91" l="1"/>
  <c r="U91" s="1"/>
  <c r="H91"/>
  <c r="I88"/>
  <c r="U88" s="1"/>
  <c r="I90"/>
  <c r="U90" s="1"/>
  <c r="H90"/>
  <c r="I89"/>
  <c r="U89" s="1"/>
  <c r="H108" l="1"/>
  <c r="H57"/>
  <c r="F58"/>
  <c r="H58" s="1"/>
  <c r="H89" l="1"/>
  <c r="H100" l="1"/>
  <c r="T52" l="1"/>
  <c r="P52"/>
  <c r="L52"/>
  <c r="Q51"/>
  <c r="L48"/>
  <c r="U52" l="1"/>
  <c r="H94"/>
  <c r="H103" l="1"/>
  <c r="H88" l="1"/>
  <c r="H93" l="1"/>
  <c r="T78" l="1"/>
  <c r="U78" s="1"/>
  <c r="T41" l="1"/>
  <c r="S41"/>
  <c r="T35"/>
  <c r="S35"/>
  <c r="Q70"/>
  <c r="U70" s="1"/>
  <c r="L51"/>
  <c r="U51" s="1"/>
  <c r="M56"/>
  <c r="F28"/>
  <c r="R28" s="1"/>
  <c r="M28" l="1"/>
  <c r="O28"/>
  <c r="Q28"/>
  <c r="N28"/>
  <c r="P28"/>
  <c r="L41"/>
  <c r="L35"/>
  <c r="K41"/>
  <c r="K35"/>
  <c r="F16"/>
  <c r="H78"/>
  <c r="J41"/>
  <c r="J35"/>
  <c r="I57"/>
  <c r="U57" s="1"/>
  <c r="F52"/>
  <c r="I41"/>
  <c r="U41" s="1"/>
  <c r="I35"/>
  <c r="U35" s="1"/>
  <c r="U28" l="1"/>
  <c r="S16"/>
  <c r="Q16"/>
  <c r="O16"/>
  <c r="M16"/>
  <c r="I16"/>
  <c r="U16" s="1"/>
  <c r="K16"/>
  <c r="H16"/>
  <c r="F56"/>
  <c r="T56" s="1"/>
  <c r="S56" l="1"/>
  <c r="K56"/>
  <c r="L56"/>
  <c r="I56"/>
  <c r="U56" s="1"/>
  <c r="J56"/>
  <c r="H56"/>
  <c r="F47"/>
  <c r="H37"/>
  <c r="M47" l="1"/>
  <c r="Q47"/>
  <c r="F39"/>
  <c r="F36"/>
  <c r="F21"/>
  <c r="M21" s="1"/>
  <c r="U21" s="1"/>
  <c r="F19"/>
  <c r="U47" l="1"/>
  <c r="M19"/>
  <c r="U19" s="1"/>
  <c r="T36"/>
  <c r="S36"/>
  <c r="K36"/>
  <c r="L36"/>
  <c r="S39"/>
  <c r="T39"/>
  <c r="L39"/>
  <c r="K39"/>
  <c r="I36"/>
  <c r="J36"/>
  <c r="I39"/>
  <c r="J39"/>
  <c r="F60"/>
  <c r="H60" s="1"/>
  <c r="H21"/>
  <c r="F20"/>
  <c r="F61"/>
  <c r="F55"/>
  <c r="F50"/>
  <c r="L50" s="1"/>
  <c r="F27"/>
  <c r="U39" l="1"/>
  <c r="U36"/>
  <c r="O50"/>
  <c r="M20"/>
  <c r="U20" s="1"/>
  <c r="S55"/>
  <c r="T55"/>
  <c r="L55"/>
  <c r="K55"/>
  <c r="J61"/>
  <c r="S61"/>
  <c r="R61"/>
  <c r="P61"/>
  <c r="N61"/>
  <c r="M61"/>
  <c r="T61"/>
  <c r="Q61"/>
  <c r="O61"/>
  <c r="L61"/>
  <c r="K61"/>
  <c r="R27"/>
  <c r="P27"/>
  <c r="N27"/>
  <c r="Q27"/>
  <c r="O27"/>
  <c r="M27"/>
  <c r="I55"/>
  <c r="J55"/>
  <c r="H50"/>
  <c r="H61"/>
  <c r="I61"/>
  <c r="U61" s="1"/>
  <c r="F45"/>
  <c r="H27"/>
  <c r="U27" l="1"/>
  <c r="U55"/>
  <c r="U50"/>
  <c r="M45"/>
  <c r="Q45"/>
  <c r="F15"/>
  <c r="H36"/>
  <c r="H74"/>
  <c r="U45" l="1"/>
  <c r="S15"/>
  <c r="Q15"/>
  <c r="O15"/>
  <c r="M15"/>
  <c r="T15"/>
  <c r="R15"/>
  <c r="P15"/>
  <c r="N15"/>
  <c r="L15"/>
  <c r="K15"/>
  <c r="I15"/>
  <c r="J15"/>
  <c r="H73"/>
  <c r="U15" l="1"/>
  <c r="F14"/>
  <c r="M14" s="1"/>
  <c r="U14" s="1"/>
  <c r="F17"/>
  <c r="F18"/>
  <c r="M17" l="1"/>
  <c r="U17" s="1"/>
  <c r="M18"/>
  <c r="U18" s="1"/>
  <c r="F123"/>
  <c r="H122"/>
  <c r="E81"/>
  <c r="H84" s="1"/>
  <c r="F79"/>
  <c r="H76"/>
  <c r="H72"/>
  <c r="H70"/>
  <c r="F69"/>
  <c r="F68"/>
  <c r="F67"/>
  <c r="F66"/>
  <c r="F65"/>
  <c r="H64"/>
  <c r="H63"/>
  <c r="H55"/>
  <c r="H52"/>
  <c r="H51"/>
  <c r="F49"/>
  <c r="F48"/>
  <c r="H47"/>
  <c r="F46"/>
  <c r="H45"/>
  <c r="F44"/>
  <c r="H41"/>
  <c r="H39"/>
  <c r="F38"/>
  <c r="H35"/>
  <c r="F32"/>
  <c r="H31"/>
  <c r="H30"/>
  <c r="F29"/>
  <c r="H28"/>
  <c r="F26"/>
  <c r="F25"/>
  <c r="F24"/>
  <c r="H20"/>
  <c r="H18"/>
  <c r="H17"/>
  <c r="H14"/>
  <c r="F13"/>
  <c r="F12"/>
  <c r="F11"/>
  <c r="L49" l="1"/>
  <c r="O49"/>
  <c r="T11"/>
  <c r="R11"/>
  <c r="P11"/>
  <c r="N11"/>
  <c r="S11"/>
  <c r="Q11"/>
  <c r="O11"/>
  <c r="M11"/>
  <c r="T13"/>
  <c r="R13"/>
  <c r="P13"/>
  <c r="N13"/>
  <c r="S13"/>
  <c r="Q13"/>
  <c r="O13"/>
  <c r="M13"/>
  <c r="M44"/>
  <c r="Q44"/>
  <c r="M46"/>
  <c r="Q46"/>
  <c r="Q48"/>
  <c r="T48"/>
  <c r="M48"/>
  <c r="T12"/>
  <c r="R12"/>
  <c r="P12"/>
  <c r="N12"/>
  <c r="S12"/>
  <c r="Q12"/>
  <c r="O12"/>
  <c r="M12"/>
  <c r="U49"/>
  <c r="L13"/>
  <c r="K13"/>
  <c r="J12"/>
  <c r="L12"/>
  <c r="K12"/>
  <c r="H24"/>
  <c r="Q24"/>
  <c r="O24"/>
  <c r="R24"/>
  <c r="P24"/>
  <c r="N24"/>
  <c r="M24"/>
  <c r="H26"/>
  <c r="M26"/>
  <c r="U26" s="1"/>
  <c r="S29"/>
  <c r="Q29"/>
  <c r="O29"/>
  <c r="T29"/>
  <c r="R29"/>
  <c r="P29"/>
  <c r="N29"/>
  <c r="M29"/>
  <c r="L29"/>
  <c r="K29"/>
  <c r="H65"/>
  <c r="M65"/>
  <c r="U65" s="1"/>
  <c r="H67"/>
  <c r="M67"/>
  <c r="U67" s="1"/>
  <c r="H69"/>
  <c r="M69"/>
  <c r="U69" s="1"/>
  <c r="L11"/>
  <c r="K11"/>
  <c r="H25"/>
  <c r="R25"/>
  <c r="P25"/>
  <c r="N25"/>
  <c r="M25"/>
  <c r="Q25"/>
  <c r="O25"/>
  <c r="S32"/>
  <c r="R32"/>
  <c r="P32"/>
  <c r="N32"/>
  <c r="M32"/>
  <c r="T32"/>
  <c r="Q32"/>
  <c r="O32"/>
  <c r="K32"/>
  <c r="L32"/>
  <c r="J38"/>
  <c r="S38"/>
  <c r="T38"/>
  <c r="L38"/>
  <c r="K38"/>
  <c r="H44"/>
  <c r="H46"/>
  <c r="H66"/>
  <c r="M66"/>
  <c r="U66" s="1"/>
  <c r="H68"/>
  <c r="M68"/>
  <c r="U68" s="1"/>
  <c r="S79"/>
  <c r="R79"/>
  <c r="P79"/>
  <c r="N79"/>
  <c r="M79"/>
  <c r="T79"/>
  <c r="Q79"/>
  <c r="O79"/>
  <c r="L79"/>
  <c r="K79"/>
  <c r="I11"/>
  <c r="J11"/>
  <c r="I29"/>
  <c r="J29"/>
  <c r="I13"/>
  <c r="U13" s="1"/>
  <c r="J13"/>
  <c r="I32"/>
  <c r="U32" s="1"/>
  <c r="J32"/>
  <c r="I48"/>
  <c r="U48" s="1"/>
  <c r="J48"/>
  <c r="I79"/>
  <c r="U79" s="1"/>
  <c r="J79"/>
  <c r="I12"/>
  <c r="U12" s="1"/>
  <c r="H32"/>
  <c r="H38"/>
  <c r="I38"/>
  <c r="U38" s="1"/>
  <c r="H40"/>
  <c r="U40"/>
  <c r="H49"/>
  <c r="H79"/>
  <c r="H80" s="1"/>
  <c r="H29"/>
  <c r="H48"/>
  <c r="H11"/>
  <c r="H12"/>
  <c r="H13"/>
  <c r="H15"/>
  <c r="F81"/>
  <c r="H19"/>
  <c r="H42"/>
  <c r="H77"/>
  <c r="U29" l="1"/>
  <c r="U11"/>
  <c r="U22" s="1"/>
  <c r="U24"/>
  <c r="U46"/>
  <c r="U44"/>
  <c r="U25"/>
  <c r="S81"/>
  <c r="Q81"/>
  <c r="O81"/>
  <c r="T81"/>
  <c r="R81"/>
  <c r="P81"/>
  <c r="N81"/>
  <c r="M81"/>
  <c r="L81"/>
  <c r="K81"/>
  <c r="L123"/>
  <c r="Q123"/>
  <c r="M123"/>
  <c r="P123"/>
  <c r="S123"/>
  <c r="K123"/>
  <c r="O123"/>
  <c r="T123"/>
  <c r="N123"/>
  <c r="R123"/>
  <c r="U77"/>
  <c r="I81"/>
  <c r="J81"/>
  <c r="J123" s="1"/>
  <c r="U80"/>
  <c r="H53"/>
  <c r="H33"/>
  <c r="U53"/>
  <c r="U42"/>
  <c r="H22"/>
  <c r="H81"/>
  <c r="H82" s="1"/>
  <c r="C129"/>
  <c r="U33"/>
  <c r="U81" l="1"/>
  <c r="U82" s="1"/>
  <c r="U83" s="1"/>
  <c r="U123" s="1"/>
  <c r="C132" s="1"/>
  <c r="I123"/>
  <c r="H83"/>
  <c r="H85" s="1"/>
  <c r="G123" s="1"/>
  <c r="H123" s="1"/>
  <c r="C128" l="1"/>
</calcChain>
</file>

<file path=xl/sharedStrings.xml><?xml version="1.0" encoding="utf-8"?>
<sst xmlns="http://schemas.openxmlformats.org/spreadsheetml/2006/main" count="377" uniqueCount="272">
  <si>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</si>
  <si>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</si>
  <si>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</si>
  <si>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</si>
  <si>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</si>
  <si>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</si>
  <si>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</si>
  <si>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</si>
  <si>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</si>
  <si>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</si>
  <si>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</si>
  <si>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</si>
  <si>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</si>
  <si>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</si>
  <si>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</si>
  <si>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</si>
  <si>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</si>
  <si>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</si>
  <si>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</si>
  <si>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</si>
  <si>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</si>
  <si>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</si>
  <si>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</si>
  <si>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</si>
  <si>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</si>
  <si>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</si>
  <si>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</si>
  <si>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</si>
  <si>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</si>
  <si>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</si>
  <si>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</si>
  <si>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</si>
  <si>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</si>
  <si>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</si>
  <si>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</si>
  <si>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</si>
  <si>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</si>
  <si>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</si>
  <si>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</si>
  <si>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</si>
  <si>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</si>
  <si>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</si>
  <si>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</si>
  <si>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</si>
  <si>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</si>
  <si>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</si>
  <si>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</si>
  <si>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</si>
  <si>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</si>
  <si>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</si>
  <si>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</si>
  <si>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</si>
  <si>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</si>
  <si>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</si>
  <si>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</si>
  <si>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</si>
  <si>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</si>
  <si>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</si>
  <si>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</si>
  <si>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</si>
  <si>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</si>
  <si>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</si>
  <si>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</si>
  <si>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</si>
  <si>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</si>
  <si>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</si>
  <si>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</si>
  <si>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</si>
  <si>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м2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</si>
  <si>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</si>
  <si>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</si>
  <si>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</si>
  <si>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</si>
  <si>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</si>
  <si>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</si>
  <si>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</si>
  <si>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</si>
  <si>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</si>
  <si>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</si>
  <si>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</si>
  <si>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</si>
  <si>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</si>
  <si>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</si>
  <si>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</si>
  <si>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</si>
  <si>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</si>
  <si>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</si>
  <si>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</si>
  <si>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</si>
  <si>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</si>
  <si>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</si>
  <si>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</si>
  <si>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</si>
  <si>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</si>
  <si>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</si>
  <si>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</si>
  <si>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</si>
  <si>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</si>
  <si>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</si>
  <si>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</si>
  <si>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</si>
  <si>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</si>
  <si>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</si>
  <si>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</si>
  <si>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</si>
  <si>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 xml:space="preserve">1 раз в месяц </t>
  </si>
  <si>
    <t>1 раз в месяц</t>
  </si>
  <si>
    <t>Очистка урн от мусора</t>
  </si>
  <si>
    <t>Дератизация</t>
  </si>
  <si>
    <t>Очистка  от мусора</t>
  </si>
  <si>
    <t>Влажная протирка шкафов для щитов и слаботочн.ус.</t>
  </si>
  <si>
    <t>калькуляция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</si>
  <si>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</si>
  <si>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</si>
  <si>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</si>
  <si>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</si>
  <si>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</si>
  <si>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</si>
  <si>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</si>
  <si>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</si>
  <si>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</si>
  <si>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</si>
  <si>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</si>
  <si>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>1 раз в 2 месяца</t>
  </si>
  <si>
    <t>30 раз за сезон</t>
  </si>
  <si>
    <t>35 раз за сезон</t>
  </si>
  <si>
    <t>Вывоз снега с придомовой территории</t>
  </si>
  <si>
    <t xml:space="preserve">Осмотр рулонной кровли </t>
  </si>
  <si>
    <t>Очистка водостоков от наледи</t>
  </si>
  <si>
    <t>Очистка внутреннего водостока</t>
  </si>
  <si>
    <t>водосток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</si>
  <si>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</si>
  <si>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</si>
  <si>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</si>
  <si>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</si>
  <si>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</si>
  <si>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</si>
  <si>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</si>
  <si>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</si>
  <si>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</si>
  <si>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</si>
  <si>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</si>
  <si>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3 раза в год</t>
  </si>
  <si>
    <t>Стоимость (руб.)</t>
  </si>
  <si>
    <t>5 этажей, 4 подъезда</t>
  </si>
  <si>
    <t>договор</t>
  </si>
  <si>
    <t>ТО внутридомового газ.оборудования</t>
  </si>
  <si>
    <t>Выполне ние        май</t>
  </si>
  <si>
    <t>Подключение и отключение сварочного аппарата</t>
  </si>
  <si>
    <t>место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</si>
  <si>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</si>
  <si>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</si>
  <si>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смета</t>
  </si>
  <si>
    <t>Вывоз смета, травы, ветвей и т.п.- м/ч</t>
  </si>
  <si>
    <t xml:space="preserve">Погрузка травы, ветвей </t>
  </si>
  <si>
    <t xml:space="preserve">Пескопосыпка территории: крыльца и тротуары </t>
  </si>
  <si>
    <t>Снятие показаний эл.счетчика коммунального назначения</t>
  </si>
  <si>
    <t xml:space="preserve">Герметизация стыков трубопроводов    </t>
  </si>
  <si>
    <t>1 место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</si>
  <si>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</si>
  <si>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</si>
  <si>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</si>
  <si>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</si>
  <si>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</si>
  <si>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</si>
  <si>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</si>
  <si>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100шт</t>
  </si>
  <si>
    <t>3м</t>
  </si>
  <si>
    <t>м</t>
  </si>
  <si>
    <t>Устройство хомута диаметром до 50 мм</t>
  </si>
  <si>
    <t>1 шт</t>
  </si>
  <si>
    <t>счёт</t>
  </si>
  <si>
    <t>Смена полиэтиленовых канализационных труб 110×2000 мм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</si>
  <si>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</si>
  <si>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</si>
  <si>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</si>
  <si>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</si>
  <si>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</si>
  <si>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</si>
  <si>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</si>
  <si>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</si>
  <si>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51-024</t>
  </si>
  <si>
    <t>ТЕР 51-022</t>
  </si>
  <si>
    <t>ТЕР 53-020</t>
  </si>
  <si>
    <t>ТЕР 53-001</t>
  </si>
  <si>
    <t>ТЕР 53-021</t>
  </si>
  <si>
    <t>ТЕР 55-003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</si>
  <si>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</si>
  <si>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</si>
  <si>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</si>
  <si>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</si>
  <si>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</si>
  <si>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</si>
  <si>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</si>
  <si>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42-002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</si>
  <si>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</si>
  <si>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</si>
  <si>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</si>
  <si>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</si>
  <si>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</si>
  <si>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</si>
  <si>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</si>
  <si>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>пр.ТЕР 54-041</t>
  </si>
  <si>
    <t>ТЕР 31-066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</si>
  <si>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</si>
  <si>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</si>
  <si>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</si>
  <si>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</si>
  <si>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</si>
  <si>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</si>
  <si>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</si>
  <si>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</si>
  <si>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</si>
  <si>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33-049</t>
  </si>
  <si>
    <t>ТЕР 33-060</t>
  </si>
  <si>
    <t>пр.ТЕР 32-098</t>
  </si>
  <si>
    <t>ТЕР 2-2-1-2-7</t>
  </si>
  <si>
    <t>ТЕР 33-037</t>
  </si>
  <si>
    <t>пр.ТЕР 33-023</t>
  </si>
  <si>
    <t>ТЕР 32-101</t>
  </si>
  <si>
    <t>пр.ТЕР 2-2-2-2-30</t>
  </si>
  <si>
    <t>Смена трубопроводов на полипропиленовые трубы PN25 диаметром 20 мм</t>
  </si>
  <si>
    <t>Смена арматуры - вентилей и клапанов обратных муфтовых диаметром до 20 мм</t>
  </si>
  <si>
    <t>пр.ТЕР 32-027</t>
  </si>
  <si>
    <t>Смена вентилей диаметром до 20 мм (без стоимости маериалов)</t>
  </si>
  <si>
    <t>ТЕР 32-027</t>
  </si>
  <si>
    <t>10 м2</t>
  </si>
  <si>
    <t>Баланс выполненных работ на 01.01.2017 г. ( -долг за предприятием, +долг за населением)</t>
  </si>
  <si>
    <t>ТЕР 17-071</t>
  </si>
  <si>
    <t>Смена трубопроводов на полипропиленовые трубы PN25 диаметром 25 мм</t>
  </si>
  <si>
    <t>Водоотлив из подвала электрическими (механическими) насосами (100 м3 воды)</t>
  </si>
  <si>
    <t>10 м3</t>
  </si>
  <si>
    <t>ТЕР 11-012</t>
  </si>
  <si>
    <t>Дезинфекция подвала</t>
  </si>
  <si>
    <t>Начислено за содержание и текущий ремонт за 2017 г.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</si>
  <si>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</si>
  <si>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</si>
  <si>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</si>
  <si>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t>Смена отдельных участков наружной проводки</t>
  </si>
  <si>
    <t>ТЕР 33-034</t>
  </si>
  <si>
    <t>ТЕР 2-1-1б</t>
  </si>
  <si>
    <t>Внеплановая проверка вентканалов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</si>
  <si>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Строительная, 9а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2017 год</t>
    </r>
  </si>
  <si>
    <t>Осмотр элекгросетей, арматуры и электрооборудования на чердаках и подвалах</t>
  </si>
  <si>
    <t>Смена обделок из листовой стали, поясков, сандриков, отливов, карнизов, шириной до 0,4 м</t>
  </si>
  <si>
    <t>10 м</t>
  </si>
  <si>
    <t>пр.ТЕР 17-054</t>
  </si>
  <si>
    <t>Заделка стыков соединений стояков внутренних водостоков</t>
  </si>
  <si>
    <t>Внеплановый осмотр вводных электрических щитков</t>
  </si>
  <si>
    <t>Смена мелких покрытий из листовой стали в кровлях из рулонных и штучных материалов - желобов</t>
  </si>
  <si>
    <t>пр.ТЕР 17-049</t>
  </si>
  <si>
    <t>Ремонт смесителя без душа (смена прокладок) без снятия с места</t>
  </si>
  <si>
    <t>ТЕР 32-068</t>
  </si>
  <si>
    <t>пр.ТЕР 2-2-1-2-17</t>
  </si>
  <si>
    <t>пр.ТЕР 32-083</t>
  </si>
  <si>
    <t xml:space="preserve">Переход чугун-пластик Ду 110 </t>
  </si>
  <si>
    <t>Манжета 110 мм</t>
  </si>
  <si>
    <r>
      <t>Патрубок компенсационный ПП Д</t>
    </r>
    <r>
      <rPr>
        <sz val="8"/>
        <rFont val="Arial"/>
        <family val="2"/>
        <charset val="204"/>
      </rPr>
      <t>у</t>
    </r>
    <r>
      <rPr>
        <sz val="10"/>
        <rFont val="Arial"/>
        <family val="2"/>
        <charset val="204"/>
      </rPr>
      <t xml:space="preserve"> 100</t>
    </r>
  </si>
  <si>
    <t>Прочистка засоров ливневой канализации</t>
  </si>
  <si>
    <t>пр.ТЕР 22-038</t>
  </si>
  <si>
    <t>Простая масляная окраска ранее окрашенных входных металлических дверей (I, II, III, IV под.)</t>
  </si>
  <si>
    <t>Смена пробко-спускных кранов</t>
  </si>
  <si>
    <t>ТЕР 31-047</t>
  </si>
  <si>
    <t>Прочистка засоров канализации</t>
  </si>
  <si>
    <t>Смена светодиодных светильников в.о.</t>
  </si>
  <si>
    <t>п.м.</t>
  </si>
  <si>
    <t>Герметизация межпанельных швов (кв.39)</t>
  </si>
  <si>
    <t>Просроченная задолженность по Вашему дому по статье "Содержание и текущий ремонт МКД" на конец декабря 2017 г., составляет:</t>
  </si>
  <si>
    <t>Баланс выполненных работ на 01.01.2018 г. ( -долг за предприятием, +долг за населением)</t>
  </si>
  <si>
    <t>15 раз за сезон</t>
  </si>
  <si>
    <t>Сверхнормативы по ОДП за 1 полугодие</t>
  </si>
  <si>
    <t>Сверхнормативы по ОДП за 2 полугодие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</si>
</sst>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8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5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0" xfId="0" applyBorder="1"/>
    <xf numFmtId="0" fontId="7" fillId="0" borderId="12" xfId="0" applyFont="1" applyBorder="1" applyAlignment="1">
      <alignment horizontal="center" vertical="center" wrapText="1"/>
    </xf>
    <xf numFmtId="4" fontId="1" fillId="4" borderId="0" xfId="0" applyNumberFormat="1" applyFont="1" applyFill="1" applyBorder="1" applyAlignment="1">
      <alignment horizontal="center" vertical="center" wrapText="1"/>
    </xf>
    <xf numFmtId="0" fontId="18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4" fontId="3" fillId="10" borderId="3" xfId="0" applyNumberFormat="1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5" borderId="19" xfId="0" applyFont="1" applyFill="1" applyBorder="1"/>
    <xf numFmtId="0" fontId="1" fillId="4" borderId="20" xfId="0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4" fontId="1" fillId="8" borderId="12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left"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0" fontId="0" fillId="12" borderId="0" xfId="0" applyFill="1"/>
    <xf numFmtId="0" fontId="3" fillId="4" borderId="12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left" vertical="center"/>
    </xf>
    <xf numFmtId="4" fontId="1" fillId="4" borderId="12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K17" totalsRowShown="0">
  <autoFilter ref="A1:K17"/>
  <tableColumns count="11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Y136"/>
  <sheetViews>
    <sheetView tabSelected="1" view="pageBreakPreview" zoomScaleNormal="75" zoomScaleSheetLayoutView="100" workbookViewId="0">
      <pane ySplit="7" topLeftCell="A128" activePane="bottomLeft" state="frozen"/>
      <selection activeCell="B1" sqref="B1"/>
      <selection pane="bottomLeft" activeCell="B133" sqref="B133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11" width="9.85546875" customWidth="1"/>
    <col min="12" max="13" width="10.28515625" customWidth="1"/>
    <col min="14" max="19" width="9.85546875" customWidth="1"/>
    <col min="20" max="20" width="10.28515625" customWidth="1"/>
    <col min="21" max="21" width="12.28515625" customWidth="1"/>
    <col min="22" max="23" width="9.140625" style="125"/>
  </cols>
  <sheetData>
    <row r="1" spans="1:23" ht="14.25" customHeight="1">
      <c r="A1" s="139"/>
      <c r="B1" s="114"/>
    </row>
    <row r="2" spans="1:23">
      <c r="A2" s="114"/>
      <c r="B2" s="114"/>
    </row>
    <row r="3" spans="1:23" ht="18">
      <c r="A3" s="117"/>
      <c r="B3" s="175" t="s">
        <v>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65"/>
      <c r="N3" s="65"/>
      <c r="O3" s="65"/>
      <c r="P3" s="65"/>
      <c r="Q3" s="65"/>
      <c r="R3" s="65"/>
      <c r="S3" s="65"/>
      <c r="T3" s="65"/>
      <c r="U3" s="65"/>
    </row>
    <row r="4" spans="1:23" ht="35.25" customHeight="1">
      <c r="A4" s="65"/>
      <c r="B4" s="176" t="s">
        <v>1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65"/>
      <c r="N4" s="65"/>
      <c r="O4" s="65"/>
      <c r="P4" s="65"/>
      <c r="Q4" s="65"/>
      <c r="R4" s="65"/>
      <c r="S4" s="65"/>
      <c r="T4" s="65"/>
      <c r="U4" s="65"/>
    </row>
    <row r="5" spans="1:23" ht="18">
      <c r="A5" s="65"/>
      <c r="B5" s="176" t="s">
        <v>242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65"/>
      <c r="N5" s="65"/>
      <c r="O5" s="65"/>
      <c r="P5" s="65"/>
      <c r="Q5" s="65"/>
      <c r="R5" s="65"/>
      <c r="S5" s="65"/>
      <c r="T5" s="65"/>
      <c r="U5" s="65"/>
    </row>
    <row r="6" spans="1:23" ht="14.25">
      <c r="A6" s="65"/>
      <c r="B6" s="177" t="s">
        <v>144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65"/>
      <c r="N6" s="65"/>
      <c r="O6" s="65"/>
      <c r="P6" s="65"/>
      <c r="Q6" s="65"/>
      <c r="R6" s="65"/>
      <c r="S6" s="65"/>
      <c r="T6" s="65"/>
      <c r="U6" s="65"/>
    </row>
    <row r="7" spans="1:23" ht="54.75" customHeight="1">
      <c r="A7" s="127" t="s">
        <v>2</v>
      </c>
      <c r="B7" s="128" t="s">
        <v>3</v>
      </c>
      <c r="C7" s="128" t="s">
        <v>4</v>
      </c>
      <c r="D7" s="128" t="s">
        <v>5</v>
      </c>
      <c r="E7" s="128" t="s">
        <v>6</v>
      </c>
      <c r="F7" s="128" t="s">
        <v>7</v>
      </c>
      <c r="G7" s="128" t="s">
        <v>8</v>
      </c>
      <c r="H7" s="129" t="s">
        <v>9</v>
      </c>
      <c r="I7" s="23" t="s">
        <v>131</v>
      </c>
      <c r="J7" s="23" t="s">
        <v>132</v>
      </c>
      <c r="K7" s="23" t="s">
        <v>133</v>
      </c>
      <c r="L7" s="23" t="s">
        <v>134</v>
      </c>
      <c r="M7" s="23" t="s">
        <v>147</v>
      </c>
      <c r="N7" s="24" t="s">
        <v>135</v>
      </c>
      <c r="O7" s="24" t="s">
        <v>136</v>
      </c>
      <c r="P7" s="24" t="s">
        <v>137</v>
      </c>
      <c r="Q7" s="24" t="s">
        <v>138</v>
      </c>
      <c r="R7" s="24" t="s">
        <v>139</v>
      </c>
      <c r="S7" s="24" t="s">
        <v>140</v>
      </c>
      <c r="T7" s="24" t="s">
        <v>141</v>
      </c>
      <c r="U7" s="24" t="s">
        <v>143</v>
      </c>
      <c r="V7" s="126"/>
      <c r="W7" s="126"/>
    </row>
    <row r="8" spans="1:23">
      <c r="A8" s="130">
        <v>1</v>
      </c>
      <c r="B8" s="7">
        <v>2</v>
      </c>
      <c r="C8" s="25">
        <v>3</v>
      </c>
      <c r="D8" s="7">
        <v>4</v>
      </c>
      <c r="E8" s="7">
        <v>5</v>
      </c>
      <c r="F8" s="25">
        <v>6</v>
      </c>
      <c r="G8" s="25">
        <v>7</v>
      </c>
      <c r="H8" s="118">
        <v>8</v>
      </c>
      <c r="I8" s="119">
        <v>9</v>
      </c>
      <c r="J8" s="119">
        <v>10</v>
      </c>
      <c r="K8" s="119">
        <v>11</v>
      </c>
      <c r="L8" s="119">
        <v>12</v>
      </c>
      <c r="M8" s="119">
        <v>13</v>
      </c>
      <c r="N8" s="119">
        <v>14</v>
      </c>
      <c r="O8" s="119">
        <v>15</v>
      </c>
      <c r="P8" s="119">
        <v>16</v>
      </c>
      <c r="Q8" s="119">
        <v>17</v>
      </c>
      <c r="R8" s="119">
        <v>18</v>
      </c>
      <c r="S8" s="119">
        <v>19</v>
      </c>
      <c r="T8" s="119">
        <v>20</v>
      </c>
      <c r="U8" s="119">
        <v>21</v>
      </c>
      <c r="V8" s="126"/>
      <c r="W8" s="126"/>
    </row>
    <row r="9" spans="1:23" ht="38.25">
      <c r="A9" s="130"/>
      <c r="B9" s="9" t="s">
        <v>10</v>
      </c>
      <c r="C9" s="25"/>
      <c r="D9" s="10"/>
      <c r="E9" s="10"/>
      <c r="F9" s="25"/>
      <c r="G9" s="25"/>
      <c r="H9" s="26"/>
      <c r="I9" s="27"/>
      <c r="J9" s="27"/>
      <c r="K9" s="27"/>
      <c r="L9" s="27"/>
      <c r="M9" s="28"/>
      <c r="N9" s="29"/>
      <c r="O9" s="29"/>
      <c r="P9" s="29"/>
      <c r="Q9" s="29"/>
      <c r="R9" s="29"/>
      <c r="S9" s="29"/>
      <c r="T9" s="29"/>
      <c r="U9" s="29"/>
      <c r="V9" s="126"/>
      <c r="W9" s="126"/>
    </row>
    <row r="10" spans="1:23">
      <c r="A10" s="130"/>
      <c r="B10" s="9" t="s">
        <v>11</v>
      </c>
      <c r="C10" s="25"/>
      <c r="D10" s="10"/>
      <c r="E10" s="10"/>
      <c r="F10" s="25"/>
      <c r="G10" s="25"/>
      <c r="H10" s="26"/>
      <c r="I10" s="27"/>
      <c r="J10" s="27"/>
      <c r="K10" s="27"/>
      <c r="L10" s="27"/>
      <c r="M10" s="28"/>
      <c r="N10" s="29"/>
      <c r="O10" s="29"/>
      <c r="P10" s="29"/>
      <c r="Q10" s="29"/>
      <c r="R10" s="29"/>
      <c r="S10" s="29"/>
      <c r="T10" s="29"/>
      <c r="U10" s="29"/>
      <c r="V10" s="126"/>
      <c r="W10" s="126"/>
    </row>
    <row r="11" spans="1:23" ht="25.5">
      <c r="A11" s="130" t="s">
        <v>173</v>
      </c>
      <c r="B11" s="10" t="s">
        <v>12</v>
      </c>
      <c r="C11" s="25" t="s">
        <v>13</v>
      </c>
      <c r="D11" s="10" t="s">
        <v>14</v>
      </c>
      <c r="E11" s="30">
        <v>143.78</v>
      </c>
      <c r="F11" s="31">
        <f>SUM(E11*156/100)</f>
        <v>224.29679999999999</v>
      </c>
      <c r="G11" s="31">
        <v>187.48</v>
      </c>
      <c r="H11" s="32">
        <f t="shared" ref="H11:H20" si="0">SUM(F11*G11/1000)</f>
        <v>42.051164063999998</v>
      </c>
      <c r="I11" s="33">
        <f>F11/12*G11</f>
        <v>3504.2636719999996</v>
      </c>
      <c r="J11" s="33">
        <f>F11/12*G11</f>
        <v>3504.2636719999996</v>
      </c>
      <c r="K11" s="33">
        <f>F11/12*G11</f>
        <v>3504.2636719999996</v>
      </c>
      <c r="L11" s="33">
        <f>F11/12*G11</f>
        <v>3504.2636719999996</v>
      </c>
      <c r="M11" s="33">
        <f>F11/12*G11</f>
        <v>3504.2636719999996</v>
      </c>
      <c r="N11" s="33">
        <f>F11/12*G11</f>
        <v>3504.2636719999996</v>
      </c>
      <c r="O11" s="33">
        <f>F11/12*G11</f>
        <v>3504.2636719999996</v>
      </c>
      <c r="P11" s="33">
        <f>F11/12*G11</f>
        <v>3504.2636719999996</v>
      </c>
      <c r="Q11" s="33">
        <f>F11/12*G11</f>
        <v>3504.2636719999996</v>
      </c>
      <c r="R11" s="33">
        <f>F11/12*G11</f>
        <v>3504.2636719999996</v>
      </c>
      <c r="S11" s="33">
        <f>F11/12*G11</f>
        <v>3504.2636719999996</v>
      </c>
      <c r="T11" s="33">
        <f>F11/12*G11</f>
        <v>3504.2636719999996</v>
      </c>
      <c r="U11" s="33">
        <f>SUM(I11:T11)</f>
        <v>42051.164064000004</v>
      </c>
      <c r="V11" s="126"/>
      <c r="W11" s="126"/>
    </row>
    <row r="12" spans="1:23" ht="25.5">
      <c r="A12" s="130" t="s">
        <v>173</v>
      </c>
      <c r="B12" s="10" t="s">
        <v>15</v>
      </c>
      <c r="C12" s="25" t="s">
        <v>13</v>
      </c>
      <c r="D12" s="10" t="s">
        <v>16</v>
      </c>
      <c r="E12" s="30">
        <v>575.125</v>
      </c>
      <c r="F12" s="31">
        <f>SUM(E12*104/100)</f>
        <v>598.13</v>
      </c>
      <c r="G12" s="31">
        <v>187.48</v>
      </c>
      <c r="H12" s="32">
        <f t="shared" si="0"/>
        <v>112.13741239999999</v>
      </c>
      <c r="I12" s="33">
        <f>F12/12*G12</f>
        <v>9344.7843666666668</v>
      </c>
      <c r="J12" s="33">
        <f>F12/12*G12</f>
        <v>9344.7843666666668</v>
      </c>
      <c r="K12" s="33">
        <f>F12/12*G12</f>
        <v>9344.7843666666668</v>
      </c>
      <c r="L12" s="33">
        <f>F12/12*G12</f>
        <v>9344.7843666666668</v>
      </c>
      <c r="M12" s="33">
        <f>F12/12*G12</f>
        <v>9344.7843666666668</v>
      </c>
      <c r="N12" s="33">
        <f>F12/12*G12</f>
        <v>9344.7843666666668</v>
      </c>
      <c r="O12" s="33">
        <f>F12/12*G12</f>
        <v>9344.7843666666668</v>
      </c>
      <c r="P12" s="33">
        <f>F12/12*G12</f>
        <v>9344.7843666666668</v>
      </c>
      <c r="Q12" s="33">
        <f>F12/12*G12</f>
        <v>9344.7843666666668</v>
      </c>
      <c r="R12" s="33">
        <f>F12/12*G12</f>
        <v>9344.7843666666668</v>
      </c>
      <c r="S12" s="33">
        <f>F12/12*G12</f>
        <v>9344.7843666666668</v>
      </c>
      <c r="T12" s="33">
        <f>F12/12*G12</f>
        <v>9344.7843666666668</v>
      </c>
      <c r="U12" s="33">
        <f t="shared" ref="U12:U21" si="1">SUM(I12:T12)</f>
        <v>112137.41239999997</v>
      </c>
      <c r="V12" s="126"/>
      <c r="W12" s="126"/>
    </row>
    <row r="13" spans="1:23" ht="25.5">
      <c r="A13" s="130" t="s">
        <v>174</v>
      </c>
      <c r="B13" s="10" t="s">
        <v>17</v>
      </c>
      <c r="C13" s="25" t="s">
        <v>13</v>
      </c>
      <c r="D13" s="10" t="s">
        <v>18</v>
      </c>
      <c r="E13" s="30">
        <v>718.9</v>
      </c>
      <c r="F13" s="31">
        <f>SUM(E13*24/100)</f>
        <v>172.53599999999997</v>
      </c>
      <c r="G13" s="31">
        <v>539.51</v>
      </c>
      <c r="H13" s="32">
        <f t="shared" si="0"/>
        <v>93.084897359999985</v>
      </c>
      <c r="I13" s="33">
        <f>F13/12*G13</f>
        <v>7757.074779999999</v>
      </c>
      <c r="J13" s="33">
        <f>F13/12*G13</f>
        <v>7757.074779999999</v>
      </c>
      <c r="K13" s="33">
        <f>F13/12*G13</f>
        <v>7757.074779999999</v>
      </c>
      <c r="L13" s="33">
        <f>F13/12*G13</f>
        <v>7757.074779999999</v>
      </c>
      <c r="M13" s="33">
        <f>F13/12*G13</f>
        <v>7757.074779999999</v>
      </c>
      <c r="N13" s="33">
        <f>F13/12*G13</f>
        <v>7757.074779999999</v>
      </c>
      <c r="O13" s="33">
        <f>F13/12*G13</f>
        <v>7757.074779999999</v>
      </c>
      <c r="P13" s="33">
        <f>F13/12*G13</f>
        <v>7757.074779999999</v>
      </c>
      <c r="Q13" s="33">
        <f>F13/12*G13</f>
        <v>7757.074779999999</v>
      </c>
      <c r="R13" s="33">
        <f>F13/12*G13</f>
        <v>7757.074779999999</v>
      </c>
      <c r="S13" s="33">
        <f>F13/12*G13</f>
        <v>7757.074779999999</v>
      </c>
      <c r="T13" s="33">
        <f>F13/12*G13</f>
        <v>7757.074779999999</v>
      </c>
      <c r="U13" s="33">
        <f t="shared" si="1"/>
        <v>93084.897359999959</v>
      </c>
      <c r="V13" s="126"/>
      <c r="W13" s="126"/>
    </row>
    <row r="14" spans="1:23">
      <c r="A14" s="130" t="s">
        <v>175</v>
      </c>
      <c r="B14" s="10" t="s">
        <v>19</v>
      </c>
      <c r="C14" s="25" t="s">
        <v>20</v>
      </c>
      <c r="D14" s="10" t="s">
        <v>99</v>
      </c>
      <c r="E14" s="30">
        <v>42.2</v>
      </c>
      <c r="F14" s="31">
        <f>SUM(E14/10)</f>
        <v>4.2200000000000006</v>
      </c>
      <c r="G14" s="31">
        <v>181.91</v>
      </c>
      <c r="H14" s="32">
        <f t="shared" si="0"/>
        <v>0.76766020000000013</v>
      </c>
      <c r="I14" s="33">
        <v>0</v>
      </c>
      <c r="J14" s="33">
        <v>0</v>
      </c>
      <c r="K14" s="33">
        <v>0</v>
      </c>
      <c r="L14" s="33">
        <v>0</v>
      </c>
      <c r="M14" s="33">
        <f>F14/2*G14</f>
        <v>383.83010000000007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f t="shared" si="1"/>
        <v>383.83010000000007</v>
      </c>
      <c r="V14" s="126"/>
      <c r="W14" s="126"/>
    </row>
    <row r="15" spans="1:23">
      <c r="A15" s="130" t="s">
        <v>176</v>
      </c>
      <c r="B15" s="10" t="s">
        <v>21</v>
      </c>
      <c r="C15" s="25" t="s">
        <v>13</v>
      </c>
      <c r="D15" s="10" t="s">
        <v>105</v>
      </c>
      <c r="E15" s="30">
        <v>14</v>
      </c>
      <c r="F15" s="31">
        <f>SUM(E15*12/100)</f>
        <v>1.68</v>
      </c>
      <c r="G15" s="31">
        <v>232.92</v>
      </c>
      <c r="H15" s="32">
        <f t="shared" si="0"/>
        <v>0.39130559999999998</v>
      </c>
      <c r="I15" s="33">
        <f>F15/12*G15</f>
        <v>32.608799999999995</v>
      </c>
      <c r="J15" s="33">
        <f>F15/12*G15</f>
        <v>32.608799999999995</v>
      </c>
      <c r="K15" s="33">
        <f>F15/12*G15</f>
        <v>32.608799999999995</v>
      </c>
      <c r="L15" s="33">
        <f>F15/12*G15</f>
        <v>32.608799999999995</v>
      </c>
      <c r="M15" s="33">
        <f>F15/12*G15</f>
        <v>32.608799999999995</v>
      </c>
      <c r="N15" s="33">
        <f>F15/12*G15</f>
        <v>32.608799999999995</v>
      </c>
      <c r="O15" s="33">
        <f>F15/12*G15</f>
        <v>32.608799999999995</v>
      </c>
      <c r="P15" s="33">
        <f>F15/12*G15</f>
        <v>32.608799999999995</v>
      </c>
      <c r="Q15" s="33">
        <f>F15/12*G15</f>
        <v>32.608799999999995</v>
      </c>
      <c r="R15" s="33">
        <f>F15/12*G15</f>
        <v>32.608799999999995</v>
      </c>
      <c r="S15" s="33">
        <f>F15/12*G15</f>
        <v>32.608799999999995</v>
      </c>
      <c r="T15" s="33">
        <f>F15/12*G15</f>
        <v>32.608799999999995</v>
      </c>
      <c r="U15" s="33">
        <f t="shared" si="1"/>
        <v>391.30559999999986</v>
      </c>
      <c r="V15" s="126"/>
      <c r="W15" s="126"/>
    </row>
    <row r="16" spans="1:23">
      <c r="A16" s="130" t="s">
        <v>177</v>
      </c>
      <c r="B16" s="10" t="s">
        <v>22</v>
      </c>
      <c r="C16" s="25" t="s">
        <v>13</v>
      </c>
      <c r="D16" s="10" t="s">
        <v>123</v>
      </c>
      <c r="E16" s="30">
        <v>4.8</v>
      </c>
      <c r="F16" s="31">
        <f>SUM(E16*6/100)</f>
        <v>0.28799999999999998</v>
      </c>
      <c r="G16" s="31">
        <v>231.03</v>
      </c>
      <c r="H16" s="32">
        <f>SUM(F16*G16/1000)</f>
        <v>6.6536639999999994E-2</v>
      </c>
      <c r="I16" s="33">
        <f>F16/6*G16</f>
        <v>11.089439999999998</v>
      </c>
      <c r="J16" s="33">
        <v>0</v>
      </c>
      <c r="K16" s="33">
        <f>F16/6*G16</f>
        <v>11.089439999999998</v>
      </c>
      <c r="L16" s="33">
        <v>0</v>
      </c>
      <c r="M16" s="33">
        <f>F16/6*G16</f>
        <v>11.089439999999998</v>
      </c>
      <c r="N16" s="33">
        <v>0</v>
      </c>
      <c r="O16" s="33">
        <f>F16/6*G16</f>
        <v>11.089439999999998</v>
      </c>
      <c r="P16" s="33">
        <v>0</v>
      </c>
      <c r="Q16" s="33">
        <f>F16/6*G16</f>
        <v>11.089439999999998</v>
      </c>
      <c r="R16" s="33">
        <v>0</v>
      </c>
      <c r="S16" s="33">
        <f>F16/6*G16</f>
        <v>11.089439999999998</v>
      </c>
      <c r="T16" s="33">
        <v>0</v>
      </c>
      <c r="U16" s="33">
        <f t="shared" si="1"/>
        <v>66.536639999999991</v>
      </c>
      <c r="V16" s="126"/>
      <c r="W16" s="126"/>
    </row>
    <row r="17" spans="1:23">
      <c r="A17" s="130" t="s">
        <v>178</v>
      </c>
      <c r="B17" s="10" t="s">
        <v>23</v>
      </c>
      <c r="C17" s="25" t="s">
        <v>24</v>
      </c>
      <c r="D17" s="10" t="s">
        <v>99</v>
      </c>
      <c r="E17" s="30">
        <v>640</v>
      </c>
      <c r="F17" s="31">
        <f>SUM(E17/100)</f>
        <v>6.4</v>
      </c>
      <c r="G17" s="31">
        <v>287.83999999999997</v>
      </c>
      <c r="H17" s="32">
        <f t="shared" si="0"/>
        <v>1.842176</v>
      </c>
      <c r="I17" s="33">
        <v>0</v>
      </c>
      <c r="J17" s="33">
        <v>0</v>
      </c>
      <c r="K17" s="33">
        <v>0</v>
      </c>
      <c r="L17" s="33">
        <v>0</v>
      </c>
      <c r="M17" s="33">
        <f>F17*G17</f>
        <v>1842.1759999999999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f t="shared" si="1"/>
        <v>1842.1759999999999</v>
      </c>
      <c r="V17" s="126"/>
      <c r="W17" s="126"/>
    </row>
    <row r="18" spans="1:23">
      <c r="A18" s="130" t="s">
        <v>179</v>
      </c>
      <c r="B18" s="10" t="s">
        <v>25</v>
      </c>
      <c r="C18" s="25" t="s">
        <v>24</v>
      </c>
      <c r="D18" s="10" t="s">
        <v>99</v>
      </c>
      <c r="E18" s="35">
        <v>48.3</v>
      </c>
      <c r="F18" s="31">
        <f>SUM(E18/100)</f>
        <v>0.48299999999999998</v>
      </c>
      <c r="G18" s="31">
        <v>47.34</v>
      </c>
      <c r="H18" s="32">
        <f t="shared" si="0"/>
        <v>2.2865220000000002E-2</v>
      </c>
      <c r="I18" s="33">
        <v>0</v>
      </c>
      <c r="J18" s="33">
        <v>0</v>
      </c>
      <c r="K18" s="33">
        <v>0</v>
      </c>
      <c r="L18" s="33">
        <v>0</v>
      </c>
      <c r="M18" s="33">
        <f>F18*G18</f>
        <v>22.865220000000001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f t="shared" si="1"/>
        <v>22.865220000000001</v>
      </c>
      <c r="V18" s="126"/>
      <c r="W18" s="126"/>
    </row>
    <row r="19" spans="1:23">
      <c r="A19" s="130" t="s">
        <v>180</v>
      </c>
      <c r="B19" s="10" t="s">
        <v>26</v>
      </c>
      <c r="C19" s="25" t="s">
        <v>24</v>
      </c>
      <c r="D19" s="10" t="s">
        <v>34</v>
      </c>
      <c r="E19" s="30">
        <v>20</v>
      </c>
      <c r="F19" s="31">
        <f>E19/100</f>
        <v>0.2</v>
      </c>
      <c r="G19" s="31">
        <v>416.62</v>
      </c>
      <c r="H19" s="32">
        <f t="shared" si="0"/>
        <v>8.3324000000000009E-2</v>
      </c>
      <c r="I19" s="33">
        <v>0</v>
      </c>
      <c r="J19" s="33">
        <v>0</v>
      </c>
      <c r="K19" s="33">
        <v>0</v>
      </c>
      <c r="L19" s="33">
        <v>0</v>
      </c>
      <c r="M19" s="33">
        <f>F19*G19</f>
        <v>83.324000000000012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f t="shared" si="1"/>
        <v>83.324000000000012</v>
      </c>
      <c r="V19" s="126"/>
      <c r="W19" s="126"/>
    </row>
    <row r="20" spans="1:23">
      <c r="A20" s="130" t="s">
        <v>181</v>
      </c>
      <c r="B20" s="10" t="s">
        <v>27</v>
      </c>
      <c r="C20" s="25" t="s">
        <v>24</v>
      </c>
      <c r="D20" s="10" t="s">
        <v>34</v>
      </c>
      <c r="E20" s="30">
        <v>8.5</v>
      </c>
      <c r="F20" s="31">
        <f>SUM(E20/100)</f>
        <v>8.5000000000000006E-2</v>
      </c>
      <c r="G20" s="31">
        <v>556.74</v>
      </c>
      <c r="H20" s="32">
        <f t="shared" si="0"/>
        <v>4.7322900000000001E-2</v>
      </c>
      <c r="I20" s="33">
        <v>0</v>
      </c>
      <c r="J20" s="33">
        <v>0</v>
      </c>
      <c r="K20" s="33">
        <v>0</v>
      </c>
      <c r="L20" s="33">
        <v>0</v>
      </c>
      <c r="M20" s="33">
        <f t="shared" ref="M20:M21" si="2">F20*G20</f>
        <v>47.322900000000004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f t="shared" si="1"/>
        <v>47.322900000000004</v>
      </c>
      <c r="V20" s="126"/>
      <c r="W20" s="126"/>
    </row>
    <row r="21" spans="1:23" ht="25.5">
      <c r="A21" s="130" t="s">
        <v>182</v>
      </c>
      <c r="B21" s="10" t="s">
        <v>110</v>
      </c>
      <c r="C21" s="25" t="s">
        <v>24</v>
      </c>
      <c r="D21" s="10" t="s">
        <v>34</v>
      </c>
      <c r="E21" s="30">
        <v>19</v>
      </c>
      <c r="F21" s="31">
        <f>E21/100</f>
        <v>0.19</v>
      </c>
      <c r="G21" s="31">
        <v>231.03</v>
      </c>
      <c r="H21" s="32">
        <f>G21*F21/1000</f>
        <v>4.3895699999999996E-2</v>
      </c>
      <c r="I21" s="33">
        <v>0</v>
      </c>
      <c r="J21" s="33">
        <v>0</v>
      </c>
      <c r="K21" s="33">
        <v>0</v>
      </c>
      <c r="L21" s="33">
        <v>0</v>
      </c>
      <c r="M21" s="33">
        <f t="shared" si="2"/>
        <v>43.895699999999998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f t="shared" si="1"/>
        <v>43.895699999999998</v>
      </c>
      <c r="V21" s="126"/>
      <c r="W21" s="126"/>
    </row>
    <row r="22" spans="1:23" s="18" customFormat="1">
      <c r="A22" s="131"/>
      <c r="B22" s="19" t="s">
        <v>28</v>
      </c>
      <c r="C22" s="36"/>
      <c r="D22" s="19"/>
      <c r="E22" s="37"/>
      <c r="F22" s="38"/>
      <c r="G22" s="38"/>
      <c r="H22" s="39">
        <f>SUM(H11:H21)</f>
        <v>250.53856008400001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>
        <f>SUM(U11:U21)</f>
        <v>250154.72998399992</v>
      </c>
      <c r="V22" s="126"/>
      <c r="W22" s="126"/>
    </row>
    <row r="23" spans="1:23">
      <c r="A23" s="130"/>
      <c r="B23" s="11" t="s">
        <v>29</v>
      </c>
      <c r="C23" s="25"/>
      <c r="D23" s="10"/>
      <c r="E23" s="30"/>
      <c r="F23" s="31"/>
      <c r="G23" s="31"/>
      <c r="H23" s="32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126"/>
      <c r="W23" s="126"/>
    </row>
    <row r="24" spans="1:23" ht="25.5" customHeight="1">
      <c r="A24" s="130" t="s">
        <v>183</v>
      </c>
      <c r="B24" s="10" t="s">
        <v>159</v>
      </c>
      <c r="C24" s="25" t="s">
        <v>31</v>
      </c>
      <c r="D24" s="10" t="s">
        <v>30</v>
      </c>
      <c r="E24" s="31">
        <v>512.5</v>
      </c>
      <c r="F24" s="31">
        <f>SUM(E24*52/1000)</f>
        <v>26.65</v>
      </c>
      <c r="G24" s="31">
        <v>166.65</v>
      </c>
      <c r="H24" s="32">
        <f t="shared" ref="H24:H32" si="3">SUM(F24*G24/1000)</f>
        <v>4.4412225000000003</v>
      </c>
      <c r="I24" s="33">
        <v>0</v>
      </c>
      <c r="J24" s="33">
        <v>0</v>
      </c>
      <c r="K24" s="33">
        <v>0</v>
      </c>
      <c r="L24" s="33">
        <v>0</v>
      </c>
      <c r="M24" s="33">
        <f>F24/6*G24</f>
        <v>740.20375000000001</v>
      </c>
      <c r="N24" s="33">
        <f>F24/6*G24</f>
        <v>740.20375000000001</v>
      </c>
      <c r="O24" s="33">
        <f>F24/6*G24</f>
        <v>740.20375000000001</v>
      </c>
      <c r="P24" s="33">
        <f>F24/6*G24</f>
        <v>740.20375000000001</v>
      </c>
      <c r="Q24" s="33">
        <f>F24/6*G24</f>
        <v>740.20375000000001</v>
      </c>
      <c r="R24" s="33">
        <f>F24/6*G24</f>
        <v>740.20375000000001</v>
      </c>
      <c r="S24" s="33">
        <v>0</v>
      </c>
      <c r="T24" s="33">
        <v>0</v>
      </c>
      <c r="U24" s="33">
        <f t="shared" ref="U24:U32" si="4">SUM(I24:T24)</f>
        <v>4441.2224999999999</v>
      </c>
      <c r="V24" s="126"/>
      <c r="W24" s="126"/>
    </row>
    <row r="25" spans="1:23" ht="38.25" customHeight="1">
      <c r="A25" s="130" t="s">
        <v>184</v>
      </c>
      <c r="B25" s="10" t="s">
        <v>160</v>
      </c>
      <c r="C25" s="25" t="s">
        <v>31</v>
      </c>
      <c r="D25" s="10" t="s">
        <v>32</v>
      </c>
      <c r="E25" s="31">
        <v>316.27</v>
      </c>
      <c r="F25" s="31">
        <f>SUM(E25*78/1000)</f>
        <v>24.669059999999998</v>
      </c>
      <c r="G25" s="31">
        <v>276.48</v>
      </c>
      <c r="H25" s="32">
        <f t="shared" si="3"/>
        <v>6.8205017087999993</v>
      </c>
      <c r="I25" s="33">
        <v>0</v>
      </c>
      <c r="J25" s="33">
        <v>0</v>
      </c>
      <c r="K25" s="33">
        <v>0</v>
      </c>
      <c r="L25" s="33">
        <v>0</v>
      </c>
      <c r="M25" s="33">
        <f>F25/6*G25</f>
        <v>1136.7502848000001</v>
      </c>
      <c r="N25" s="33">
        <f>F25/6*G25</f>
        <v>1136.7502848000001</v>
      </c>
      <c r="O25" s="33">
        <f>F25/6*G25</f>
        <v>1136.7502848000001</v>
      </c>
      <c r="P25" s="33">
        <f>F25/6*G25</f>
        <v>1136.7502848000001</v>
      </c>
      <c r="Q25" s="33">
        <f>F25/6*G25</f>
        <v>1136.7502848000001</v>
      </c>
      <c r="R25" s="33">
        <f>F25/6*G25</f>
        <v>1136.7502848000001</v>
      </c>
      <c r="S25" s="33">
        <v>0</v>
      </c>
      <c r="T25" s="33">
        <v>0</v>
      </c>
      <c r="U25" s="33">
        <f t="shared" si="4"/>
        <v>6820.5017088000013</v>
      </c>
      <c r="V25" s="126"/>
      <c r="W25" s="126"/>
    </row>
    <row r="26" spans="1:23">
      <c r="A26" s="130" t="s">
        <v>185</v>
      </c>
      <c r="B26" s="10" t="s">
        <v>33</v>
      </c>
      <c r="C26" s="25" t="s">
        <v>31</v>
      </c>
      <c r="D26" s="10" t="s">
        <v>34</v>
      </c>
      <c r="E26" s="31">
        <v>512.5</v>
      </c>
      <c r="F26" s="31">
        <f>SUM(E26/1000)</f>
        <v>0.51249999999999996</v>
      </c>
      <c r="G26" s="31">
        <v>3228.73</v>
      </c>
      <c r="H26" s="32">
        <f t="shared" si="3"/>
        <v>1.654724125</v>
      </c>
      <c r="I26" s="33">
        <v>0</v>
      </c>
      <c r="J26" s="33">
        <v>0</v>
      </c>
      <c r="K26" s="33">
        <v>0</v>
      </c>
      <c r="L26" s="33">
        <v>0</v>
      </c>
      <c r="M26" s="33">
        <f>F26*G26</f>
        <v>1654.724125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f t="shared" si="4"/>
        <v>1654.724125</v>
      </c>
      <c r="V26" s="126"/>
      <c r="W26" s="126"/>
    </row>
    <row r="27" spans="1:23">
      <c r="A27" s="130" t="s">
        <v>186</v>
      </c>
      <c r="B27" s="10" t="s">
        <v>107</v>
      </c>
      <c r="C27" s="25" t="s">
        <v>61</v>
      </c>
      <c r="D27" s="10" t="s">
        <v>37</v>
      </c>
      <c r="E27" s="31">
        <v>4</v>
      </c>
      <c r="F27" s="31">
        <f>E27*155/100</f>
        <v>6.2</v>
      </c>
      <c r="G27" s="31">
        <v>1391.86</v>
      </c>
      <c r="H27" s="32">
        <f>G27*F27/1000</f>
        <v>8.6295319999999993</v>
      </c>
      <c r="I27" s="33">
        <v>0</v>
      </c>
      <c r="J27" s="33">
        <v>0</v>
      </c>
      <c r="K27" s="33">
        <v>0</v>
      </c>
      <c r="L27" s="33">
        <v>0</v>
      </c>
      <c r="M27" s="33">
        <f>F27/6*G27</f>
        <v>1438.2553333333333</v>
      </c>
      <c r="N27" s="33">
        <f>F27/6*G27</f>
        <v>1438.2553333333333</v>
      </c>
      <c r="O27" s="33">
        <f>F27/6*G27</f>
        <v>1438.2553333333333</v>
      </c>
      <c r="P27" s="33">
        <f>F27/6*G27</f>
        <v>1438.2553333333333</v>
      </c>
      <c r="Q27" s="33">
        <f>F27/6*G27</f>
        <v>1438.2553333333333</v>
      </c>
      <c r="R27" s="33">
        <f>F27/6*G27</f>
        <v>1438.2553333333333</v>
      </c>
      <c r="S27" s="33">
        <v>0</v>
      </c>
      <c r="T27" s="33">
        <v>0</v>
      </c>
      <c r="U27" s="33">
        <f t="shared" si="4"/>
        <v>8629.5319999999992</v>
      </c>
      <c r="V27" s="126"/>
      <c r="W27" s="126"/>
    </row>
    <row r="28" spans="1:23">
      <c r="A28" s="130" t="s">
        <v>187</v>
      </c>
      <c r="B28" s="10" t="s">
        <v>35</v>
      </c>
      <c r="C28" s="25" t="s">
        <v>36</v>
      </c>
      <c r="D28" s="10" t="s">
        <v>37</v>
      </c>
      <c r="E28" s="42">
        <v>0.33333333333333331</v>
      </c>
      <c r="F28" s="31">
        <f>155/3</f>
        <v>51.666666666666664</v>
      </c>
      <c r="G28" s="31">
        <v>60.6</v>
      </c>
      <c r="H28" s="32">
        <f>SUM(G28*155/3/1000)</f>
        <v>3.1309999999999998</v>
      </c>
      <c r="I28" s="33">
        <v>0</v>
      </c>
      <c r="J28" s="33">
        <v>0</v>
      </c>
      <c r="K28" s="33">
        <v>0</v>
      </c>
      <c r="L28" s="33">
        <v>0</v>
      </c>
      <c r="M28" s="33">
        <f>F28/6*G28</f>
        <v>521.83333333333337</v>
      </c>
      <c r="N28" s="33">
        <f>F28/6*G28</f>
        <v>521.83333333333337</v>
      </c>
      <c r="O28" s="33">
        <f>F28/6*G28</f>
        <v>521.83333333333337</v>
      </c>
      <c r="P28" s="33">
        <f>F28/6*G28</f>
        <v>521.83333333333337</v>
      </c>
      <c r="Q28" s="33">
        <f>F28/6*G28</f>
        <v>521.83333333333337</v>
      </c>
      <c r="R28" s="33">
        <f>F28/6*G28</f>
        <v>521.83333333333337</v>
      </c>
      <c r="S28" s="33">
        <v>0</v>
      </c>
      <c r="T28" s="33">
        <v>0</v>
      </c>
      <c r="U28" s="33">
        <f t="shared" si="4"/>
        <v>3131.0000000000005</v>
      </c>
      <c r="V28" s="126"/>
      <c r="W28" s="126"/>
    </row>
    <row r="29" spans="1:23" ht="12.75" customHeight="1">
      <c r="A29" s="130" t="s">
        <v>188</v>
      </c>
      <c r="B29" s="10" t="s">
        <v>38</v>
      </c>
      <c r="C29" s="25" t="s">
        <v>39</v>
      </c>
      <c r="D29" s="10" t="s">
        <v>40</v>
      </c>
      <c r="E29" s="43">
        <v>0.1</v>
      </c>
      <c r="F29" s="31">
        <f>SUM(E29*365)</f>
        <v>36.5</v>
      </c>
      <c r="G29" s="31">
        <v>157.18</v>
      </c>
      <c r="H29" s="32">
        <f t="shared" si="3"/>
        <v>5.737070000000001</v>
      </c>
      <c r="I29" s="33">
        <f>F29/12*G29</f>
        <v>478.08916666666664</v>
      </c>
      <c r="J29" s="33">
        <f>F29/12*G29</f>
        <v>478.08916666666664</v>
      </c>
      <c r="K29" s="33">
        <f>F29/12*G29</f>
        <v>478.08916666666664</v>
      </c>
      <c r="L29" s="33">
        <f>F29/12*G29</f>
        <v>478.08916666666664</v>
      </c>
      <c r="M29" s="33">
        <f>F29/12*G29</f>
        <v>478.08916666666664</v>
      </c>
      <c r="N29" s="33">
        <f>F29/12*G29</f>
        <v>478.08916666666664</v>
      </c>
      <c r="O29" s="33">
        <f>F29/12*G29</f>
        <v>478.08916666666664</v>
      </c>
      <c r="P29" s="33">
        <f>F29/12*G29</f>
        <v>478.08916666666664</v>
      </c>
      <c r="Q29" s="33">
        <f>F29/12*G29</f>
        <v>478.08916666666664</v>
      </c>
      <c r="R29" s="33">
        <f>F29/12*G29</f>
        <v>478.08916666666664</v>
      </c>
      <c r="S29" s="33">
        <f>F29/12*G29</f>
        <v>478.08916666666664</v>
      </c>
      <c r="T29" s="33">
        <f>F29/12*G29</f>
        <v>478.08916666666664</v>
      </c>
      <c r="U29" s="33">
        <f t="shared" si="4"/>
        <v>5737.07</v>
      </c>
      <c r="V29" s="126"/>
      <c r="W29" s="126"/>
    </row>
    <row r="30" spans="1:23" ht="12.75" customHeight="1">
      <c r="A30" s="130" t="s">
        <v>189</v>
      </c>
      <c r="B30" s="10" t="s">
        <v>154</v>
      </c>
      <c r="C30" s="25" t="s">
        <v>39</v>
      </c>
      <c r="D30" s="10" t="s">
        <v>41</v>
      </c>
      <c r="E30" s="30"/>
      <c r="F30" s="31">
        <v>3</v>
      </c>
      <c r="G30" s="31">
        <v>204.52</v>
      </c>
      <c r="H30" s="32">
        <f t="shared" si="3"/>
        <v>0.61356000000000011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f t="shared" si="4"/>
        <v>0</v>
      </c>
      <c r="V30" s="126"/>
      <c r="W30" s="126"/>
    </row>
    <row r="31" spans="1:23" ht="12.75" customHeight="1">
      <c r="A31" s="130" t="s">
        <v>111</v>
      </c>
      <c r="B31" s="10" t="s">
        <v>153</v>
      </c>
      <c r="C31" s="25" t="s">
        <v>42</v>
      </c>
      <c r="D31" s="10" t="s">
        <v>41</v>
      </c>
      <c r="E31" s="30"/>
      <c r="F31" s="31">
        <v>2</v>
      </c>
      <c r="G31" s="31">
        <v>1214.73</v>
      </c>
      <c r="H31" s="32">
        <f t="shared" si="3"/>
        <v>2.4294600000000002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f t="shared" si="4"/>
        <v>0</v>
      </c>
      <c r="V31" s="126"/>
      <c r="W31" s="126"/>
    </row>
    <row r="32" spans="1:23">
      <c r="A32" s="130"/>
      <c r="B32" s="44" t="s">
        <v>43</v>
      </c>
      <c r="C32" s="25" t="s">
        <v>44</v>
      </c>
      <c r="D32" s="44" t="s">
        <v>45</v>
      </c>
      <c r="E32" s="30">
        <v>4731.7</v>
      </c>
      <c r="F32" s="31">
        <f>SUM(E32*12)</f>
        <v>56780.399999999994</v>
      </c>
      <c r="G32" s="31">
        <v>4.72</v>
      </c>
      <c r="H32" s="32">
        <f t="shared" si="3"/>
        <v>268.00348799999995</v>
      </c>
      <c r="I32" s="33">
        <f>F32/12*G32</f>
        <v>22333.623999999996</v>
      </c>
      <c r="J32" s="33">
        <f>F32/12*G32</f>
        <v>22333.623999999996</v>
      </c>
      <c r="K32" s="33">
        <f>F32/12*G32</f>
        <v>22333.623999999996</v>
      </c>
      <c r="L32" s="33">
        <f>F32/12*G32</f>
        <v>22333.623999999996</v>
      </c>
      <c r="M32" s="33">
        <f>F32/12*G32</f>
        <v>22333.623999999996</v>
      </c>
      <c r="N32" s="33">
        <f>F32/12*G32</f>
        <v>22333.623999999996</v>
      </c>
      <c r="O32" s="33">
        <f>F32/12*G32</f>
        <v>22333.623999999996</v>
      </c>
      <c r="P32" s="33">
        <f>F32/12*G32</f>
        <v>22333.623999999996</v>
      </c>
      <c r="Q32" s="33">
        <f>F32/12*G32</f>
        <v>22333.623999999996</v>
      </c>
      <c r="R32" s="33">
        <f>F32/12*G32</f>
        <v>22333.623999999996</v>
      </c>
      <c r="S32" s="33">
        <f>F32/12*G32</f>
        <v>22333.623999999996</v>
      </c>
      <c r="T32" s="33">
        <f>F32/12*G32</f>
        <v>22333.623999999996</v>
      </c>
      <c r="U32" s="33">
        <f t="shared" si="4"/>
        <v>268003.48800000001</v>
      </c>
      <c r="V32" s="126"/>
      <c r="W32" s="126"/>
    </row>
    <row r="33" spans="1:23" s="18" customFormat="1">
      <c r="A33" s="131"/>
      <c r="B33" s="19" t="s">
        <v>28</v>
      </c>
      <c r="C33" s="36"/>
      <c r="D33" s="19"/>
      <c r="E33" s="37"/>
      <c r="F33" s="38"/>
      <c r="G33" s="38"/>
      <c r="H33" s="45">
        <f>SUM(H24:H32)</f>
        <v>301.46055833379995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>
        <f>SUM(U24:U32)</f>
        <v>298417.53833380004</v>
      </c>
      <c r="V33" s="126"/>
      <c r="W33" s="126"/>
    </row>
    <row r="34" spans="1:23">
      <c r="A34" s="130"/>
      <c r="B34" s="11" t="s">
        <v>46</v>
      </c>
      <c r="C34" s="25"/>
      <c r="D34" s="10"/>
      <c r="E34" s="30"/>
      <c r="F34" s="31"/>
      <c r="G34" s="31"/>
      <c r="H34" s="32" t="s">
        <v>45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126"/>
      <c r="W34" s="126"/>
    </row>
    <row r="35" spans="1:23" ht="12.75" customHeight="1">
      <c r="A35" s="130" t="s">
        <v>111</v>
      </c>
      <c r="B35" s="12" t="s">
        <v>47</v>
      </c>
      <c r="C35" s="25" t="s">
        <v>42</v>
      </c>
      <c r="D35" s="10"/>
      <c r="E35" s="30"/>
      <c r="F35" s="31">
        <v>5</v>
      </c>
      <c r="G35" s="31">
        <v>1632.6</v>
      </c>
      <c r="H35" s="32">
        <f t="shared" ref="H35:H41" si="5">SUM(F35*G35/1000)</f>
        <v>8.1630000000000003</v>
      </c>
      <c r="I35" s="33">
        <f>F35/6*G35</f>
        <v>1360.5</v>
      </c>
      <c r="J35" s="33">
        <f>F35/6*G35</f>
        <v>1360.5</v>
      </c>
      <c r="K35" s="33">
        <f>F35/6*G35</f>
        <v>1360.5</v>
      </c>
      <c r="L35" s="33">
        <f>F35/6*G35</f>
        <v>1360.5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f>F35/6*G35</f>
        <v>1360.5</v>
      </c>
      <c r="T35" s="33">
        <f>F35/6*G35</f>
        <v>1360.5</v>
      </c>
      <c r="U35" s="33">
        <f t="shared" ref="U35:U41" si="6">SUM(I35:T35)</f>
        <v>8163</v>
      </c>
      <c r="V35" s="126"/>
      <c r="W35" s="126"/>
    </row>
    <row r="36" spans="1:23" ht="25.5">
      <c r="A36" s="132" t="s">
        <v>190</v>
      </c>
      <c r="B36" s="12" t="s">
        <v>161</v>
      </c>
      <c r="C36" s="47" t="s">
        <v>48</v>
      </c>
      <c r="D36" s="10" t="s">
        <v>124</v>
      </c>
      <c r="E36" s="30">
        <v>228.38</v>
      </c>
      <c r="F36" s="46">
        <f>E36*30/1000</f>
        <v>6.8513999999999999</v>
      </c>
      <c r="G36" s="31">
        <v>2247.8000000000002</v>
      </c>
      <c r="H36" s="32">
        <f>G36*F36/1000</f>
        <v>15.400576920000001</v>
      </c>
      <c r="I36" s="33">
        <f>F36/6*G36</f>
        <v>2566.7628199999999</v>
      </c>
      <c r="J36" s="33">
        <f>F36/6*G36</f>
        <v>2566.7628199999999</v>
      </c>
      <c r="K36" s="33">
        <f>F36/6*G36</f>
        <v>2566.7628199999999</v>
      </c>
      <c r="L36" s="33">
        <f>F36/6*G36</f>
        <v>2566.7628199999999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f>F36/6*G36</f>
        <v>2566.7628199999999</v>
      </c>
      <c r="T36" s="33">
        <f>F36/6*G36</f>
        <v>2566.7628199999999</v>
      </c>
      <c r="U36" s="33">
        <f t="shared" si="6"/>
        <v>15400.57692</v>
      </c>
      <c r="V36" s="126"/>
      <c r="W36" s="126"/>
    </row>
    <row r="37" spans="1:23">
      <c r="A37" s="130" t="s">
        <v>111</v>
      </c>
      <c r="B37" s="10" t="s">
        <v>126</v>
      </c>
      <c r="C37" s="25" t="s">
        <v>69</v>
      </c>
      <c r="D37" s="10" t="s">
        <v>41</v>
      </c>
      <c r="E37" s="30"/>
      <c r="F37" s="46">
        <v>120</v>
      </c>
      <c r="G37" s="31">
        <v>213.2</v>
      </c>
      <c r="H37" s="32">
        <f>G37*F37/1000</f>
        <v>25.584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f t="shared" si="6"/>
        <v>0</v>
      </c>
      <c r="V37" s="126"/>
      <c r="W37" s="126"/>
    </row>
    <row r="38" spans="1:23" ht="24.75" customHeight="1">
      <c r="A38" s="130" t="s">
        <v>191</v>
      </c>
      <c r="B38" s="10" t="s">
        <v>162</v>
      </c>
      <c r="C38" s="25" t="s">
        <v>48</v>
      </c>
      <c r="D38" s="10" t="s">
        <v>49</v>
      </c>
      <c r="E38" s="31">
        <v>233.71</v>
      </c>
      <c r="F38" s="46">
        <f>SUM(E38*155/1000)</f>
        <v>36.225050000000003</v>
      </c>
      <c r="G38" s="31">
        <v>374.95</v>
      </c>
      <c r="H38" s="32">
        <f t="shared" si="5"/>
        <v>13.582582497500001</v>
      </c>
      <c r="I38" s="33">
        <f>F38/6*G38</f>
        <v>2263.7637495833337</v>
      </c>
      <c r="J38" s="33">
        <f>F38/6*G38</f>
        <v>2263.7637495833337</v>
      </c>
      <c r="K38" s="33">
        <f>F38/6*G38</f>
        <v>2263.7637495833337</v>
      </c>
      <c r="L38" s="33">
        <f>F38/6*G38</f>
        <v>2263.7637495833337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f>F38/6*G38</f>
        <v>2263.7637495833337</v>
      </c>
      <c r="T38" s="33">
        <f>F38/6*G38</f>
        <v>2263.7637495833337</v>
      </c>
      <c r="U38" s="33">
        <f t="shared" si="6"/>
        <v>13582.582497500001</v>
      </c>
      <c r="V38" s="126"/>
      <c r="W38" s="126"/>
    </row>
    <row r="39" spans="1:23" ht="51" customHeight="1">
      <c r="A39" s="130" t="s">
        <v>192</v>
      </c>
      <c r="B39" s="10" t="s">
        <v>163</v>
      </c>
      <c r="C39" s="25" t="s">
        <v>31</v>
      </c>
      <c r="D39" s="10" t="s">
        <v>125</v>
      </c>
      <c r="E39" s="31">
        <v>54.4</v>
      </c>
      <c r="F39" s="46">
        <f>SUM(E39*35/1000)</f>
        <v>1.9039999999999999</v>
      </c>
      <c r="G39" s="31">
        <v>6203.7</v>
      </c>
      <c r="H39" s="32">
        <f t="shared" si="5"/>
        <v>11.811844799999999</v>
      </c>
      <c r="I39" s="33">
        <f>F39/6*G39</f>
        <v>1968.6407999999997</v>
      </c>
      <c r="J39" s="33">
        <f>F39/6*G39</f>
        <v>1968.6407999999997</v>
      </c>
      <c r="K39" s="33">
        <f>F39/6*G39</f>
        <v>1968.6407999999997</v>
      </c>
      <c r="L39" s="33">
        <f>F39/6*G39</f>
        <v>1968.6407999999997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f>F39/6*G39</f>
        <v>1968.6407999999997</v>
      </c>
      <c r="T39" s="33">
        <f>F39/6*G39</f>
        <v>1968.6407999999997</v>
      </c>
      <c r="U39" s="33">
        <f t="shared" si="6"/>
        <v>11811.844799999997</v>
      </c>
      <c r="V39" s="126"/>
      <c r="W39" s="126"/>
    </row>
    <row r="40" spans="1:23" ht="12.75" customHeight="1">
      <c r="A40" s="130" t="s">
        <v>193</v>
      </c>
      <c r="B40" s="10" t="s">
        <v>155</v>
      </c>
      <c r="C40" s="25" t="s">
        <v>31</v>
      </c>
      <c r="D40" s="10" t="s">
        <v>269</v>
      </c>
      <c r="E40" s="31">
        <v>228.38</v>
      </c>
      <c r="F40" s="46">
        <f>SUM(E40*15/1000)</f>
        <v>3.4257</v>
      </c>
      <c r="G40" s="31">
        <v>458.28</v>
      </c>
      <c r="H40" s="32">
        <f t="shared" si="5"/>
        <v>1.5699297959999998</v>
      </c>
      <c r="I40" s="33">
        <v>0</v>
      </c>
      <c r="J40" s="33">
        <v>0</v>
      </c>
      <c r="K40" s="33">
        <f>F40/2*G40</f>
        <v>784.96489799999995</v>
      </c>
      <c r="L40" s="33">
        <f>F40/2*G40</f>
        <v>784.96489799999995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f t="shared" si="6"/>
        <v>1569.9297959999999</v>
      </c>
      <c r="V40" s="126"/>
      <c r="W40" s="126"/>
    </row>
    <row r="41" spans="1:23" s="1" customFormat="1">
      <c r="A41" s="132"/>
      <c r="B41" s="12" t="s">
        <v>164</v>
      </c>
      <c r="C41" s="47" t="s">
        <v>39</v>
      </c>
      <c r="D41" s="12"/>
      <c r="E41" s="43"/>
      <c r="F41" s="46">
        <v>1.8</v>
      </c>
      <c r="G41" s="46">
        <v>853.06</v>
      </c>
      <c r="H41" s="32">
        <f t="shared" si="5"/>
        <v>1.5355080000000001</v>
      </c>
      <c r="I41" s="48">
        <f>F41/6*G41</f>
        <v>255.91799999999998</v>
      </c>
      <c r="J41" s="48">
        <f>F41/6*G41</f>
        <v>255.91799999999998</v>
      </c>
      <c r="K41" s="48">
        <f>F41/6*G41</f>
        <v>255.91799999999998</v>
      </c>
      <c r="L41" s="48">
        <f>F41/6*G41</f>
        <v>255.91799999999998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f>F41/6*G41</f>
        <v>255.91799999999998</v>
      </c>
      <c r="T41" s="48">
        <f>F41/6*G41</f>
        <v>255.91799999999998</v>
      </c>
      <c r="U41" s="33">
        <f t="shared" si="6"/>
        <v>1535.5079999999998</v>
      </c>
      <c r="V41" s="126"/>
      <c r="W41" s="126"/>
    </row>
    <row r="42" spans="1:23" s="18" customFormat="1">
      <c r="A42" s="131"/>
      <c r="B42" s="19" t="s">
        <v>28</v>
      </c>
      <c r="C42" s="36"/>
      <c r="D42" s="19"/>
      <c r="E42" s="37"/>
      <c r="F42" s="38" t="s">
        <v>45</v>
      </c>
      <c r="G42" s="38"/>
      <c r="H42" s="45">
        <f>SUM(H35:H41)</f>
        <v>77.647442013500012</v>
      </c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>
        <f>SUM(U35:U41)</f>
        <v>52063.442013499996</v>
      </c>
      <c r="V42" s="126"/>
      <c r="W42" s="126"/>
    </row>
    <row r="43" spans="1:23">
      <c r="A43" s="130"/>
      <c r="B43" s="13" t="s">
        <v>50</v>
      </c>
      <c r="C43" s="25"/>
      <c r="D43" s="10"/>
      <c r="E43" s="30"/>
      <c r="F43" s="31"/>
      <c r="G43" s="31"/>
      <c r="H43" s="32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126"/>
      <c r="W43" s="126"/>
    </row>
    <row r="44" spans="1:23">
      <c r="A44" s="130" t="s">
        <v>194</v>
      </c>
      <c r="B44" s="10" t="s">
        <v>127</v>
      </c>
      <c r="C44" s="25" t="s">
        <v>31</v>
      </c>
      <c r="D44" s="10" t="s">
        <v>51</v>
      </c>
      <c r="E44" s="30">
        <v>1320.9</v>
      </c>
      <c r="F44" s="31">
        <f>SUM(E44*2/1000)</f>
        <v>2.6418000000000004</v>
      </c>
      <c r="G44" s="49">
        <v>908.11</v>
      </c>
      <c r="H44" s="32">
        <f t="shared" ref="H44:H52" si="7">SUM(F44*G44/1000)</f>
        <v>2.3990449980000004</v>
      </c>
      <c r="I44" s="33">
        <v>0</v>
      </c>
      <c r="J44" s="33">
        <v>0</v>
      </c>
      <c r="K44" s="33">
        <v>0</v>
      </c>
      <c r="L44" s="33">
        <v>0</v>
      </c>
      <c r="M44" s="33">
        <f>F44/2*G44</f>
        <v>1199.5224990000002</v>
      </c>
      <c r="N44" s="33">
        <v>0</v>
      </c>
      <c r="O44" s="33">
        <v>0</v>
      </c>
      <c r="P44" s="33">
        <v>0</v>
      </c>
      <c r="Q44" s="33">
        <f>F44/2*G44</f>
        <v>1199.5224990000002</v>
      </c>
      <c r="R44" s="33">
        <v>0</v>
      </c>
      <c r="S44" s="33">
        <v>0</v>
      </c>
      <c r="T44" s="33">
        <v>0</v>
      </c>
      <c r="U44" s="33">
        <f t="shared" ref="U44:U52" si="8">SUM(I44:T44)</f>
        <v>2399.0449980000003</v>
      </c>
      <c r="V44" s="126"/>
      <c r="W44" s="126"/>
    </row>
    <row r="45" spans="1:23">
      <c r="A45" s="130" t="s">
        <v>195</v>
      </c>
      <c r="B45" s="10" t="s">
        <v>52</v>
      </c>
      <c r="C45" s="25" t="s">
        <v>31</v>
      </c>
      <c r="D45" s="10" t="s">
        <v>51</v>
      </c>
      <c r="E45" s="30">
        <v>52</v>
      </c>
      <c r="F45" s="31">
        <f>E45*2/1000</f>
        <v>0.104</v>
      </c>
      <c r="G45" s="49">
        <v>619.46</v>
      </c>
      <c r="H45" s="32">
        <f t="shared" si="7"/>
        <v>6.4423839999999996E-2</v>
      </c>
      <c r="I45" s="33">
        <v>0</v>
      </c>
      <c r="J45" s="33">
        <v>0</v>
      </c>
      <c r="K45" s="33">
        <v>0</v>
      </c>
      <c r="L45" s="33">
        <v>0</v>
      </c>
      <c r="M45" s="33">
        <f t="shared" ref="M45:M47" si="9">F45/2*G45</f>
        <v>32.211919999999999</v>
      </c>
      <c r="N45" s="33">
        <v>0</v>
      </c>
      <c r="O45" s="33">
        <v>0</v>
      </c>
      <c r="P45" s="33">
        <v>0</v>
      </c>
      <c r="Q45" s="33">
        <f>F45/2*G45</f>
        <v>32.211919999999999</v>
      </c>
      <c r="R45" s="33">
        <v>0</v>
      </c>
      <c r="S45" s="33">
        <v>0</v>
      </c>
      <c r="T45" s="33">
        <v>0</v>
      </c>
      <c r="U45" s="33">
        <f t="shared" si="8"/>
        <v>64.423839999999998</v>
      </c>
      <c r="V45" s="126"/>
      <c r="W45" s="126"/>
    </row>
    <row r="46" spans="1:23" ht="12.75" customHeight="1">
      <c r="A46" s="130" t="s">
        <v>196</v>
      </c>
      <c r="B46" s="10" t="s">
        <v>53</v>
      </c>
      <c r="C46" s="25" t="s">
        <v>31</v>
      </c>
      <c r="D46" s="10" t="s">
        <v>51</v>
      </c>
      <c r="E46" s="30">
        <v>1520.8</v>
      </c>
      <c r="F46" s="31">
        <f>SUM(E46*2/1000)</f>
        <v>3.0415999999999999</v>
      </c>
      <c r="G46" s="49">
        <v>619.46</v>
      </c>
      <c r="H46" s="32">
        <f t="shared" si="7"/>
        <v>1.8841495360000002</v>
      </c>
      <c r="I46" s="33">
        <v>0</v>
      </c>
      <c r="J46" s="33">
        <v>0</v>
      </c>
      <c r="K46" s="33">
        <v>0</v>
      </c>
      <c r="L46" s="33">
        <v>0</v>
      </c>
      <c r="M46" s="33">
        <f t="shared" si="9"/>
        <v>942.07476800000006</v>
      </c>
      <c r="N46" s="33">
        <v>0</v>
      </c>
      <c r="O46" s="33">
        <v>0</v>
      </c>
      <c r="P46" s="33">
        <v>0</v>
      </c>
      <c r="Q46" s="33">
        <f>F46/2*G46</f>
        <v>942.07476800000006</v>
      </c>
      <c r="R46" s="33">
        <v>0</v>
      </c>
      <c r="S46" s="33">
        <v>0</v>
      </c>
      <c r="T46" s="33">
        <v>0</v>
      </c>
      <c r="U46" s="33">
        <f t="shared" si="8"/>
        <v>1884.1495360000001</v>
      </c>
      <c r="V46" s="126"/>
      <c r="W46" s="126"/>
    </row>
    <row r="47" spans="1:23">
      <c r="A47" s="130" t="s">
        <v>197</v>
      </c>
      <c r="B47" s="10" t="s">
        <v>54</v>
      </c>
      <c r="C47" s="25" t="s">
        <v>31</v>
      </c>
      <c r="D47" s="10" t="s">
        <v>51</v>
      </c>
      <c r="E47" s="30">
        <v>3433.81</v>
      </c>
      <c r="F47" s="31">
        <f>SUM(E47*2/1000)</f>
        <v>6.8676199999999996</v>
      </c>
      <c r="G47" s="49">
        <v>648.64</v>
      </c>
      <c r="H47" s="32">
        <f t="shared" si="7"/>
        <v>4.4546130367999996</v>
      </c>
      <c r="I47" s="33">
        <v>0</v>
      </c>
      <c r="J47" s="33">
        <v>0</v>
      </c>
      <c r="K47" s="33">
        <v>0</v>
      </c>
      <c r="L47" s="33">
        <v>0</v>
      </c>
      <c r="M47" s="33">
        <f t="shared" si="9"/>
        <v>2227.3065183999997</v>
      </c>
      <c r="N47" s="33">
        <v>0</v>
      </c>
      <c r="O47" s="33">
        <v>0</v>
      </c>
      <c r="P47" s="33">
        <v>0</v>
      </c>
      <c r="Q47" s="33">
        <f>F47/2*G47</f>
        <v>2227.3065183999997</v>
      </c>
      <c r="R47" s="33">
        <v>0</v>
      </c>
      <c r="S47" s="33">
        <v>0</v>
      </c>
      <c r="T47" s="33">
        <v>0</v>
      </c>
      <c r="U47" s="33">
        <f t="shared" si="8"/>
        <v>4454.6130367999995</v>
      </c>
      <c r="V47" s="126"/>
      <c r="W47" s="126"/>
    </row>
    <row r="48" spans="1:23" ht="25.5">
      <c r="A48" s="130" t="s">
        <v>198</v>
      </c>
      <c r="B48" s="10" t="s">
        <v>55</v>
      </c>
      <c r="C48" s="25" t="s">
        <v>31</v>
      </c>
      <c r="D48" s="10" t="s">
        <v>56</v>
      </c>
      <c r="E48" s="30">
        <v>2641.8</v>
      </c>
      <c r="F48" s="31">
        <f>SUM(E48*5/1000)</f>
        <v>13.209</v>
      </c>
      <c r="G48" s="49">
        <v>1297.28</v>
      </c>
      <c r="H48" s="32">
        <f t="shared" si="7"/>
        <v>17.135771519999999</v>
      </c>
      <c r="I48" s="33">
        <f>F48/5*G48</f>
        <v>3427.1543039999997</v>
      </c>
      <c r="J48" s="33">
        <f>F48/5*G48</f>
        <v>3427.1543039999997</v>
      </c>
      <c r="K48" s="33">
        <v>0</v>
      </c>
      <c r="L48" s="33">
        <f>0</f>
        <v>0</v>
      </c>
      <c r="M48" s="33">
        <f>F48/5*G48</f>
        <v>3427.1543039999997</v>
      </c>
      <c r="N48" s="33">
        <v>0</v>
      </c>
      <c r="O48" s="33">
        <v>0</v>
      </c>
      <c r="P48" s="33">
        <v>0</v>
      </c>
      <c r="Q48" s="33">
        <f>F48/5*G48</f>
        <v>3427.1543039999997</v>
      </c>
      <c r="R48" s="33">
        <v>0</v>
      </c>
      <c r="S48" s="33">
        <v>0</v>
      </c>
      <c r="T48" s="33">
        <f>F48/5*G48</f>
        <v>3427.1543039999997</v>
      </c>
      <c r="U48" s="33">
        <f t="shared" si="8"/>
        <v>17135.771519999998</v>
      </c>
      <c r="V48" s="126"/>
      <c r="W48" s="126"/>
    </row>
    <row r="49" spans="1:23" ht="38.25" customHeight="1">
      <c r="A49" s="130" t="s">
        <v>199</v>
      </c>
      <c r="B49" s="10" t="s">
        <v>57</v>
      </c>
      <c r="C49" s="25" t="s">
        <v>31</v>
      </c>
      <c r="D49" s="10" t="s">
        <v>51</v>
      </c>
      <c r="E49" s="30">
        <v>2641.8</v>
      </c>
      <c r="F49" s="31">
        <f>SUM(E49*2/1000)</f>
        <v>5.2836000000000007</v>
      </c>
      <c r="G49" s="49">
        <v>1297.28</v>
      </c>
      <c r="H49" s="32">
        <f t="shared" si="7"/>
        <v>6.8543086080000011</v>
      </c>
      <c r="I49" s="33">
        <v>0</v>
      </c>
      <c r="J49" s="33">
        <v>0</v>
      </c>
      <c r="K49" s="33">
        <v>0</v>
      </c>
      <c r="L49" s="33">
        <f>F49/2*G49</f>
        <v>3427.1543040000006</v>
      </c>
      <c r="M49" s="33">
        <v>0</v>
      </c>
      <c r="N49" s="33">
        <v>0</v>
      </c>
      <c r="O49" s="33">
        <f>F49/2*G49</f>
        <v>3427.1543040000006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f t="shared" si="8"/>
        <v>6854.3086080000012</v>
      </c>
      <c r="V49" s="126"/>
      <c r="W49" s="126"/>
    </row>
    <row r="50" spans="1:23" ht="25.5" customHeight="1">
      <c r="A50" s="130" t="s">
        <v>200</v>
      </c>
      <c r="B50" s="10" t="s">
        <v>58</v>
      </c>
      <c r="C50" s="25" t="s">
        <v>59</v>
      </c>
      <c r="D50" s="10" t="s">
        <v>51</v>
      </c>
      <c r="E50" s="30">
        <v>20</v>
      </c>
      <c r="F50" s="31">
        <f>SUM(E50*2/100)</f>
        <v>0.4</v>
      </c>
      <c r="G50" s="49">
        <v>2918.89</v>
      </c>
      <c r="H50" s="32">
        <f>SUM(F50*G50/1000)</f>
        <v>1.167556</v>
      </c>
      <c r="I50" s="33">
        <v>0</v>
      </c>
      <c r="J50" s="33">
        <v>0</v>
      </c>
      <c r="K50" s="33">
        <v>0</v>
      </c>
      <c r="L50" s="33">
        <f>F50/2*G50</f>
        <v>583.77800000000002</v>
      </c>
      <c r="M50" s="33">
        <v>0</v>
      </c>
      <c r="N50" s="33">
        <v>0</v>
      </c>
      <c r="O50" s="33">
        <f>F50/2*G50</f>
        <v>583.77800000000002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f t="shared" si="8"/>
        <v>1167.556</v>
      </c>
      <c r="V50" s="126"/>
      <c r="W50" s="126"/>
    </row>
    <row r="51" spans="1:23">
      <c r="A51" s="130" t="s">
        <v>201</v>
      </c>
      <c r="B51" s="10" t="s">
        <v>60</v>
      </c>
      <c r="C51" s="25" t="s">
        <v>61</v>
      </c>
      <c r="D51" s="10" t="s">
        <v>51</v>
      </c>
      <c r="E51" s="30">
        <v>1</v>
      </c>
      <c r="F51" s="31">
        <v>0.02</v>
      </c>
      <c r="G51" s="49">
        <v>6042.12</v>
      </c>
      <c r="H51" s="32">
        <f t="shared" si="7"/>
        <v>0.1208424</v>
      </c>
      <c r="I51" s="33">
        <v>0</v>
      </c>
      <c r="J51" s="33">
        <v>0</v>
      </c>
      <c r="K51" s="33">
        <v>0</v>
      </c>
      <c r="L51" s="33">
        <f>F51/2*G51</f>
        <v>60.421199999999999</v>
      </c>
      <c r="M51" s="33">
        <v>0</v>
      </c>
      <c r="N51" s="33">
        <v>0</v>
      </c>
      <c r="O51" s="33">
        <v>0</v>
      </c>
      <c r="P51" s="33">
        <v>0</v>
      </c>
      <c r="Q51" s="33">
        <f>F51/2*G51</f>
        <v>60.421199999999999</v>
      </c>
      <c r="R51" s="33">
        <v>0</v>
      </c>
      <c r="S51" s="33">
        <v>0</v>
      </c>
      <c r="T51" s="33">
        <v>0</v>
      </c>
      <c r="U51" s="33">
        <f t="shared" si="8"/>
        <v>120.8424</v>
      </c>
      <c r="V51" s="126"/>
      <c r="W51" s="126"/>
    </row>
    <row r="52" spans="1:23" ht="13.5" customHeight="1">
      <c r="A52" s="130" t="s">
        <v>63</v>
      </c>
      <c r="B52" s="10" t="s">
        <v>64</v>
      </c>
      <c r="C52" s="25" t="s">
        <v>62</v>
      </c>
      <c r="D52" s="10" t="s">
        <v>142</v>
      </c>
      <c r="E52" s="30">
        <v>160</v>
      </c>
      <c r="F52" s="31">
        <f>SUM(E52)*3</f>
        <v>480</v>
      </c>
      <c r="G52" s="50">
        <v>70.209999999999994</v>
      </c>
      <c r="H52" s="32">
        <f t="shared" si="7"/>
        <v>33.700799999999994</v>
      </c>
      <c r="I52" s="33">
        <v>0</v>
      </c>
      <c r="J52" s="33">
        <v>0</v>
      </c>
      <c r="K52" s="33">
        <v>0</v>
      </c>
      <c r="L52" s="33">
        <f>E52*G52</f>
        <v>11233.599999999999</v>
      </c>
      <c r="M52" s="33">
        <v>0</v>
      </c>
      <c r="N52" s="33">
        <v>0</v>
      </c>
      <c r="O52" s="33">
        <v>0</v>
      </c>
      <c r="P52" s="33">
        <f>E52*G52</f>
        <v>11233.599999999999</v>
      </c>
      <c r="Q52" s="33">
        <v>0</v>
      </c>
      <c r="R52" s="33">
        <v>0</v>
      </c>
      <c r="S52" s="33">
        <v>0</v>
      </c>
      <c r="T52" s="33">
        <f>E52*G52</f>
        <v>11233.599999999999</v>
      </c>
      <c r="U52" s="33">
        <f t="shared" si="8"/>
        <v>33700.799999999996</v>
      </c>
      <c r="V52" s="126"/>
      <c r="W52" s="126"/>
    </row>
    <row r="53" spans="1:23" s="20" customFormat="1">
      <c r="A53" s="133"/>
      <c r="B53" s="19" t="s">
        <v>28</v>
      </c>
      <c r="C53" s="51"/>
      <c r="D53" s="19"/>
      <c r="E53" s="52"/>
      <c r="F53" s="53"/>
      <c r="G53" s="53"/>
      <c r="H53" s="45">
        <f>SUM(H44:H52)</f>
        <v>67.781509938799985</v>
      </c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>
        <f>SUM(U44:U52)</f>
        <v>67781.509938799994</v>
      </c>
      <c r="V53" s="126"/>
      <c r="W53" s="126"/>
    </row>
    <row r="54" spans="1:23">
      <c r="A54" s="130"/>
      <c r="B54" s="11" t="s">
        <v>65</v>
      </c>
      <c r="C54" s="25"/>
      <c r="D54" s="10"/>
      <c r="E54" s="30"/>
      <c r="F54" s="31"/>
      <c r="G54" s="31"/>
      <c r="H54" s="32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126"/>
      <c r="W54" s="126"/>
    </row>
    <row r="55" spans="1:23" ht="38.25" customHeight="1">
      <c r="A55" s="130" t="s">
        <v>202</v>
      </c>
      <c r="B55" s="10" t="s">
        <v>165</v>
      </c>
      <c r="C55" s="25" t="s">
        <v>13</v>
      </c>
      <c r="D55" s="10" t="s">
        <v>66</v>
      </c>
      <c r="E55" s="30">
        <v>155.09</v>
      </c>
      <c r="F55" s="31">
        <f>SUM(E55*6/100)</f>
        <v>9.3053999999999988</v>
      </c>
      <c r="G55" s="49">
        <v>1654.04</v>
      </c>
      <c r="H55" s="32">
        <f>SUM(F55*G55/1000)</f>
        <v>15.391503815999998</v>
      </c>
      <c r="I55" s="33">
        <f>F55/6*G55</f>
        <v>2565.2506359999993</v>
      </c>
      <c r="J55" s="33">
        <f>F55/6*G55</f>
        <v>2565.2506359999993</v>
      </c>
      <c r="K55" s="33">
        <f>F55/6*G55</f>
        <v>2565.2506359999993</v>
      </c>
      <c r="L55" s="33">
        <f>F55/6*G55</f>
        <v>2565.2506359999993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f>F55/6*G55</f>
        <v>2565.2506359999993</v>
      </c>
      <c r="T55" s="33">
        <f>F55/6*G55</f>
        <v>2565.2506359999993</v>
      </c>
      <c r="U55" s="33">
        <f t="shared" ref="U55:U81" si="10">SUM(I55:T55)</f>
        <v>15391.503815999995</v>
      </c>
      <c r="V55" s="126"/>
      <c r="W55" s="126"/>
    </row>
    <row r="56" spans="1:23" ht="12.75" customHeight="1">
      <c r="A56" s="141" t="s">
        <v>202</v>
      </c>
      <c r="B56" s="10" t="s">
        <v>128</v>
      </c>
      <c r="C56" s="25" t="s">
        <v>13</v>
      </c>
      <c r="D56" s="10" t="s">
        <v>66</v>
      </c>
      <c r="E56" s="30">
        <v>3.8</v>
      </c>
      <c r="F56" s="31">
        <f>SUM(E56*6/100)</f>
        <v>0.22799999999999998</v>
      </c>
      <c r="G56" s="49">
        <v>1654.04</v>
      </c>
      <c r="H56" s="32">
        <f>SUM(F56*G56/1000)</f>
        <v>0.37712111999999998</v>
      </c>
      <c r="I56" s="33">
        <f>F56/6*G56</f>
        <v>62.853519999999996</v>
      </c>
      <c r="J56" s="33">
        <f>F56/6*G56</f>
        <v>62.853519999999996</v>
      </c>
      <c r="K56" s="33">
        <f>F56/6*G56</f>
        <v>62.853519999999996</v>
      </c>
      <c r="L56" s="33">
        <f>F56/6*G56</f>
        <v>62.853519999999996</v>
      </c>
      <c r="M56" s="33">
        <f>0</f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f>F56/6*G56</f>
        <v>62.853519999999996</v>
      </c>
      <c r="T56" s="33">
        <f>F56/6*G56</f>
        <v>62.853519999999996</v>
      </c>
      <c r="U56" s="33">
        <f t="shared" si="10"/>
        <v>377.12111999999996</v>
      </c>
      <c r="V56" s="126"/>
      <c r="W56" s="126"/>
    </row>
    <row r="57" spans="1:23" ht="12.75" customHeight="1">
      <c r="A57" s="134" t="s">
        <v>203</v>
      </c>
      <c r="B57" s="21" t="s">
        <v>129</v>
      </c>
      <c r="C57" s="55" t="s">
        <v>130</v>
      </c>
      <c r="D57" s="21" t="s">
        <v>51</v>
      </c>
      <c r="E57" s="56">
        <v>4</v>
      </c>
      <c r="F57" s="57">
        <v>0.8</v>
      </c>
      <c r="G57" s="49">
        <v>193.23</v>
      </c>
      <c r="H57" s="32">
        <f t="shared" ref="H57:H58" si="11">SUM(F57*G57/1000)</f>
        <v>0.154584</v>
      </c>
      <c r="I57" s="33">
        <f>F57/2*G57</f>
        <v>77.292000000000002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f t="shared" si="10"/>
        <v>77.292000000000002</v>
      </c>
      <c r="V57" s="126"/>
      <c r="W57" s="126"/>
    </row>
    <row r="58" spans="1:23" ht="12.75" customHeight="1">
      <c r="A58" s="134" t="s">
        <v>228</v>
      </c>
      <c r="B58" s="21" t="s">
        <v>109</v>
      </c>
      <c r="C58" s="55" t="s">
        <v>24</v>
      </c>
      <c r="D58" s="21" t="s">
        <v>34</v>
      </c>
      <c r="E58" s="56">
        <v>1320.9</v>
      </c>
      <c r="F58" s="57">
        <f>E58/100</f>
        <v>13.209000000000001</v>
      </c>
      <c r="G58" s="49">
        <v>505.2</v>
      </c>
      <c r="H58" s="32">
        <f t="shared" si="11"/>
        <v>6.6731868000000008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f t="shared" si="10"/>
        <v>0</v>
      </c>
      <c r="V58"/>
      <c r="W58"/>
    </row>
    <row r="59" spans="1:23" ht="12.75" customHeight="1">
      <c r="A59" s="134"/>
      <c r="B59" s="22" t="s">
        <v>67</v>
      </c>
      <c r="C59" s="55"/>
      <c r="D59" s="21"/>
      <c r="E59" s="56"/>
      <c r="F59" s="57"/>
      <c r="G59" s="49"/>
      <c r="H59" s="58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126"/>
      <c r="W59" s="126"/>
    </row>
    <row r="60" spans="1:23" ht="12.75" customHeight="1">
      <c r="A60" s="130" t="s">
        <v>204</v>
      </c>
      <c r="B60" s="21" t="s">
        <v>109</v>
      </c>
      <c r="C60" s="55" t="s">
        <v>24</v>
      </c>
      <c r="D60" s="21" t="s">
        <v>34</v>
      </c>
      <c r="E60" s="56">
        <v>1238</v>
      </c>
      <c r="F60" s="57">
        <f>E60/100</f>
        <v>12.38</v>
      </c>
      <c r="G60" s="49">
        <v>848.37</v>
      </c>
      <c r="H60" s="58">
        <f>F60*G60/1000</f>
        <v>10.502820600000002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33">
        <v>0</v>
      </c>
      <c r="T60" s="33">
        <v>0</v>
      </c>
      <c r="U60" s="33">
        <f t="shared" si="10"/>
        <v>0</v>
      </c>
      <c r="V60" s="126"/>
      <c r="W60" s="126"/>
    </row>
    <row r="61" spans="1:23" ht="12.75" customHeight="1">
      <c r="A61" s="130"/>
      <c r="B61" s="21" t="s">
        <v>108</v>
      </c>
      <c r="C61" s="55" t="s">
        <v>68</v>
      </c>
      <c r="D61" s="21" t="s">
        <v>106</v>
      </c>
      <c r="E61" s="56">
        <v>238</v>
      </c>
      <c r="F61" s="59">
        <f>E61*12</f>
        <v>2856</v>
      </c>
      <c r="G61" s="60">
        <v>2.6</v>
      </c>
      <c r="H61" s="57">
        <f>F61*G61/1000</f>
        <v>7.4256000000000002</v>
      </c>
      <c r="I61" s="33">
        <f>F61/12*G61</f>
        <v>618.80000000000007</v>
      </c>
      <c r="J61" s="33">
        <f>F61/12*G61</f>
        <v>618.80000000000007</v>
      </c>
      <c r="K61" s="33">
        <f>F61/12*G61</f>
        <v>618.80000000000007</v>
      </c>
      <c r="L61" s="33">
        <f>F61/12*G61</f>
        <v>618.80000000000007</v>
      </c>
      <c r="M61" s="33">
        <f>F61/12*G61</f>
        <v>618.80000000000007</v>
      </c>
      <c r="N61" s="33">
        <f>F61/12*G61</f>
        <v>618.80000000000007</v>
      </c>
      <c r="O61" s="33">
        <f>F61/12*G61</f>
        <v>618.80000000000007</v>
      </c>
      <c r="P61" s="33">
        <f>F61/12*G61</f>
        <v>618.80000000000007</v>
      </c>
      <c r="Q61" s="33">
        <f>F61/12*G61</f>
        <v>618.80000000000007</v>
      </c>
      <c r="R61" s="33">
        <f>F61/12*G61</f>
        <v>618.80000000000007</v>
      </c>
      <c r="S61" s="33">
        <f>F61/12*G61</f>
        <v>618.80000000000007</v>
      </c>
      <c r="T61" s="33">
        <f>F61/12*G61</f>
        <v>618.80000000000007</v>
      </c>
      <c r="U61" s="33">
        <f t="shared" si="10"/>
        <v>7425.6000000000013</v>
      </c>
      <c r="V61" s="126"/>
      <c r="W61" s="126"/>
    </row>
    <row r="62" spans="1:23">
      <c r="A62" s="134"/>
      <c r="B62" s="14" t="s">
        <v>70</v>
      </c>
      <c r="C62" s="55"/>
      <c r="D62" s="21"/>
      <c r="E62" s="56"/>
      <c r="F62" s="59"/>
      <c r="G62" s="59"/>
      <c r="H62" s="57" t="s">
        <v>45</v>
      </c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126"/>
      <c r="W62" s="126"/>
    </row>
    <row r="63" spans="1:23" ht="12.75" customHeight="1">
      <c r="A63" s="61" t="s">
        <v>205</v>
      </c>
      <c r="B63" s="15" t="s">
        <v>71</v>
      </c>
      <c r="C63" s="61" t="s">
        <v>62</v>
      </c>
      <c r="D63" s="8" t="s">
        <v>41</v>
      </c>
      <c r="E63" s="62">
        <v>8</v>
      </c>
      <c r="F63" s="31">
        <v>8</v>
      </c>
      <c r="G63" s="49">
        <v>237.74</v>
      </c>
      <c r="H63" s="63">
        <f t="shared" ref="H63:H76" si="12">SUM(F63*G63/1000)</f>
        <v>1.9019200000000001</v>
      </c>
      <c r="I63" s="33">
        <v>0</v>
      </c>
      <c r="J63" s="33">
        <v>0</v>
      </c>
      <c r="K63" s="33">
        <f>G63</f>
        <v>237.74</v>
      </c>
      <c r="L63" s="33">
        <f>G63</f>
        <v>237.74</v>
      </c>
      <c r="M63" s="33">
        <f>G63</f>
        <v>237.74</v>
      </c>
      <c r="N63" s="33">
        <f>G63*3</f>
        <v>713.22</v>
      </c>
      <c r="O63" s="33">
        <f>G63*3</f>
        <v>713.22</v>
      </c>
      <c r="P63" s="33">
        <v>0</v>
      </c>
      <c r="Q63" s="33">
        <f>G63*3</f>
        <v>713.22</v>
      </c>
      <c r="R63" s="33">
        <f>G63*6</f>
        <v>1426.44</v>
      </c>
      <c r="S63" s="33">
        <f>G63*2</f>
        <v>475.48</v>
      </c>
      <c r="T63" s="33">
        <f>G63</f>
        <v>237.74</v>
      </c>
      <c r="U63" s="33">
        <f t="shared" si="10"/>
        <v>4992.5399999999991</v>
      </c>
      <c r="V63" s="126"/>
      <c r="W63" s="126"/>
    </row>
    <row r="64" spans="1:23" ht="12.75" customHeight="1">
      <c r="A64" s="61" t="s">
        <v>206</v>
      </c>
      <c r="B64" s="15" t="s">
        <v>72</v>
      </c>
      <c r="C64" s="61" t="s">
        <v>62</v>
      </c>
      <c r="D64" s="8" t="s">
        <v>41</v>
      </c>
      <c r="E64" s="62">
        <v>3</v>
      </c>
      <c r="F64" s="31">
        <v>3</v>
      </c>
      <c r="G64" s="49">
        <v>81.510000000000005</v>
      </c>
      <c r="H64" s="63">
        <f t="shared" si="12"/>
        <v>0.24453000000000003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f t="shared" si="10"/>
        <v>0</v>
      </c>
      <c r="V64" s="126"/>
      <c r="W64" s="126"/>
    </row>
    <row r="65" spans="1:23" s="1" customFormat="1">
      <c r="A65" s="64" t="s">
        <v>207</v>
      </c>
      <c r="B65" s="15" t="s">
        <v>73</v>
      </c>
      <c r="C65" s="64" t="s">
        <v>74</v>
      </c>
      <c r="D65" s="8" t="s">
        <v>34</v>
      </c>
      <c r="E65" s="30">
        <v>19836</v>
      </c>
      <c r="F65" s="50">
        <f>SUM(E65/100)</f>
        <v>198.36</v>
      </c>
      <c r="G65" s="49">
        <v>226.79</v>
      </c>
      <c r="H65" s="63">
        <f t="shared" si="12"/>
        <v>44.986064400000004</v>
      </c>
      <c r="I65" s="48">
        <v>0</v>
      </c>
      <c r="J65" s="48">
        <v>0</v>
      </c>
      <c r="K65" s="48">
        <v>0</v>
      </c>
      <c r="L65" s="48">
        <v>0</v>
      </c>
      <c r="M65" s="48">
        <f>F65*G65</f>
        <v>44986.064400000003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33">
        <f t="shared" si="10"/>
        <v>44986.064400000003</v>
      </c>
      <c r="V65" s="126"/>
      <c r="W65" s="126"/>
    </row>
    <row r="66" spans="1:23" ht="12.75" customHeight="1">
      <c r="A66" s="61" t="s">
        <v>208</v>
      </c>
      <c r="B66" s="15" t="s">
        <v>75</v>
      </c>
      <c r="C66" s="61" t="s">
        <v>76</v>
      </c>
      <c r="D66" s="8"/>
      <c r="E66" s="30">
        <v>19836</v>
      </c>
      <c r="F66" s="49">
        <f>SUM(E66/1000)</f>
        <v>19.835999999999999</v>
      </c>
      <c r="G66" s="49">
        <v>176.61</v>
      </c>
      <c r="H66" s="63">
        <f t="shared" si="12"/>
        <v>3.50323596</v>
      </c>
      <c r="I66" s="33">
        <v>0</v>
      </c>
      <c r="J66" s="33">
        <v>0</v>
      </c>
      <c r="K66" s="33">
        <v>0</v>
      </c>
      <c r="L66" s="33">
        <v>0</v>
      </c>
      <c r="M66" s="33">
        <f>F66*G66</f>
        <v>3503.23596</v>
      </c>
      <c r="N66" s="33">
        <v>0</v>
      </c>
      <c r="O66" s="33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3">
        <f t="shared" si="10"/>
        <v>3503.23596</v>
      </c>
      <c r="V66" s="126"/>
      <c r="W66" s="126"/>
    </row>
    <row r="67" spans="1:23">
      <c r="A67" s="61" t="s">
        <v>209</v>
      </c>
      <c r="B67" s="15" t="s">
        <v>77</v>
      </c>
      <c r="C67" s="61" t="s">
        <v>78</v>
      </c>
      <c r="D67" s="8" t="s">
        <v>34</v>
      </c>
      <c r="E67" s="30">
        <v>3155</v>
      </c>
      <c r="F67" s="49">
        <f>SUM(E67/100)</f>
        <v>31.55</v>
      </c>
      <c r="G67" s="49">
        <v>2217.7800000000002</v>
      </c>
      <c r="H67" s="63">
        <f t="shared" si="12"/>
        <v>69.970959000000008</v>
      </c>
      <c r="I67" s="33">
        <v>0</v>
      </c>
      <c r="J67" s="33">
        <v>0</v>
      </c>
      <c r="K67" s="33">
        <v>0</v>
      </c>
      <c r="L67" s="33">
        <v>0</v>
      </c>
      <c r="M67" s="33">
        <f>F67*G67</f>
        <v>69970.959000000003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f t="shared" si="10"/>
        <v>69970.959000000003</v>
      </c>
      <c r="V67" s="126"/>
      <c r="W67" s="126"/>
    </row>
    <row r="68" spans="1:23">
      <c r="A68" s="61"/>
      <c r="B68" s="16" t="s">
        <v>100</v>
      </c>
      <c r="C68" s="61" t="s">
        <v>39</v>
      </c>
      <c r="D68" s="8"/>
      <c r="E68" s="30">
        <v>17.600000000000001</v>
      </c>
      <c r="F68" s="49">
        <f>SUM(E68)</f>
        <v>17.600000000000001</v>
      </c>
      <c r="G68" s="49">
        <v>42.67</v>
      </c>
      <c r="H68" s="63">
        <f t="shared" si="12"/>
        <v>0.7509920000000001</v>
      </c>
      <c r="I68" s="33">
        <v>0</v>
      </c>
      <c r="J68" s="33">
        <v>0</v>
      </c>
      <c r="K68" s="33">
        <v>0</v>
      </c>
      <c r="L68" s="33">
        <v>0</v>
      </c>
      <c r="M68" s="33">
        <f>F68*G68</f>
        <v>750.99200000000008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f t="shared" si="10"/>
        <v>750.99200000000008</v>
      </c>
      <c r="V68" s="126"/>
      <c r="W68" s="126"/>
    </row>
    <row r="69" spans="1:23" ht="12.75" customHeight="1">
      <c r="A69" s="135"/>
      <c r="B69" s="16" t="s">
        <v>101</v>
      </c>
      <c r="C69" s="61" t="s">
        <v>39</v>
      </c>
      <c r="D69" s="8"/>
      <c r="E69" s="30">
        <v>17.600000000000001</v>
      </c>
      <c r="F69" s="49">
        <f>SUM(E69)</f>
        <v>17.600000000000001</v>
      </c>
      <c r="G69" s="49">
        <v>39.81</v>
      </c>
      <c r="H69" s="63">
        <f t="shared" si="12"/>
        <v>0.70065600000000006</v>
      </c>
      <c r="I69" s="33">
        <v>0</v>
      </c>
      <c r="J69" s="33">
        <v>0</v>
      </c>
      <c r="K69" s="33">
        <v>0</v>
      </c>
      <c r="L69" s="33">
        <v>0</v>
      </c>
      <c r="M69" s="33">
        <f>F69*G69</f>
        <v>700.65600000000006</v>
      </c>
      <c r="N69" s="33">
        <v>0</v>
      </c>
      <c r="O69" s="33">
        <v>0</v>
      </c>
      <c r="P69" s="33">
        <v>0</v>
      </c>
      <c r="Q69" s="33">
        <v>0</v>
      </c>
      <c r="R69" s="33">
        <v>0</v>
      </c>
      <c r="S69" s="33">
        <v>0</v>
      </c>
      <c r="T69" s="33">
        <v>0</v>
      </c>
      <c r="U69" s="33">
        <f t="shared" si="10"/>
        <v>700.65600000000006</v>
      </c>
      <c r="V69" s="126"/>
      <c r="W69" s="126"/>
    </row>
    <row r="70" spans="1:23">
      <c r="A70" s="61" t="s">
        <v>210</v>
      </c>
      <c r="B70" s="8" t="s">
        <v>79</v>
      </c>
      <c r="C70" s="61" t="s">
        <v>80</v>
      </c>
      <c r="D70" s="8" t="s">
        <v>34</v>
      </c>
      <c r="E70" s="62">
        <v>7</v>
      </c>
      <c r="F70" s="31">
        <v>7</v>
      </c>
      <c r="G70" s="49">
        <v>53.32</v>
      </c>
      <c r="H70" s="63">
        <f t="shared" si="12"/>
        <v>0.37324000000000002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33">
        <v>0</v>
      </c>
      <c r="Q70" s="33">
        <f>F70*G70</f>
        <v>373.24</v>
      </c>
      <c r="R70" s="33">
        <v>0</v>
      </c>
      <c r="S70" s="33">
        <v>0</v>
      </c>
      <c r="T70" s="33">
        <v>0</v>
      </c>
      <c r="U70" s="33">
        <f t="shared" si="10"/>
        <v>373.24</v>
      </c>
      <c r="V70" s="126"/>
      <c r="W70" s="126"/>
    </row>
    <row r="71" spans="1:23">
      <c r="A71" s="135"/>
      <c r="B71" s="17" t="s">
        <v>81</v>
      </c>
      <c r="C71" s="61"/>
      <c r="D71" s="8"/>
      <c r="E71" s="62"/>
      <c r="F71" s="49"/>
      <c r="G71" s="49"/>
      <c r="H71" s="63" t="s">
        <v>45</v>
      </c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126"/>
      <c r="W71" s="126"/>
    </row>
    <row r="72" spans="1:23">
      <c r="A72" s="61" t="s">
        <v>211</v>
      </c>
      <c r="B72" s="8" t="s">
        <v>82</v>
      </c>
      <c r="C72" s="61" t="s">
        <v>83</v>
      </c>
      <c r="D72" s="8"/>
      <c r="E72" s="62">
        <v>2</v>
      </c>
      <c r="F72" s="49">
        <v>0.2</v>
      </c>
      <c r="G72" s="49">
        <v>536.23</v>
      </c>
      <c r="H72" s="63">
        <f t="shared" si="12"/>
        <v>0.10724600000000001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f t="shared" si="10"/>
        <v>0</v>
      </c>
      <c r="V72" s="126"/>
      <c r="W72" s="126"/>
    </row>
    <row r="73" spans="1:23">
      <c r="A73" s="61" t="s">
        <v>212</v>
      </c>
      <c r="B73" s="8" t="s">
        <v>102</v>
      </c>
      <c r="C73" s="61" t="s">
        <v>36</v>
      </c>
      <c r="D73" s="8"/>
      <c r="E73" s="62">
        <v>1</v>
      </c>
      <c r="F73" s="60">
        <v>1</v>
      </c>
      <c r="G73" s="49">
        <v>911.85</v>
      </c>
      <c r="H73" s="63">
        <f>F73*G73/1000</f>
        <v>0.91185000000000005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>
        <v>0</v>
      </c>
      <c r="R73" s="33">
        <v>0</v>
      </c>
      <c r="S73" s="33">
        <v>0</v>
      </c>
      <c r="T73" s="33">
        <v>0</v>
      </c>
      <c r="U73" s="33">
        <f t="shared" si="10"/>
        <v>0</v>
      </c>
      <c r="V73" s="126"/>
      <c r="W73" s="126"/>
    </row>
    <row r="74" spans="1:23">
      <c r="A74" s="61" t="s">
        <v>213</v>
      </c>
      <c r="B74" s="8" t="s">
        <v>104</v>
      </c>
      <c r="C74" s="61" t="s">
        <v>36</v>
      </c>
      <c r="D74" s="8"/>
      <c r="E74" s="62">
        <v>1</v>
      </c>
      <c r="F74" s="49">
        <v>1</v>
      </c>
      <c r="G74" s="49">
        <v>383.25</v>
      </c>
      <c r="H74" s="63">
        <f>G74*F74/1000</f>
        <v>0.38324999999999998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f t="shared" si="10"/>
        <v>0</v>
      </c>
      <c r="V74" s="126"/>
      <c r="W74" s="126"/>
    </row>
    <row r="75" spans="1:23">
      <c r="A75" s="135"/>
      <c r="B75" s="66" t="s">
        <v>84</v>
      </c>
      <c r="C75" s="61"/>
      <c r="D75" s="8"/>
      <c r="E75" s="62"/>
      <c r="F75" s="49"/>
      <c r="G75" s="49" t="s">
        <v>45</v>
      </c>
      <c r="H75" s="63" t="s">
        <v>45</v>
      </c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126"/>
      <c r="W75" s="126"/>
    </row>
    <row r="76" spans="1:23" s="1" customFormat="1">
      <c r="A76" s="64" t="s">
        <v>85</v>
      </c>
      <c r="B76" s="67" t="s">
        <v>86</v>
      </c>
      <c r="C76" s="64" t="s">
        <v>78</v>
      </c>
      <c r="D76" s="15"/>
      <c r="E76" s="68"/>
      <c r="F76" s="50">
        <v>0.3</v>
      </c>
      <c r="G76" s="50">
        <v>2949.85</v>
      </c>
      <c r="H76" s="63">
        <f t="shared" si="12"/>
        <v>0.88495499999999994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33">
        <f t="shared" si="10"/>
        <v>0</v>
      </c>
      <c r="V76" s="126"/>
      <c r="W76" s="126"/>
    </row>
    <row r="77" spans="1:23" s="20" customFormat="1">
      <c r="A77" s="136"/>
      <c r="B77" s="19" t="s">
        <v>28</v>
      </c>
      <c r="C77" s="69"/>
      <c r="D77" s="70"/>
      <c r="E77" s="71"/>
      <c r="F77" s="54"/>
      <c r="G77" s="54"/>
      <c r="H77" s="72">
        <f>SUM(H55:H76)</f>
        <v>165.24371469600001</v>
      </c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>
        <f>SUM(U55:U76)</f>
        <v>148549.20429599998</v>
      </c>
      <c r="V77" s="126"/>
      <c r="W77" s="126"/>
    </row>
    <row r="78" spans="1:23">
      <c r="A78" s="137" t="s">
        <v>145</v>
      </c>
      <c r="B78" s="10" t="s">
        <v>146</v>
      </c>
      <c r="C78" s="74"/>
      <c r="D78" s="75"/>
      <c r="E78" s="116"/>
      <c r="F78" s="76">
        <v>1</v>
      </c>
      <c r="G78" s="77">
        <v>19443</v>
      </c>
      <c r="H78" s="63">
        <f>G78*F78/1000</f>
        <v>19.443000000000001</v>
      </c>
      <c r="I78" s="33">
        <v>0</v>
      </c>
      <c r="J78" s="33">
        <v>0</v>
      </c>
      <c r="K78" s="33">
        <v>0</v>
      </c>
      <c r="L78" s="33">
        <v>0</v>
      </c>
      <c r="M78" s="34">
        <v>0</v>
      </c>
      <c r="N78" s="33">
        <v>0</v>
      </c>
      <c r="O78" s="33">
        <v>0</v>
      </c>
      <c r="P78" s="33">
        <v>0</v>
      </c>
      <c r="Q78" s="33">
        <v>0</v>
      </c>
      <c r="R78" s="33">
        <v>0</v>
      </c>
      <c r="S78" s="33">
        <v>0</v>
      </c>
      <c r="T78" s="33">
        <f>G78</f>
        <v>19443</v>
      </c>
      <c r="U78" s="33">
        <f t="shared" si="10"/>
        <v>19443</v>
      </c>
      <c r="V78" s="126"/>
      <c r="W78" s="126"/>
    </row>
    <row r="79" spans="1:23" ht="12.75" customHeight="1">
      <c r="A79" s="61"/>
      <c r="B79" s="73" t="s">
        <v>87</v>
      </c>
      <c r="C79" s="61" t="s">
        <v>88</v>
      </c>
      <c r="D79" s="78"/>
      <c r="E79" s="49">
        <v>4731.7</v>
      </c>
      <c r="F79" s="49">
        <f>SUM(E79*12)</f>
        <v>56780.399999999994</v>
      </c>
      <c r="G79" s="79">
        <v>2.54</v>
      </c>
      <c r="H79" s="63">
        <f>SUM(F79*G79/1000)</f>
        <v>144.22221599999997</v>
      </c>
      <c r="I79" s="33">
        <f>F79/12*G79</f>
        <v>12018.518</v>
      </c>
      <c r="J79" s="33">
        <f>F79/12*G79</f>
        <v>12018.518</v>
      </c>
      <c r="K79" s="33">
        <f>F79/12*G79</f>
        <v>12018.518</v>
      </c>
      <c r="L79" s="33">
        <f>F79/12*G79</f>
        <v>12018.518</v>
      </c>
      <c r="M79" s="33">
        <f>F79/12*G79</f>
        <v>12018.518</v>
      </c>
      <c r="N79" s="33">
        <f>F79/12*G79</f>
        <v>12018.518</v>
      </c>
      <c r="O79" s="33">
        <f>F79/12*G79</f>
        <v>12018.518</v>
      </c>
      <c r="P79" s="33">
        <f>F79/12*G79</f>
        <v>12018.518</v>
      </c>
      <c r="Q79" s="33">
        <f>F79/12*G79</f>
        <v>12018.518</v>
      </c>
      <c r="R79" s="33">
        <f>F79/12*G79</f>
        <v>12018.518</v>
      </c>
      <c r="S79" s="33">
        <f>F79/12*G79</f>
        <v>12018.518</v>
      </c>
      <c r="T79" s="33">
        <f>F79/12*G79</f>
        <v>12018.518</v>
      </c>
      <c r="U79" s="33">
        <f t="shared" si="10"/>
        <v>144222.21599999999</v>
      </c>
      <c r="V79" s="126"/>
      <c r="W79" s="126"/>
    </row>
    <row r="80" spans="1:23" s="18" customFormat="1">
      <c r="A80" s="80"/>
      <c r="B80" s="19" t="s">
        <v>28</v>
      </c>
      <c r="C80" s="81"/>
      <c r="D80" s="82"/>
      <c r="E80" s="83"/>
      <c r="F80" s="40"/>
      <c r="G80" s="84"/>
      <c r="H80" s="41">
        <f>SUM(H78:H79)</f>
        <v>163.66521599999999</v>
      </c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>
        <f>SUM(U78:U79)</f>
        <v>163665.21599999999</v>
      </c>
      <c r="V80" s="126"/>
      <c r="W80" s="126"/>
    </row>
    <row r="81" spans="1:23" ht="25.5" customHeight="1">
      <c r="A81" s="135"/>
      <c r="B81" s="8" t="s">
        <v>89</v>
      </c>
      <c r="C81" s="61"/>
      <c r="D81" s="85"/>
      <c r="E81" s="30">
        <f>E79</f>
        <v>4731.7</v>
      </c>
      <c r="F81" s="49">
        <f>E81*12</f>
        <v>56780.399999999994</v>
      </c>
      <c r="G81" s="49">
        <v>3.05</v>
      </c>
      <c r="H81" s="63">
        <f>F81*G81/1000</f>
        <v>173.18021999999996</v>
      </c>
      <c r="I81" s="33">
        <f>F81/12*G81</f>
        <v>14431.684999999999</v>
      </c>
      <c r="J81" s="33">
        <f>F81/12*G81</f>
        <v>14431.684999999999</v>
      </c>
      <c r="K81" s="33">
        <f>F81/12*G81</f>
        <v>14431.684999999999</v>
      </c>
      <c r="L81" s="33">
        <f>F81/12*G81</f>
        <v>14431.684999999999</v>
      </c>
      <c r="M81" s="33">
        <f>F81/12*G81</f>
        <v>14431.684999999999</v>
      </c>
      <c r="N81" s="33">
        <f>F81/12*G81</f>
        <v>14431.684999999999</v>
      </c>
      <c r="O81" s="33">
        <f>F81/12*G81</f>
        <v>14431.684999999999</v>
      </c>
      <c r="P81" s="33">
        <f>F81/12*G81</f>
        <v>14431.684999999999</v>
      </c>
      <c r="Q81" s="33">
        <f>F81/12*G81</f>
        <v>14431.684999999999</v>
      </c>
      <c r="R81" s="33">
        <f>F81/12*G81</f>
        <v>14431.684999999999</v>
      </c>
      <c r="S81" s="33">
        <f>F81/12*G81</f>
        <v>14431.684999999999</v>
      </c>
      <c r="T81" s="33">
        <f>F81/12*G81</f>
        <v>14431.684999999999</v>
      </c>
      <c r="U81" s="33">
        <f t="shared" si="10"/>
        <v>173180.22</v>
      </c>
      <c r="V81" s="126"/>
      <c r="W81" s="126"/>
    </row>
    <row r="82" spans="1:23" s="18" customFormat="1">
      <c r="A82" s="80"/>
      <c r="B82" s="86" t="s">
        <v>90</v>
      </c>
      <c r="C82" s="87"/>
      <c r="D82" s="86"/>
      <c r="E82" s="40"/>
      <c r="F82" s="40"/>
      <c r="G82" s="40"/>
      <c r="H82" s="72">
        <f>H81</f>
        <v>173.18021999999996</v>
      </c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120">
        <f>U81</f>
        <v>173180.22</v>
      </c>
      <c r="V82" s="126"/>
      <c r="W82" s="126"/>
    </row>
    <row r="83" spans="1:23" s="18" customFormat="1">
      <c r="A83" s="80"/>
      <c r="B83" s="86" t="s">
        <v>91</v>
      </c>
      <c r="C83" s="88"/>
      <c r="D83" s="89"/>
      <c r="E83" s="90"/>
      <c r="F83" s="90"/>
      <c r="G83" s="90"/>
      <c r="H83" s="72">
        <f>SUM(H82+H80+H77+H53+H42+H33+H22)</f>
        <v>1199.5172210660999</v>
      </c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120">
        <f>SUM(U82+U80+U77+U53+U42+U33+U22)</f>
        <v>1153811.8605660999</v>
      </c>
      <c r="V83" s="126"/>
      <c r="W83" s="126"/>
    </row>
    <row r="84" spans="1:23">
      <c r="A84" s="135"/>
      <c r="B84" s="85" t="s">
        <v>92</v>
      </c>
      <c r="C84" s="61"/>
      <c r="D84" s="85"/>
      <c r="E84" s="49"/>
      <c r="F84" s="49"/>
      <c r="G84" s="49" t="s">
        <v>93</v>
      </c>
      <c r="H84" s="91">
        <f>E81</f>
        <v>4731.7</v>
      </c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126"/>
      <c r="W84" s="126"/>
    </row>
    <row r="85" spans="1:23" s="18" customFormat="1">
      <c r="A85" s="80"/>
      <c r="B85" s="89" t="s">
        <v>94</v>
      </c>
      <c r="C85" s="88"/>
      <c r="D85" s="89"/>
      <c r="E85" s="90"/>
      <c r="F85" s="90"/>
      <c r="G85" s="90"/>
      <c r="H85" s="92">
        <f>SUM(H83/H84/12*1000)</f>
        <v>21.125550736981424</v>
      </c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121"/>
      <c r="V85" s="126"/>
      <c r="W85" s="126"/>
    </row>
    <row r="86" spans="1:23">
      <c r="A86" s="93"/>
      <c r="B86" s="85"/>
      <c r="C86" s="61"/>
      <c r="D86" s="85"/>
      <c r="E86" s="49"/>
      <c r="F86" s="49"/>
      <c r="G86" s="49"/>
      <c r="H86" s="94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122"/>
      <c r="V86" s="126"/>
      <c r="W86" s="126"/>
    </row>
    <row r="87" spans="1:23">
      <c r="A87" s="135"/>
      <c r="B87" s="161" t="s">
        <v>95</v>
      </c>
      <c r="C87" s="162"/>
      <c r="D87" s="163"/>
      <c r="E87" s="164"/>
      <c r="F87" s="164"/>
      <c r="G87" s="164"/>
      <c r="H87" s="164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26"/>
      <c r="W87" s="126"/>
    </row>
    <row r="88" spans="1:23" ht="12.75" customHeight="1">
      <c r="A88" s="143" t="s">
        <v>215</v>
      </c>
      <c r="B88" s="144" t="s">
        <v>169</v>
      </c>
      <c r="C88" s="143" t="s">
        <v>149</v>
      </c>
      <c r="D88" s="8"/>
      <c r="E88" s="62"/>
      <c r="F88" s="49">
        <v>9</v>
      </c>
      <c r="G88" s="49">
        <v>195.85</v>
      </c>
      <c r="H88" s="63">
        <f>G88*F88/1000</f>
        <v>1.7626499999999998</v>
      </c>
      <c r="I88" s="33">
        <f>G88*2</f>
        <v>391.7</v>
      </c>
      <c r="J88" s="33">
        <v>0</v>
      </c>
      <c r="K88" s="33">
        <v>0</v>
      </c>
      <c r="L88" s="33">
        <f>G88</f>
        <v>195.85</v>
      </c>
      <c r="M88" s="33">
        <f>G88</f>
        <v>195.85</v>
      </c>
      <c r="N88" s="33">
        <v>0</v>
      </c>
      <c r="O88" s="33">
        <v>0</v>
      </c>
      <c r="P88" s="33">
        <v>0</v>
      </c>
      <c r="Q88" s="33">
        <f>G88</f>
        <v>195.85</v>
      </c>
      <c r="R88" s="33">
        <v>0</v>
      </c>
      <c r="S88" s="33">
        <f>G88*2</f>
        <v>391.7</v>
      </c>
      <c r="T88" s="33">
        <f>G88*2</f>
        <v>391.7</v>
      </c>
      <c r="U88" s="33">
        <f t="shared" ref="U88:U119" si="13">SUM(I88:T88)</f>
        <v>1762.65</v>
      </c>
    </row>
    <row r="89" spans="1:23" s="18" customFormat="1" ht="25.5" customHeight="1">
      <c r="A89" s="145" t="s">
        <v>225</v>
      </c>
      <c r="B89" s="144" t="s">
        <v>222</v>
      </c>
      <c r="C89" s="143" t="s">
        <v>170</v>
      </c>
      <c r="D89" s="8"/>
      <c r="E89" s="62"/>
      <c r="F89" s="49">
        <v>7</v>
      </c>
      <c r="G89" s="140">
        <v>589.84</v>
      </c>
      <c r="H89" s="63">
        <f>G89*F89/1000</f>
        <v>4.1288800000000005</v>
      </c>
      <c r="I89" s="33">
        <f>G89</f>
        <v>589.84</v>
      </c>
      <c r="J89" s="33">
        <v>0</v>
      </c>
      <c r="K89" s="33">
        <f>G89*3</f>
        <v>1769.52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f>G89</f>
        <v>589.84</v>
      </c>
      <c r="R89" s="33">
        <f>G89*(1+1)</f>
        <v>1179.68</v>
      </c>
      <c r="S89" s="33">
        <v>0</v>
      </c>
      <c r="T89" s="33">
        <v>0</v>
      </c>
      <c r="U89" s="33">
        <f t="shared" si="13"/>
        <v>4128.88</v>
      </c>
      <c r="V89" s="126"/>
      <c r="W89" s="126"/>
    </row>
    <row r="90" spans="1:23" s="18" customFormat="1" ht="25.5" customHeight="1">
      <c r="A90" s="145" t="s">
        <v>223</v>
      </c>
      <c r="B90" s="144" t="s">
        <v>224</v>
      </c>
      <c r="C90" s="143" t="s">
        <v>170</v>
      </c>
      <c r="D90" s="8"/>
      <c r="E90" s="62"/>
      <c r="F90" s="49">
        <v>3</v>
      </c>
      <c r="G90" s="140">
        <v>506.98</v>
      </c>
      <c r="H90" s="63">
        <f t="shared" ref="H90:H92" si="14">G90*F90/1000</f>
        <v>1.52094</v>
      </c>
      <c r="I90" s="33">
        <f>G90</f>
        <v>506.98</v>
      </c>
      <c r="J90" s="33">
        <v>0</v>
      </c>
      <c r="K90" s="33">
        <f>G90</f>
        <v>506.98</v>
      </c>
      <c r="L90" s="33">
        <v>0</v>
      </c>
      <c r="M90" s="33">
        <v>0</v>
      </c>
      <c r="N90" s="33">
        <f>G90</f>
        <v>506.98</v>
      </c>
      <c r="O90" s="33">
        <v>0</v>
      </c>
      <c r="P90" s="33">
        <v>0</v>
      </c>
      <c r="Q90" s="33">
        <v>0</v>
      </c>
      <c r="R90" s="33">
        <v>0</v>
      </c>
      <c r="S90" s="33">
        <v>0</v>
      </c>
      <c r="T90" s="33">
        <v>0</v>
      </c>
      <c r="U90" s="33">
        <f t="shared" si="13"/>
        <v>1520.94</v>
      </c>
      <c r="V90" s="126"/>
      <c r="W90" s="126"/>
    </row>
    <row r="91" spans="1:23" s="18" customFormat="1" ht="25.5" customHeight="1">
      <c r="A91" s="146" t="s">
        <v>232</v>
      </c>
      <c r="B91" s="148" t="s">
        <v>230</v>
      </c>
      <c r="C91" s="149" t="s">
        <v>231</v>
      </c>
      <c r="D91" s="8"/>
      <c r="E91" s="62"/>
      <c r="F91" s="49">
        <f>89/10</f>
        <v>8.9</v>
      </c>
      <c r="G91" s="140">
        <v>314.08999999999997</v>
      </c>
      <c r="H91" s="63">
        <f t="shared" si="14"/>
        <v>2.795401</v>
      </c>
      <c r="I91" s="33">
        <f>G91*0.4</f>
        <v>125.636</v>
      </c>
      <c r="J91" s="33">
        <v>0</v>
      </c>
      <c r="K91" s="33">
        <f>G91*3.5</f>
        <v>1099.3149999999998</v>
      </c>
      <c r="L91" s="33">
        <v>0</v>
      </c>
      <c r="M91" s="33">
        <v>0</v>
      </c>
      <c r="N91" s="33">
        <f>G91*5</f>
        <v>1570.4499999999998</v>
      </c>
      <c r="O91" s="33">
        <v>0</v>
      </c>
      <c r="P91" s="33">
        <v>0</v>
      </c>
      <c r="Q91" s="33">
        <v>0</v>
      </c>
      <c r="R91" s="33">
        <v>0</v>
      </c>
      <c r="S91" s="33">
        <v>0</v>
      </c>
      <c r="T91" s="33">
        <v>0</v>
      </c>
      <c r="U91" s="33">
        <f t="shared" si="13"/>
        <v>2795.4009999999998</v>
      </c>
      <c r="V91" s="126"/>
      <c r="W91" s="126"/>
    </row>
    <row r="92" spans="1:23" s="18" customFormat="1" ht="12.75" customHeight="1">
      <c r="A92" s="145"/>
      <c r="B92" s="148" t="s">
        <v>233</v>
      </c>
      <c r="C92" s="149" t="s">
        <v>62</v>
      </c>
      <c r="D92" s="147"/>
      <c r="E92" s="140"/>
      <c r="F92" s="140">
        <v>2</v>
      </c>
      <c r="G92" s="140">
        <v>470</v>
      </c>
      <c r="H92" s="63">
        <f t="shared" si="14"/>
        <v>0.94</v>
      </c>
      <c r="I92" s="33">
        <f>G92</f>
        <v>470</v>
      </c>
      <c r="J92" s="33">
        <f>G92</f>
        <v>470</v>
      </c>
      <c r="K92" s="33">
        <v>0</v>
      </c>
      <c r="L92" s="33">
        <v>0</v>
      </c>
      <c r="M92" s="33">
        <v>0</v>
      </c>
      <c r="N92" s="33">
        <v>0</v>
      </c>
      <c r="O92" s="33">
        <v>0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f t="shared" si="13"/>
        <v>940</v>
      </c>
      <c r="V92" s="126"/>
      <c r="W92" s="126"/>
    </row>
    <row r="93" spans="1:23" ht="25.5">
      <c r="A93" s="143" t="s">
        <v>214</v>
      </c>
      <c r="B93" s="144" t="s">
        <v>148</v>
      </c>
      <c r="C93" s="143" t="s">
        <v>62</v>
      </c>
      <c r="D93" s="8"/>
      <c r="E93" s="62"/>
      <c r="F93" s="49">
        <v>8</v>
      </c>
      <c r="G93" s="49">
        <v>189.88</v>
      </c>
      <c r="H93" s="63">
        <f t="shared" ref="H93:H99" si="15">G93*F93/1000</f>
        <v>1.5190399999999999</v>
      </c>
      <c r="I93" s="33">
        <f>G93</f>
        <v>189.88</v>
      </c>
      <c r="J93" s="33">
        <f>G93*2</f>
        <v>379.76</v>
      </c>
      <c r="K93" s="33">
        <v>0</v>
      </c>
      <c r="L93" s="33">
        <f>G93*2</f>
        <v>379.76</v>
      </c>
      <c r="M93" s="33">
        <v>0</v>
      </c>
      <c r="N93" s="33">
        <f>G93</f>
        <v>189.88</v>
      </c>
      <c r="O93" s="33">
        <v>0</v>
      </c>
      <c r="P93" s="33">
        <v>0</v>
      </c>
      <c r="Q93" s="33">
        <f>G93*2</f>
        <v>379.76</v>
      </c>
      <c r="R93" s="33">
        <v>0</v>
      </c>
      <c r="S93" s="33">
        <v>0</v>
      </c>
      <c r="T93" s="33">
        <v>0</v>
      </c>
      <c r="U93" s="33">
        <f t="shared" si="13"/>
        <v>1519.04</v>
      </c>
    </row>
    <row r="94" spans="1:23" ht="25.5" customHeight="1">
      <c r="A94" s="143" t="s">
        <v>217</v>
      </c>
      <c r="B94" s="144" t="s">
        <v>156</v>
      </c>
      <c r="C94" s="143" t="s">
        <v>62</v>
      </c>
      <c r="D94" s="8"/>
      <c r="E94" s="62"/>
      <c r="F94" s="49">
        <v>972</v>
      </c>
      <c r="G94" s="49">
        <v>53.42</v>
      </c>
      <c r="H94" s="63">
        <f t="shared" si="15"/>
        <v>51.924240000000005</v>
      </c>
      <c r="I94" s="33">
        <f>G94*81</f>
        <v>4327.0200000000004</v>
      </c>
      <c r="J94" s="33">
        <f>G94*81</f>
        <v>4327.0200000000004</v>
      </c>
      <c r="K94" s="33">
        <f>G94*81</f>
        <v>4327.0200000000004</v>
      </c>
      <c r="L94" s="33">
        <f>G94*81</f>
        <v>4327.0200000000004</v>
      </c>
      <c r="M94" s="33">
        <f>G94*81</f>
        <v>4327.0200000000004</v>
      </c>
      <c r="N94" s="33">
        <f>G94*81</f>
        <v>4327.0200000000004</v>
      </c>
      <c r="O94" s="33">
        <f>G94*81</f>
        <v>4327.0200000000004</v>
      </c>
      <c r="P94" s="33">
        <f>G94*81</f>
        <v>4327.0200000000004</v>
      </c>
      <c r="Q94" s="33">
        <f>G94*81</f>
        <v>4327.0200000000004</v>
      </c>
      <c r="R94" s="33">
        <f>G94*81</f>
        <v>4327.0200000000004</v>
      </c>
      <c r="S94" s="33">
        <f>G94*81</f>
        <v>4327.0200000000004</v>
      </c>
      <c r="T94" s="33">
        <f>G94*81</f>
        <v>4327.0200000000004</v>
      </c>
      <c r="U94" s="33">
        <f t="shared" si="13"/>
        <v>51924.24000000002</v>
      </c>
      <c r="V94" s="126"/>
      <c r="W94" s="126"/>
    </row>
    <row r="95" spans="1:23" s="18" customFormat="1">
      <c r="A95" s="150" t="s">
        <v>218</v>
      </c>
      <c r="B95" s="151" t="s">
        <v>264</v>
      </c>
      <c r="C95" s="152" t="s">
        <v>62</v>
      </c>
      <c r="D95" s="85"/>
      <c r="E95" s="49"/>
      <c r="F95" s="49">
        <v>3</v>
      </c>
      <c r="G95" s="49">
        <v>1202.53</v>
      </c>
      <c r="H95" s="49">
        <f>G95*F95/1000</f>
        <v>3.6075900000000001</v>
      </c>
      <c r="I95" s="33">
        <f>G95</f>
        <v>1202.53</v>
      </c>
      <c r="J95" s="33">
        <f>G95</f>
        <v>1202.53</v>
      </c>
      <c r="K95" s="33">
        <v>0</v>
      </c>
      <c r="L95" s="33">
        <v>0</v>
      </c>
      <c r="M95" s="33">
        <v>0</v>
      </c>
      <c r="N95" s="33">
        <v>0</v>
      </c>
      <c r="O95" s="33">
        <v>0</v>
      </c>
      <c r="P95" s="33">
        <v>0</v>
      </c>
      <c r="Q95" s="33">
        <v>0</v>
      </c>
      <c r="R95" s="33">
        <f>G95</f>
        <v>1202.53</v>
      </c>
      <c r="S95" s="33">
        <v>0</v>
      </c>
      <c r="T95" s="33">
        <v>0</v>
      </c>
      <c r="U95" s="33">
        <f t="shared" si="13"/>
        <v>3607.59</v>
      </c>
      <c r="V95" s="126"/>
      <c r="W95" s="126"/>
    </row>
    <row r="96" spans="1:23" s="18" customFormat="1" ht="12.75" customHeight="1">
      <c r="A96" s="150" t="s">
        <v>239</v>
      </c>
      <c r="B96" s="151" t="s">
        <v>238</v>
      </c>
      <c r="C96" s="152" t="s">
        <v>168</v>
      </c>
      <c r="D96" s="85"/>
      <c r="E96" s="49"/>
      <c r="F96" s="49">
        <v>2</v>
      </c>
      <c r="G96" s="49">
        <v>88.14</v>
      </c>
      <c r="H96" s="63">
        <f t="shared" si="15"/>
        <v>0.17627999999999999</v>
      </c>
      <c r="I96" s="33">
        <f>G96*2</f>
        <v>176.28</v>
      </c>
      <c r="J96" s="33">
        <v>0</v>
      </c>
      <c r="K96" s="33">
        <v>0</v>
      </c>
      <c r="L96" s="33">
        <v>0</v>
      </c>
      <c r="M96" s="33">
        <v>0</v>
      </c>
      <c r="N96" s="33">
        <v>0</v>
      </c>
      <c r="O96" s="33">
        <v>0</v>
      </c>
      <c r="P96" s="33">
        <v>0</v>
      </c>
      <c r="Q96" s="33">
        <v>0</v>
      </c>
      <c r="R96" s="33">
        <v>0</v>
      </c>
      <c r="S96" s="33">
        <v>0</v>
      </c>
      <c r="T96" s="33">
        <v>0</v>
      </c>
      <c r="U96" s="33">
        <f t="shared" si="13"/>
        <v>176.28</v>
      </c>
      <c r="V96" s="126"/>
      <c r="W96" s="126"/>
    </row>
    <row r="97" spans="1:25" s="18" customFormat="1" ht="12.75" customHeight="1">
      <c r="A97" s="130" t="s">
        <v>240</v>
      </c>
      <c r="B97" s="10" t="s">
        <v>241</v>
      </c>
      <c r="C97" s="25" t="s">
        <v>62</v>
      </c>
      <c r="D97" s="85"/>
      <c r="E97" s="49"/>
      <c r="F97" s="49">
        <v>1</v>
      </c>
      <c r="G97" s="49">
        <v>86.15</v>
      </c>
      <c r="H97" s="63">
        <f t="shared" si="15"/>
        <v>8.6150000000000004E-2</v>
      </c>
      <c r="I97" s="33">
        <f>G97</f>
        <v>86.15</v>
      </c>
      <c r="J97" s="33">
        <v>0</v>
      </c>
      <c r="K97" s="33">
        <v>0</v>
      </c>
      <c r="L97" s="33">
        <v>0</v>
      </c>
      <c r="M97" s="33">
        <v>0</v>
      </c>
      <c r="N97" s="33">
        <v>0</v>
      </c>
      <c r="O97" s="33">
        <v>0</v>
      </c>
      <c r="P97" s="33">
        <v>0</v>
      </c>
      <c r="Q97" s="33">
        <v>0</v>
      </c>
      <c r="R97" s="33">
        <v>0</v>
      </c>
      <c r="S97" s="33">
        <v>0</v>
      </c>
      <c r="T97" s="33">
        <v>0</v>
      </c>
      <c r="U97" s="33">
        <f t="shared" si="13"/>
        <v>86.15</v>
      </c>
      <c r="V97" s="126"/>
      <c r="W97" s="126"/>
    </row>
    <row r="98" spans="1:25" ht="25.5">
      <c r="A98" s="152" t="s">
        <v>199</v>
      </c>
      <c r="B98" s="151" t="s">
        <v>243</v>
      </c>
      <c r="C98" s="152" t="s">
        <v>48</v>
      </c>
      <c r="D98" s="8"/>
      <c r="E98" s="62"/>
      <c r="F98" s="153">
        <v>2E-3</v>
      </c>
      <c r="G98" s="49">
        <v>1591.6</v>
      </c>
      <c r="H98" s="154">
        <f t="shared" si="15"/>
        <v>3.1831999999999997E-3</v>
      </c>
      <c r="I98" s="33">
        <v>0</v>
      </c>
      <c r="J98" s="33">
        <f>G98*0.001</f>
        <v>1.5915999999999999</v>
      </c>
      <c r="K98" s="33">
        <v>0</v>
      </c>
      <c r="L98" s="33">
        <f>G98*0.001</f>
        <v>1.5915999999999999</v>
      </c>
      <c r="M98" s="33">
        <v>0</v>
      </c>
      <c r="N98" s="33">
        <v>0</v>
      </c>
      <c r="O98" s="33">
        <v>0</v>
      </c>
      <c r="P98" s="33">
        <v>0</v>
      </c>
      <c r="Q98" s="33">
        <v>0</v>
      </c>
      <c r="R98" s="33">
        <v>0</v>
      </c>
      <c r="S98" s="33">
        <v>0</v>
      </c>
      <c r="T98" s="33">
        <v>0</v>
      </c>
      <c r="U98" s="33">
        <f t="shared" si="13"/>
        <v>3.1831999999999998</v>
      </c>
      <c r="V98"/>
      <c r="W98"/>
    </row>
    <row r="99" spans="1:25" ht="25.5" customHeight="1">
      <c r="A99" s="146" t="s">
        <v>246</v>
      </c>
      <c r="B99" s="151" t="s">
        <v>244</v>
      </c>
      <c r="C99" s="150" t="s">
        <v>245</v>
      </c>
      <c r="D99" s="8"/>
      <c r="E99" s="62"/>
      <c r="F99" s="49">
        <f>2.5/10</f>
        <v>0.25</v>
      </c>
      <c r="G99" s="49">
        <v>3577.04</v>
      </c>
      <c r="H99" s="154">
        <f t="shared" si="15"/>
        <v>0.89425999999999994</v>
      </c>
      <c r="I99" s="33">
        <v>0</v>
      </c>
      <c r="J99" s="33">
        <f>G99*0.25</f>
        <v>894.26</v>
      </c>
      <c r="K99" s="33">
        <v>0</v>
      </c>
      <c r="L99" s="33">
        <v>0</v>
      </c>
      <c r="M99" s="33">
        <v>0</v>
      </c>
      <c r="N99" s="33">
        <v>0</v>
      </c>
      <c r="O99" s="33">
        <v>0</v>
      </c>
      <c r="P99" s="33">
        <v>0</v>
      </c>
      <c r="Q99" s="33">
        <v>0</v>
      </c>
      <c r="R99" s="33">
        <v>0</v>
      </c>
      <c r="S99" s="33">
        <v>0</v>
      </c>
      <c r="T99" s="33">
        <v>0</v>
      </c>
      <c r="U99" s="33">
        <f t="shared" si="13"/>
        <v>894.26</v>
      </c>
      <c r="V99"/>
      <c r="W99"/>
    </row>
    <row r="100" spans="1:25" s="18" customFormat="1" ht="25.5" customHeight="1">
      <c r="A100" s="145" t="s">
        <v>152</v>
      </c>
      <c r="B100" s="144" t="s">
        <v>221</v>
      </c>
      <c r="C100" s="143" t="s">
        <v>168</v>
      </c>
      <c r="D100" s="85"/>
      <c r="E100" s="49"/>
      <c r="F100" s="49">
        <v>2.2999999999999998</v>
      </c>
      <c r="G100" s="49">
        <v>1148</v>
      </c>
      <c r="H100" s="63">
        <f t="shared" ref="H100:H107" si="16">G100*F100/1000</f>
        <v>2.6403999999999996</v>
      </c>
      <c r="I100" s="33">
        <v>0</v>
      </c>
      <c r="J100" s="33">
        <v>0</v>
      </c>
      <c r="K100" s="33">
        <f>G100*0.3</f>
        <v>344.4</v>
      </c>
      <c r="L100" s="33">
        <v>0</v>
      </c>
      <c r="M100" s="33">
        <v>0</v>
      </c>
      <c r="N100" s="33">
        <v>0</v>
      </c>
      <c r="O100" s="33">
        <f>G100*(1+1)</f>
        <v>2296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f t="shared" si="13"/>
        <v>2640.4</v>
      </c>
      <c r="V100" s="126"/>
      <c r="W100" s="126"/>
    </row>
    <row r="101" spans="1:25" ht="25.5" customHeight="1">
      <c r="A101" s="143" t="s">
        <v>201</v>
      </c>
      <c r="B101" s="144" t="s">
        <v>248</v>
      </c>
      <c r="C101" s="143" t="s">
        <v>166</v>
      </c>
      <c r="D101" s="85"/>
      <c r="E101" s="49"/>
      <c r="F101" s="49">
        <v>0.01</v>
      </c>
      <c r="G101" s="49">
        <v>7412.92</v>
      </c>
      <c r="H101" s="63">
        <f t="shared" si="16"/>
        <v>7.4129199999999992E-2</v>
      </c>
      <c r="I101" s="33">
        <v>0</v>
      </c>
      <c r="J101" s="33">
        <v>0</v>
      </c>
      <c r="K101" s="33">
        <f>G101*0.01</f>
        <v>74.129199999999997</v>
      </c>
      <c r="L101" s="33">
        <v>0</v>
      </c>
      <c r="M101" s="33">
        <v>0</v>
      </c>
      <c r="N101" s="33">
        <v>0</v>
      </c>
      <c r="O101" s="33">
        <v>0</v>
      </c>
      <c r="P101" s="33">
        <v>0</v>
      </c>
      <c r="Q101" s="33">
        <v>0</v>
      </c>
      <c r="R101" s="33">
        <v>0</v>
      </c>
      <c r="S101" s="33">
        <v>0</v>
      </c>
      <c r="T101" s="33">
        <v>0</v>
      </c>
      <c r="U101" s="33">
        <f t="shared" si="13"/>
        <v>74.129199999999997</v>
      </c>
      <c r="V101"/>
      <c r="W101"/>
    </row>
    <row r="102" spans="1:25" s="18" customFormat="1" ht="25.5" customHeight="1">
      <c r="A102" s="143" t="s">
        <v>220</v>
      </c>
      <c r="B102" s="144" t="s">
        <v>247</v>
      </c>
      <c r="C102" s="143" t="s">
        <v>151</v>
      </c>
      <c r="D102" s="85"/>
      <c r="E102" s="49"/>
      <c r="F102" s="49">
        <v>1</v>
      </c>
      <c r="G102" s="49">
        <v>129.16999999999999</v>
      </c>
      <c r="H102" s="63">
        <f t="shared" si="16"/>
        <v>0.12916999999999998</v>
      </c>
      <c r="I102" s="33">
        <v>0</v>
      </c>
      <c r="J102" s="33">
        <v>0</v>
      </c>
      <c r="K102" s="33">
        <v>0</v>
      </c>
      <c r="L102" s="33">
        <v>0</v>
      </c>
      <c r="M102" s="33">
        <f>G102</f>
        <v>129.16999999999999</v>
      </c>
      <c r="N102" s="33">
        <v>0</v>
      </c>
      <c r="O102" s="33">
        <v>0</v>
      </c>
      <c r="P102" s="33">
        <v>0</v>
      </c>
      <c r="Q102" s="33">
        <v>0</v>
      </c>
      <c r="R102" s="33">
        <v>0</v>
      </c>
      <c r="S102" s="33">
        <v>0</v>
      </c>
      <c r="T102" s="33">
        <v>0</v>
      </c>
      <c r="U102" s="33">
        <f t="shared" si="13"/>
        <v>129.16999999999999</v>
      </c>
      <c r="V102" s="126"/>
      <c r="W102" s="126"/>
    </row>
    <row r="103" spans="1:25" ht="38.25" customHeight="1">
      <c r="A103" s="143" t="s">
        <v>216</v>
      </c>
      <c r="B103" s="144" t="s">
        <v>150</v>
      </c>
      <c r="C103" s="143" t="s">
        <v>151</v>
      </c>
      <c r="D103" s="8"/>
      <c r="E103" s="62"/>
      <c r="F103" s="49">
        <v>1</v>
      </c>
      <c r="G103" s="49">
        <v>54.17</v>
      </c>
      <c r="H103" s="63">
        <f t="shared" si="16"/>
        <v>5.4170000000000003E-2</v>
      </c>
      <c r="I103" s="33">
        <v>0</v>
      </c>
      <c r="J103" s="33">
        <v>0</v>
      </c>
      <c r="K103" s="33">
        <v>0</v>
      </c>
      <c r="L103" s="33">
        <v>0</v>
      </c>
      <c r="M103" s="33">
        <f>G103</f>
        <v>54.17</v>
      </c>
      <c r="N103" s="33">
        <v>0</v>
      </c>
      <c r="O103" s="33">
        <v>0</v>
      </c>
      <c r="P103" s="33">
        <v>0</v>
      </c>
      <c r="Q103" s="33">
        <v>0</v>
      </c>
      <c r="R103" s="33">
        <v>0</v>
      </c>
      <c r="S103" s="33">
        <v>0</v>
      </c>
      <c r="T103" s="33">
        <v>0</v>
      </c>
      <c r="U103" s="33">
        <f t="shared" si="13"/>
        <v>54.17</v>
      </c>
    </row>
    <row r="104" spans="1:25" s="18" customFormat="1" ht="38.25" customHeight="1">
      <c r="A104" s="146" t="s">
        <v>250</v>
      </c>
      <c r="B104" s="151" t="s">
        <v>249</v>
      </c>
      <c r="C104" s="155" t="s">
        <v>245</v>
      </c>
      <c r="D104" s="85"/>
      <c r="E104" s="49"/>
      <c r="F104" s="49">
        <f>2.5/10</f>
        <v>0.25</v>
      </c>
      <c r="G104" s="49">
        <v>6848.69</v>
      </c>
      <c r="H104" s="63">
        <f t="shared" si="16"/>
        <v>1.7121724999999999</v>
      </c>
      <c r="I104" s="33">
        <v>0</v>
      </c>
      <c r="J104" s="33">
        <v>0</v>
      </c>
      <c r="K104" s="33">
        <v>0</v>
      </c>
      <c r="L104" s="33">
        <v>0</v>
      </c>
      <c r="M104" s="33">
        <f>G104*0.25</f>
        <v>1712.1724999999999</v>
      </c>
      <c r="N104" s="33">
        <v>0</v>
      </c>
      <c r="O104" s="33">
        <v>0</v>
      </c>
      <c r="P104" s="33">
        <v>0</v>
      </c>
      <c r="Q104" s="33">
        <v>0</v>
      </c>
      <c r="R104" s="33">
        <v>0</v>
      </c>
      <c r="S104" s="33">
        <v>0</v>
      </c>
      <c r="T104" s="33">
        <v>0</v>
      </c>
      <c r="U104" s="33">
        <f t="shared" si="13"/>
        <v>1712.1724999999999</v>
      </c>
      <c r="V104" s="126"/>
      <c r="W104" s="126"/>
    </row>
    <row r="105" spans="1:25" s="18" customFormat="1" ht="25.5" customHeight="1">
      <c r="A105" s="152" t="s">
        <v>252</v>
      </c>
      <c r="B105" s="151" t="s">
        <v>251</v>
      </c>
      <c r="C105" s="152" t="s">
        <v>170</v>
      </c>
      <c r="D105" s="85"/>
      <c r="E105" s="49"/>
      <c r="F105" s="49">
        <v>1</v>
      </c>
      <c r="G105" s="49">
        <v>117.11</v>
      </c>
      <c r="H105" s="63">
        <f t="shared" si="16"/>
        <v>0.11711000000000001</v>
      </c>
      <c r="I105" s="33">
        <v>0</v>
      </c>
      <c r="J105" s="33">
        <v>0</v>
      </c>
      <c r="K105" s="33">
        <v>0</v>
      </c>
      <c r="L105" s="33">
        <v>0</v>
      </c>
      <c r="M105" s="33">
        <v>0</v>
      </c>
      <c r="N105" s="33">
        <f>G105</f>
        <v>117.11</v>
      </c>
      <c r="O105" s="33">
        <v>0</v>
      </c>
      <c r="P105" s="33">
        <v>0</v>
      </c>
      <c r="Q105" s="33">
        <v>0</v>
      </c>
      <c r="R105" s="33">
        <v>0</v>
      </c>
      <c r="S105" s="33">
        <v>0</v>
      </c>
      <c r="T105" s="33">
        <v>0</v>
      </c>
      <c r="U105" s="33">
        <f t="shared" si="13"/>
        <v>117.11</v>
      </c>
      <c r="V105" s="126"/>
      <c r="W105" s="126"/>
    </row>
    <row r="106" spans="1:25" ht="25.5">
      <c r="A106" s="143" t="s">
        <v>253</v>
      </c>
      <c r="B106" s="144" t="s">
        <v>157</v>
      </c>
      <c r="C106" s="145" t="s">
        <v>158</v>
      </c>
      <c r="D106" s="85"/>
      <c r="E106" s="49"/>
      <c r="F106" s="49">
        <v>3</v>
      </c>
      <c r="G106" s="49">
        <v>294.45</v>
      </c>
      <c r="H106" s="63">
        <f t="shared" si="16"/>
        <v>0.88334999999999986</v>
      </c>
      <c r="I106" s="156">
        <v>0</v>
      </c>
      <c r="J106" s="156">
        <v>0</v>
      </c>
      <c r="K106" s="156">
        <v>0</v>
      </c>
      <c r="L106" s="156">
        <v>0</v>
      </c>
      <c r="M106" s="156">
        <v>0</v>
      </c>
      <c r="N106" s="156">
        <f>G106</f>
        <v>294.45</v>
      </c>
      <c r="O106" s="156">
        <v>0</v>
      </c>
      <c r="P106" s="156">
        <f>G106</f>
        <v>294.45</v>
      </c>
      <c r="Q106" s="33">
        <v>0</v>
      </c>
      <c r="R106" s="33">
        <v>0</v>
      </c>
      <c r="S106" s="33">
        <f>G106</f>
        <v>294.45</v>
      </c>
      <c r="T106" s="33">
        <v>0</v>
      </c>
      <c r="U106" s="33">
        <f t="shared" si="13"/>
        <v>883.34999999999991</v>
      </c>
      <c r="X106" s="125"/>
      <c r="Y106" s="125"/>
    </row>
    <row r="107" spans="1:25">
      <c r="A107" s="143" t="s">
        <v>111</v>
      </c>
      <c r="B107" s="144" t="s">
        <v>270</v>
      </c>
      <c r="C107" s="143" t="s">
        <v>39</v>
      </c>
      <c r="D107" s="8"/>
      <c r="E107" s="62"/>
      <c r="F107" s="49">
        <f>(57.14+1.68+41.84+14.25)-(15.58*6)</f>
        <v>21.429999999999993</v>
      </c>
      <c r="G107" s="49">
        <v>42.61</v>
      </c>
      <c r="H107" s="49">
        <f t="shared" si="16"/>
        <v>0.91313229999999967</v>
      </c>
      <c r="I107" s="156">
        <v>0</v>
      </c>
      <c r="J107" s="156">
        <v>0</v>
      </c>
      <c r="K107" s="156">
        <v>0</v>
      </c>
      <c r="L107" s="156">
        <v>0</v>
      </c>
      <c r="M107" s="156">
        <v>0</v>
      </c>
      <c r="N107" s="33">
        <f>G107*F107</f>
        <v>913.13229999999965</v>
      </c>
      <c r="O107" s="33">
        <v>0</v>
      </c>
      <c r="P107" s="33">
        <v>0</v>
      </c>
      <c r="Q107" s="33">
        <v>0</v>
      </c>
      <c r="R107" s="33">
        <v>0</v>
      </c>
      <c r="S107" s="33">
        <v>0</v>
      </c>
      <c r="T107" s="33">
        <v>0</v>
      </c>
      <c r="U107" s="33">
        <f t="shared" si="13"/>
        <v>913.13229999999965</v>
      </c>
      <c r="V107"/>
      <c r="W107"/>
    </row>
    <row r="108" spans="1:25" s="18" customFormat="1" ht="25.5" customHeight="1">
      <c r="A108" s="145" t="s">
        <v>152</v>
      </c>
      <c r="B108" s="144" t="s">
        <v>229</v>
      </c>
      <c r="C108" s="143" t="s">
        <v>168</v>
      </c>
      <c r="D108" s="85"/>
      <c r="E108" s="49"/>
      <c r="F108" s="49">
        <v>4</v>
      </c>
      <c r="G108" s="49">
        <v>1272</v>
      </c>
      <c r="H108" s="63">
        <f t="shared" ref="H108:H112" si="17">G108*F108/1000</f>
        <v>5.0880000000000001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3">
        <v>0</v>
      </c>
      <c r="O108" s="33">
        <f>G108*(2+2)</f>
        <v>5088</v>
      </c>
      <c r="P108" s="33">
        <v>0</v>
      </c>
      <c r="Q108" s="33">
        <v>0</v>
      </c>
      <c r="R108" s="33">
        <v>0</v>
      </c>
      <c r="S108" s="33">
        <v>0</v>
      </c>
      <c r="T108" s="33">
        <v>0</v>
      </c>
      <c r="U108" s="33">
        <f t="shared" si="13"/>
        <v>5088</v>
      </c>
      <c r="V108" s="126"/>
      <c r="W108" s="126"/>
    </row>
    <row r="109" spans="1:25">
      <c r="A109" s="157" t="s">
        <v>219</v>
      </c>
      <c r="B109" s="158" t="s">
        <v>258</v>
      </c>
      <c r="C109" s="157" t="s">
        <v>167</v>
      </c>
      <c r="D109" s="85"/>
      <c r="E109" s="49"/>
      <c r="F109" s="49">
        <f>(3)/3</f>
        <v>1</v>
      </c>
      <c r="G109" s="49">
        <v>1120.8900000000001</v>
      </c>
      <c r="H109" s="63">
        <f>G109*F109/1000</f>
        <v>1.1208900000000002</v>
      </c>
      <c r="I109" s="33">
        <v>0</v>
      </c>
      <c r="J109" s="33">
        <v>0</v>
      </c>
      <c r="K109" s="33">
        <v>0</v>
      </c>
      <c r="L109" s="33">
        <v>0</v>
      </c>
      <c r="M109" s="33">
        <v>0</v>
      </c>
      <c r="N109" s="33">
        <v>0</v>
      </c>
      <c r="O109" s="33">
        <f>G109*(3/3)</f>
        <v>1120.8900000000001</v>
      </c>
      <c r="P109" s="33">
        <v>0</v>
      </c>
      <c r="Q109" s="33">
        <v>0</v>
      </c>
      <c r="R109" s="33">
        <v>0</v>
      </c>
      <c r="S109" s="33">
        <v>0</v>
      </c>
      <c r="T109" s="33">
        <v>0</v>
      </c>
      <c r="U109" s="33">
        <f t="shared" si="13"/>
        <v>1120.8900000000001</v>
      </c>
      <c r="V109"/>
      <c r="W109"/>
    </row>
    <row r="110" spans="1:25" ht="25.5">
      <c r="A110" s="152" t="s">
        <v>254</v>
      </c>
      <c r="B110" s="151" t="s">
        <v>172</v>
      </c>
      <c r="C110" s="152" t="s">
        <v>170</v>
      </c>
      <c r="D110" s="85"/>
      <c r="E110" s="49"/>
      <c r="F110" s="49">
        <v>2</v>
      </c>
      <c r="G110" s="49">
        <v>1046.06</v>
      </c>
      <c r="H110" s="63">
        <f t="shared" si="17"/>
        <v>2.09212</v>
      </c>
      <c r="I110" s="156">
        <v>0</v>
      </c>
      <c r="J110" s="156">
        <v>0</v>
      </c>
      <c r="K110" s="156">
        <v>0</v>
      </c>
      <c r="L110" s="156">
        <v>0</v>
      </c>
      <c r="M110" s="156">
        <v>0</v>
      </c>
      <c r="N110" s="156">
        <v>0</v>
      </c>
      <c r="O110" s="156">
        <v>0</v>
      </c>
      <c r="P110" s="156">
        <f>G110*2</f>
        <v>2092.12</v>
      </c>
      <c r="Q110" s="33">
        <v>0</v>
      </c>
      <c r="R110" s="33">
        <v>0</v>
      </c>
      <c r="S110" s="33">
        <v>0</v>
      </c>
      <c r="T110" s="33">
        <v>0</v>
      </c>
      <c r="U110" s="33">
        <f t="shared" si="13"/>
        <v>2092.12</v>
      </c>
      <c r="V110"/>
      <c r="W110"/>
    </row>
    <row r="111" spans="1:25">
      <c r="A111" s="143" t="s">
        <v>171</v>
      </c>
      <c r="B111" s="144" t="s">
        <v>255</v>
      </c>
      <c r="C111" s="143" t="s">
        <v>62</v>
      </c>
      <c r="D111" s="8"/>
      <c r="E111" s="62"/>
      <c r="F111" s="49">
        <v>1</v>
      </c>
      <c r="G111" s="49">
        <v>140</v>
      </c>
      <c r="H111" s="63">
        <f t="shared" si="17"/>
        <v>0.14000000000000001</v>
      </c>
      <c r="I111" s="156">
        <v>0</v>
      </c>
      <c r="J111" s="156">
        <v>0</v>
      </c>
      <c r="K111" s="156">
        <v>0</v>
      </c>
      <c r="L111" s="156">
        <v>0</v>
      </c>
      <c r="M111" s="156">
        <v>0</v>
      </c>
      <c r="N111" s="156">
        <v>0</v>
      </c>
      <c r="O111" s="156">
        <v>0</v>
      </c>
      <c r="P111" s="156">
        <f>G111</f>
        <v>140</v>
      </c>
      <c r="Q111" s="33">
        <v>0</v>
      </c>
      <c r="R111" s="33">
        <v>0</v>
      </c>
      <c r="S111" s="33">
        <v>0</v>
      </c>
      <c r="T111" s="33">
        <v>0</v>
      </c>
      <c r="U111" s="33">
        <f t="shared" si="13"/>
        <v>140</v>
      </c>
      <c r="V111"/>
      <c r="W111"/>
    </row>
    <row r="112" spans="1:25" ht="12.75" customHeight="1">
      <c r="A112" s="143" t="s">
        <v>171</v>
      </c>
      <c r="B112" s="144" t="s">
        <v>256</v>
      </c>
      <c r="C112" s="143" t="s">
        <v>62</v>
      </c>
      <c r="D112" s="85"/>
      <c r="E112" s="49"/>
      <c r="F112" s="49">
        <v>1</v>
      </c>
      <c r="G112" s="49">
        <v>40</v>
      </c>
      <c r="H112" s="63">
        <f t="shared" si="17"/>
        <v>0.04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f>G112</f>
        <v>40</v>
      </c>
      <c r="Q112" s="33">
        <v>0</v>
      </c>
      <c r="R112" s="33">
        <v>0</v>
      </c>
      <c r="S112" s="33">
        <v>0</v>
      </c>
      <c r="T112" s="33">
        <v>0</v>
      </c>
      <c r="U112" s="33">
        <f t="shared" si="13"/>
        <v>40</v>
      </c>
      <c r="V112"/>
      <c r="W112"/>
    </row>
    <row r="113" spans="1:23" ht="12.75" customHeight="1">
      <c r="A113" s="152" t="s">
        <v>171</v>
      </c>
      <c r="B113" s="151" t="s">
        <v>257</v>
      </c>
      <c r="C113" s="152" t="s">
        <v>62</v>
      </c>
      <c r="D113" s="147"/>
      <c r="E113" s="49"/>
      <c r="F113" s="49">
        <v>1</v>
      </c>
      <c r="G113" s="49">
        <v>108</v>
      </c>
      <c r="H113" s="63">
        <f>G113*F113/1000</f>
        <v>0.108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3">
        <v>0</v>
      </c>
      <c r="O113" s="33">
        <v>0</v>
      </c>
      <c r="P113" s="33">
        <f>G113</f>
        <v>108</v>
      </c>
      <c r="Q113" s="33">
        <v>0</v>
      </c>
      <c r="R113" s="33">
        <v>0</v>
      </c>
      <c r="S113" s="33">
        <v>0</v>
      </c>
      <c r="T113" s="33">
        <v>0</v>
      </c>
      <c r="U113" s="33">
        <f t="shared" si="13"/>
        <v>108</v>
      </c>
      <c r="V113"/>
      <c r="W113"/>
    </row>
    <row r="114" spans="1:23" s="18" customFormat="1" ht="25.5" customHeight="1">
      <c r="A114" s="145" t="s">
        <v>225</v>
      </c>
      <c r="B114" s="144" t="s">
        <v>222</v>
      </c>
      <c r="C114" s="143" t="s">
        <v>170</v>
      </c>
      <c r="D114" s="8"/>
      <c r="E114" s="62"/>
      <c r="F114" s="49">
        <v>1</v>
      </c>
      <c r="G114" s="49">
        <v>589.54</v>
      </c>
      <c r="H114" s="63">
        <f t="shared" ref="H114" si="18">G114*F114/1000</f>
        <v>0.58953999999999995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33">
        <v>0</v>
      </c>
      <c r="O114" s="33">
        <v>0</v>
      </c>
      <c r="P114" s="33">
        <f>G114</f>
        <v>589.54</v>
      </c>
      <c r="Q114" s="33">
        <v>0</v>
      </c>
      <c r="R114" s="33">
        <v>0</v>
      </c>
      <c r="S114" s="33">
        <v>0</v>
      </c>
      <c r="T114" s="33">
        <v>0</v>
      </c>
      <c r="U114" s="33">
        <f t="shared" si="13"/>
        <v>589.54</v>
      </c>
      <c r="V114" s="126"/>
      <c r="W114" s="126"/>
    </row>
    <row r="115" spans="1:23" s="160" customFormat="1" ht="25.5" customHeight="1">
      <c r="A115" s="143" t="s">
        <v>259</v>
      </c>
      <c r="B115" s="144" t="s">
        <v>260</v>
      </c>
      <c r="C115" s="143" t="s">
        <v>226</v>
      </c>
      <c r="D115" s="85"/>
      <c r="E115" s="49"/>
      <c r="F115" s="49">
        <f>16/10</f>
        <v>1.6</v>
      </c>
      <c r="G115" s="49">
        <v>2064.25</v>
      </c>
      <c r="H115" s="159">
        <f t="shared" ref="H115:H116" si="19">G115*F115/1000</f>
        <v>3.3028000000000004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3">
        <v>0</v>
      </c>
      <c r="O115" s="33">
        <v>0</v>
      </c>
      <c r="P115" s="33">
        <f>G115*1.6</f>
        <v>3302.8</v>
      </c>
      <c r="Q115" s="33">
        <v>0</v>
      </c>
      <c r="R115" s="33">
        <v>0</v>
      </c>
      <c r="S115" s="33">
        <v>0</v>
      </c>
      <c r="T115" s="33">
        <v>0</v>
      </c>
      <c r="U115" s="33">
        <f t="shared" si="13"/>
        <v>3302.8</v>
      </c>
    </row>
    <row r="116" spans="1:23" s="160" customFormat="1" ht="12.75" customHeight="1">
      <c r="A116" s="150" t="s">
        <v>262</v>
      </c>
      <c r="B116" s="151" t="s">
        <v>261</v>
      </c>
      <c r="C116" s="152" t="s">
        <v>170</v>
      </c>
      <c r="D116" s="85"/>
      <c r="E116" s="49"/>
      <c r="F116" s="49">
        <v>2</v>
      </c>
      <c r="G116" s="49">
        <v>423.54</v>
      </c>
      <c r="H116" s="159">
        <f t="shared" si="19"/>
        <v>0.84708000000000006</v>
      </c>
      <c r="I116" s="33">
        <v>0</v>
      </c>
      <c r="J116" s="33">
        <v>0</v>
      </c>
      <c r="K116" s="33">
        <v>0</v>
      </c>
      <c r="L116" s="33">
        <v>0</v>
      </c>
      <c r="M116" s="33">
        <v>0</v>
      </c>
      <c r="N116" s="33">
        <v>0</v>
      </c>
      <c r="O116" s="33">
        <v>0</v>
      </c>
      <c r="P116" s="33">
        <v>0</v>
      </c>
      <c r="Q116" s="33">
        <f>G116</f>
        <v>423.54</v>
      </c>
      <c r="R116" s="33">
        <f>G116</f>
        <v>423.54</v>
      </c>
      <c r="S116" s="33">
        <v>0</v>
      </c>
      <c r="T116" s="33">
        <v>0</v>
      </c>
      <c r="U116" s="33">
        <f t="shared" si="13"/>
        <v>847.08</v>
      </c>
    </row>
    <row r="117" spans="1:23">
      <c r="A117" s="157" t="s">
        <v>219</v>
      </c>
      <c r="B117" s="158" t="s">
        <v>263</v>
      </c>
      <c r="C117" s="157" t="s">
        <v>167</v>
      </c>
      <c r="D117" s="85"/>
      <c r="E117" s="49"/>
      <c r="F117" s="49">
        <f>(3)/3</f>
        <v>1</v>
      </c>
      <c r="G117" s="49">
        <v>1120.8900000000001</v>
      </c>
      <c r="H117" s="63">
        <f>G117*F117/1000</f>
        <v>1.1208900000000002</v>
      </c>
      <c r="I117" s="33">
        <v>0</v>
      </c>
      <c r="J117" s="33">
        <v>0</v>
      </c>
      <c r="K117" s="33">
        <v>0</v>
      </c>
      <c r="L117" s="33">
        <v>0</v>
      </c>
      <c r="M117" s="33">
        <v>0</v>
      </c>
      <c r="N117" s="33">
        <v>0</v>
      </c>
      <c r="O117" s="33">
        <v>0</v>
      </c>
      <c r="P117" s="33">
        <v>0</v>
      </c>
      <c r="Q117" s="33">
        <f>G117</f>
        <v>1120.8900000000001</v>
      </c>
      <c r="R117" s="33">
        <v>0</v>
      </c>
      <c r="S117" s="33">
        <v>0</v>
      </c>
      <c r="T117" s="33">
        <v>0</v>
      </c>
      <c r="U117" s="33">
        <f t="shared" si="13"/>
        <v>1120.8900000000001</v>
      </c>
      <c r="V117"/>
      <c r="W117"/>
    </row>
    <row r="118" spans="1:23">
      <c r="A118" s="143" t="s">
        <v>145</v>
      </c>
      <c r="B118" s="144" t="s">
        <v>266</v>
      </c>
      <c r="C118" s="143" t="s">
        <v>265</v>
      </c>
      <c r="D118" s="165"/>
      <c r="E118" s="142"/>
      <c r="F118" s="140">
        <v>23</v>
      </c>
      <c r="G118" s="140">
        <f>103656/303</f>
        <v>342.0990099009901</v>
      </c>
      <c r="H118" s="159">
        <f t="shared" ref="H118:H119" si="20">G118*F118/1000</f>
        <v>7.8682772277227722</v>
      </c>
      <c r="I118" s="33">
        <v>0</v>
      </c>
      <c r="J118" s="33">
        <v>0</v>
      </c>
      <c r="K118" s="33">
        <v>0</v>
      </c>
      <c r="L118" s="33">
        <v>0</v>
      </c>
      <c r="M118" s="33">
        <v>0</v>
      </c>
      <c r="N118" s="33">
        <v>0</v>
      </c>
      <c r="O118" s="33">
        <v>0</v>
      </c>
      <c r="P118" s="33">
        <v>0</v>
      </c>
      <c r="Q118" s="33">
        <v>0</v>
      </c>
      <c r="R118" s="33">
        <f>G118*23</f>
        <v>7868.2772277227723</v>
      </c>
      <c r="S118" s="33">
        <v>0</v>
      </c>
      <c r="T118" s="33">
        <v>0</v>
      </c>
      <c r="U118" s="33">
        <f t="shared" si="13"/>
        <v>7868.2772277227723</v>
      </c>
      <c r="V118" s="126"/>
      <c r="W118" s="126"/>
    </row>
    <row r="119" spans="1:23">
      <c r="A119" s="143" t="s">
        <v>111</v>
      </c>
      <c r="B119" s="144" t="s">
        <v>271</v>
      </c>
      <c r="C119" s="143" t="s">
        <v>39</v>
      </c>
      <c r="D119" s="8"/>
      <c r="E119" s="62"/>
      <c r="F119" s="49">
        <f>(78.12+73.66+37.51+11.56)-(15.58*6)</f>
        <v>107.36999999999999</v>
      </c>
      <c r="G119" s="49">
        <v>44.31</v>
      </c>
      <c r="H119" s="49">
        <f t="shared" si="20"/>
        <v>4.7575646999999996</v>
      </c>
      <c r="I119" s="156">
        <v>0</v>
      </c>
      <c r="J119" s="156">
        <v>0</v>
      </c>
      <c r="K119" s="156">
        <v>0</v>
      </c>
      <c r="L119" s="156">
        <v>0</v>
      </c>
      <c r="M119" s="156">
        <v>0</v>
      </c>
      <c r="N119" s="156">
        <v>0</v>
      </c>
      <c r="O119" s="33">
        <v>0</v>
      </c>
      <c r="P119" s="33">
        <v>0</v>
      </c>
      <c r="Q119" s="33">
        <v>0</v>
      </c>
      <c r="R119" s="33">
        <v>0</v>
      </c>
      <c r="S119" s="33">
        <v>0</v>
      </c>
      <c r="T119" s="33">
        <f>G119*F119</f>
        <v>4757.5646999999999</v>
      </c>
      <c r="U119" s="33">
        <f t="shared" si="13"/>
        <v>4757.5646999999999</v>
      </c>
      <c r="V119"/>
      <c r="W119"/>
    </row>
    <row r="120" spans="1:23">
      <c r="A120" s="95"/>
      <c r="B120" s="96" t="s">
        <v>96</v>
      </c>
      <c r="C120" s="95"/>
      <c r="D120" s="95"/>
      <c r="E120" s="90"/>
      <c r="F120" s="90"/>
      <c r="G120" s="90"/>
      <c r="H120" s="41">
        <f>SUM(H87:H119)</f>
        <v>102.9574101277228</v>
      </c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40">
        <f>SUM(U87:U119)</f>
        <v>102957.41012772277</v>
      </c>
      <c r="V120" s="126"/>
      <c r="W120" s="126"/>
    </row>
    <row r="121" spans="1:23" ht="12" customHeight="1">
      <c r="A121" s="93"/>
      <c r="B121" s="97"/>
      <c r="C121" s="98"/>
      <c r="D121" s="98"/>
      <c r="E121" s="49"/>
      <c r="F121" s="49"/>
      <c r="G121" s="49"/>
      <c r="H121" s="99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123"/>
      <c r="V121" s="126"/>
      <c r="W121" s="126"/>
    </row>
    <row r="122" spans="1:23" s="18" customFormat="1" ht="25.5">
      <c r="A122" s="135"/>
      <c r="B122" s="17" t="s">
        <v>97</v>
      </c>
      <c r="C122" s="61"/>
      <c r="D122" s="85"/>
      <c r="E122" s="49"/>
      <c r="F122" s="49"/>
      <c r="G122" s="49"/>
      <c r="H122" s="100">
        <f>H120/E123/12*1000</f>
        <v>1.8132561610647828</v>
      </c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123"/>
      <c r="V122" s="126"/>
      <c r="W122" s="126"/>
    </row>
    <row r="123" spans="1:23">
      <c r="A123" s="80"/>
      <c r="B123" s="101" t="s">
        <v>98</v>
      </c>
      <c r="C123" s="102"/>
      <c r="D123" s="101"/>
      <c r="E123" s="138">
        <v>4731.7</v>
      </c>
      <c r="F123" s="103">
        <f>SUM(E123*12)</f>
        <v>56780.399999999994</v>
      </c>
      <c r="G123" s="104">
        <f>H85+H122</f>
        <v>22.938806898046206</v>
      </c>
      <c r="H123" s="105">
        <f>SUM(F123*G123/1000)</f>
        <v>1302.4746311938227</v>
      </c>
      <c r="I123" s="90">
        <f t="shared" ref="I123:T123" si="21">SUM(I11:I122)</f>
        <v>93144.689054916642</v>
      </c>
      <c r="J123" s="90">
        <f t="shared" si="21"/>
        <v>92265.453214916648</v>
      </c>
      <c r="K123" s="90">
        <f t="shared" si="21"/>
        <v>90718.295848916649</v>
      </c>
      <c r="L123" s="90">
        <f t="shared" si="21"/>
        <v>102795.01731291667</v>
      </c>
      <c r="M123" s="90">
        <f t="shared" si="21"/>
        <v>212842.01784120002</v>
      </c>
      <c r="N123" s="90">
        <f t="shared" si="21"/>
        <v>82988.732786799999</v>
      </c>
      <c r="O123" s="90">
        <f t="shared" si="21"/>
        <v>91923.642230800004</v>
      </c>
      <c r="P123" s="90">
        <f t="shared" si="21"/>
        <v>96484.020486799986</v>
      </c>
      <c r="Q123" s="90">
        <f t="shared" si="21"/>
        <v>90379.631136199983</v>
      </c>
      <c r="R123" s="90">
        <f t="shared" si="21"/>
        <v>90783.977714522771</v>
      </c>
      <c r="S123" s="90">
        <f t="shared" si="21"/>
        <v>87062.87675091665</v>
      </c>
      <c r="T123" s="90">
        <f t="shared" si="21"/>
        <v>125380.91631491667</v>
      </c>
      <c r="U123" s="40">
        <f>U83+U120</f>
        <v>1256769.2706938228</v>
      </c>
      <c r="V123" s="126"/>
      <c r="W123" s="126"/>
    </row>
    <row r="124" spans="1:23">
      <c r="A124" s="65"/>
      <c r="B124" s="65"/>
      <c r="C124" s="65"/>
      <c r="D124" s="65"/>
      <c r="E124" s="106"/>
      <c r="F124" s="106"/>
      <c r="G124" s="106"/>
      <c r="H124" s="106"/>
      <c r="I124" s="106"/>
      <c r="J124" s="106"/>
      <c r="K124" s="106"/>
      <c r="L124" s="106"/>
      <c r="M124" s="65"/>
      <c r="N124" s="106"/>
      <c r="O124" s="65"/>
      <c r="P124" s="65"/>
      <c r="Q124" s="65"/>
      <c r="R124" s="65"/>
      <c r="S124" s="65"/>
      <c r="T124" s="65"/>
      <c r="U124" s="65"/>
      <c r="V124" s="126"/>
      <c r="W124" s="126"/>
    </row>
    <row r="125" spans="1:23">
      <c r="A125" s="65"/>
      <c r="B125" s="65"/>
      <c r="C125" s="65"/>
      <c r="D125" s="65"/>
      <c r="E125" s="106"/>
      <c r="F125" s="106"/>
      <c r="G125" s="106"/>
      <c r="H125" s="106"/>
      <c r="I125" s="106"/>
      <c r="J125" s="107"/>
      <c r="K125" s="108"/>
      <c r="L125" s="107"/>
      <c r="M125" s="106"/>
      <c r="N125" s="65"/>
      <c r="O125" s="65"/>
      <c r="P125" s="65"/>
      <c r="Q125" s="65"/>
      <c r="R125" s="65"/>
      <c r="S125" s="65"/>
      <c r="T125" s="65"/>
      <c r="U125" s="65"/>
      <c r="V125" s="126"/>
      <c r="W125" s="126"/>
    </row>
    <row r="126" spans="1:23" ht="45">
      <c r="A126" s="65"/>
      <c r="B126" s="113" t="s">
        <v>227</v>
      </c>
      <c r="C126" s="178">
        <v>297755.71999999997</v>
      </c>
      <c r="D126" s="167"/>
      <c r="E126" s="167"/>
      <c r="F126" s="168"/>
      <c r="G126" s="106"/>
      <c r="H126" s="106"/>
      <c r="I126" s="106"/>
      <c r="J126" s="107"/>
      <c r="K126" s="108"/>
      <c r="L126" s="107"/>
      <c r="M126" s="106"/>
      <c r="N126" s="65"/>
      <c r="O126" s="65"/>
      <c r="P126" s="65"/>
      <c r="Q126" s="65"/>
      <c r="R126" s="65"/>
      <c r="S126" s="65"/>
      <c r="T126" s="65"/>
      <c r="U126" s="65"/>
      <c r="V126" s="126"/>
      <c r="W126" s="126"/>
    </row>
    <row r="127" spans="1:23" ht="30">
      <c r="A127" s="65"/>
      <c r="B127" s="113" t="s">
        <v>234</v>
      </c>
      <c r="C127" s="169">
        <f>107551.58*12</f>
        <v>1290618.96</v>
      </c>
      <c r="D127" s="170"/>
      <c r="E127" s="170"/>
      <c r="F127" s="171"/>
      <c r="G127" s="106"/>
      <c r="H127" s="106"/>
      <c r="I127" s="106"/>
      <c r="J127" s="107"/>
      <c r="K127" s="108"/>
      <c r="L127" s="107"/>
      <c r="M127" s="106"/>
      <c r="N127" s="65"/>
      <c r="O127" s="65"/>
      <c r="P127" s="65"/>
      <c r="Q127" s="65"/>
      <c r="R127" s="65"/>
      <c r="S127" s="65"/>
      <c r="T127" s="65"/>
      <c r="U127" s="65"/>
      <c r="V127" s="126"/>
      <c r="W127" s="126"/>
    </row>
    <row r="128" spans="1:23" ht="30">
      <c r="A128" s="65"/>
      <c r="B128" s="113" t="s">
        <v>235</v>
      </c>
      <c r="C128" s="169">
        <f>SUM(U123-U120)</f>
        <v>1153811.8605661001</v>
      </c>
      <c r="D128" s="170"/>
      <c r="E128" s="170"/>
      <c r="F128" s="171"/>
      <c r="G128" s="106"/>
      <c r="H128" s="106"/>
      <c r="I128" s="106"/>
      <c r="J128" s="107"/>
      <c r="K128" s="108"/>
      <c r="L128" s="107"/>
      <c r="M128" s="106"/>
      <c r="N128" s="65"/>
      <c r="O128" s="65"/>
      <c r="P128" s="65"/>
      <c r="Q128" s="65"/>
      <c r="R128" s="65"/>
      <c r="S128" s="65"/>
      <c r="T128" s="65"/>
      <c r="U128" s="65"/>
      <c r="V128" s="126"/>
      <c r="W128" s="126"/>
    </row>
    <row r="129" spans="1:23" ht="30">
      <c r="A129" s="65"/>
      <c r="B129" s="113" t="s">
        <v>236</v>
      </c>
      <c r="C129" s="169">
        <f>SUM(U120)</f>
        <v>102957.41012772277</v>
      </c>
      <c r="D129" s="170"/>
      <c r="E129" s="170"/>
      <c r="F129" s="171"/>
      <c r="G129" s="106"/>
      <c r="H129" s="106"/>
      <c r="I129" s="106"/>
      <c r="J129" s="107"/>
      <c r="K129" s="108"/>
      <c r="L129" s="107"/>
      <c r="M129" s="106"/>
      <c r="N129" s="65"/>
      <c r="O129" s="65"/>
      <c r="P129" s="65"/>
      <c r="Q129" s="65"/>
      <c r="R129" s="65"/>
      <c r="S129" s="65"/>
      <c r="T129" s="65"/>
      <c r="U129" s="65"/>
      <c r="V129" s="126"/>
      <c r="W129" s="126"/>
    </row>
    <row r="130" spans="1:23" ht="18">
      <c r="A130" s="65"/>
      <c r="B130" s="115" t="s">
        <v>237</v>
      </c>
      <c r="C130" s="169">
        <f>115863.91+87566.61+114968.94+119270.35+102066.93+96378.31+120952.85+87509.78+109610.81+99228.63+109929.98+134381.44</f>
        <v>1297728.54</v>
      </c>
      <c r="D130" s="170"/>
      <c r="E130" s="170"/>
      <c r="F130" s="171"/>
      <c r="G130" s="65"/>
      <c r="I130" s="109" t="s">
        <v>103</v>
      </c>
      <c r="J130" s="110"/>
      <c r="K130" s="111"/>
      <c r="L130" s="112"/>
      <c r="M130" s="109"/>
      <c r="N130" s="109"/>
      <c r="O130" s="65"/>
      <c r="P130" s="65"/>
      <c r="Q130" s="65"/>
      <c r="R130" s="65"/>
      <c r="S130" s="65"/>
      <c r="T130" s="65"/>
      <c r="U130" s="65"/>
      <c r="V130" s="126"/>
      <c r="W130" s="126"/>
    </row>
    <row r="131" spans="1:23" ht="78.75">
      <c r="A131" s="65"/>
      <c r="B131" s="124" t="s">
        <v>267</v>
      </c>
      <c r="C131" s="172">
        <v>223782.27</v>
      </c>
      <c r="D131" s="173"/>
      <c r="E131" s="173"/>
      <c r="F131" s="174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</row>
    <row r="132" spans="1:23" ht="45">
      <c r="A132" s="65"/>
      <c r="B132" s="113" t="s">
        <v>268</v>
      </c>
      <c r="C132" s="166">
        <f>SUM(U123-C127)+C126</f>
        <v>263906.03069382277</v>
      </c>
      <c r="D132" s="167"/>
      <c r="E132" s="167"/>
      <c r="F132" s="168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</row>
    <row r="134" spans="1:23">
      <c r="J134" s="3"/>
      <c r="K134" s="4"/>
      <c r="L134" s="4"/>
      <c r="M134" s="2"/>
    </row>
    <row r="135" spans="1:23">
      <c r="G135" s="5"/>
      <c r="H135" s="5"/>
    </row>
    <row r="136" spans="1:23">
      <c r="G136" s="6"/>
    </row>
  </sheetData>
  <mergeCells count="11">
    <mergeCell ref="B3:L3"/>
    <mergeCell ref="B4:L4"/>
    <mergeCell ref="B5:L5"/>
    <mergeCell ref="B6:L6"/>
    <mergeCell ref="C126:F126"/>
    <mergeCell ref="C132:F132"/>
    <mergeCell ref="C127:F127"/>
    <mergeCell ref="C128:F128"/>
    <mergeCell ref="C129:F129"/>
    <mergeCell ref="C130:F130"/>
    <mergeCell ref="C131:F131"/>
  </mergeCells>
  <printOptions horizontalCentered="1"/>
  <pageMargins left="0.11811023622047245" right="0.11811023622047245" top="0.15748031496062992" bottom="0.19685039370078741" header="0.15748031496062992" footer="0.15748031496062992"/>
  <pageSetup paperSize="9" scale="5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"/>
  <sheetViews>
    <sheetView workbookViewId="0">
      <selection sqref="A1:K17"/>
    </sheetView>
  </sheetViews>
  <sheetFormatPr defaultRowHeight="12.75"/>
  <cols>
    <col min="1" max="9" width="11.140625" customWidth="1"/>
    <col min="10" max="11" width="12.140625" customWidth="1"/>
  </cols>
  <sheetData>
    <row r="1" spans="1:11">
      <c r="A1" t="s">
        <v>112</v>
      </c>
      <c r="B1" t="s">
        <v>113</v>
      </c>
      <c r="C1" t="s">
        <v>114</v>
      </c>
      <c r="D1" t="s">
        <v>115</v>
      </c>
      <c r="E1" t="s">
        <v>116</v>
      </c>
      <c r="F1" t="s">
        <v>117</v>
      </c>
      <c r="G1" t="s">
        <v>118</v>
      </c>
      <c r="H1" t="s">
        <v>119</v>
      </c>
      <c r="I1" t="s">
        <v>120</v>
      </c>
      <c r="J1" t="s">
        <v>121</v>
      </c>
      <c r="K1" t="s">
        <v>122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Стр.,9а</vt:lpstr>
      <vt:lpstr>Лист1</vt:lpstr>
      <vt:lpstr>'Стр.,9а'!Область_печати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2018-03-26T05:47:27Z</cp:lastPrinted>
  <dcterms:created xsi:type="dcterms:W3CDTF">2014-02-05T12:20:20Z</dcterms:created>
  <dcterms:modified xsi:type="dcterms:W3CDTF">2018-03-27T12:54:37Z</dcterms:modified>
</cp:coreProperties>
</file>