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315" windowWidth="15480" windowHeight="5565"/>
  </bookViews>
  <sheets>
    <sheet name="Косм.,8" sheetId="1" r:id="rId1"/>
  </sheets>
  <definedNames>
    <definedName name="_xlnm.Print_Area" localSheetId="0">'Косм.,8'!$A$1:$Z$115</definedName>
  </definedNames>
  <calcPr calcId="124519"/>
</workbook>
</file>

<file path=xl/calcChain.xml><?xml version="1.0" encoding="utf-8"?>
<calcChain xmlns="http://schemas.openxmlformats.org/spreadsheetml/2006/main">
  <c r="C112" i="1"/>
  <c r="H103"/>
  <c r="U103"/>
  <c r="U102"/>
  <c r="F102"/>
  <c r="T102" s="1"/>
  <c r="H101"/>
  <c r="J101"/>
  <c r="S101"/>
  <c r="U101" s="1"/>
  <c r="H102" l="1"/>
  <c r="C113"/>
  <c r="C110"/>
  <c r="H96" l="1"/>
  <c r="R96"/>
  <c r="U96" s="1"/>
  <c r="S100"/>
  <c r="U100" s="1"/>
  <c r="J100"/>
  <c r="H100"/>
  <c r="T94"/>
  <c r="T92"/>
  <c r="T95"/>
  <c r="S95"/>
  <c r="R95"/>
  <c r="R94" l="1"/>
  <c r="U94" s="1"/>
  <c r="H94"/>
  <c r="R93"/>
  <c r="U93" s="1"/>
  <c r="Q93"/>
  <c r="K93"/>
  <c r="I93"/>
  <c r="H93"/>
  <c r="R92"/>
  <c r="S99"/>
  <c r="F99"/>
  <c r="S98"/>
  <c r="U98" s="1"/>
  <c r="M98"/>
  <c r="H98"/>
  <c r="S97"/>
  <c r="R91"/>
  <c r="R90"/>
  <c r="U99"/>
  <c r="U92"/>
  <c r="U91"/>
  <c r="U90"/>
  <c r="U95"/>
  <c r="U97"/>
  <c r="U80" l="1"/>
  <c r="U74"/>
  <c r="U75"/>
  <c r="U76"/>
  <c r="U73"/>
  <c r="H76"/>
  <c r="F75"/>
  <c r="H75" s="1"/>
  <c r="H74"/>
  <c r="F73" l="1"/>
  <c r="H73" s="1"/>
  <c r="F71"/>
  <c r="T71" s="1"/>
  <c r="K71" l="1"/>
  <c r="M71"/>
  <c r="O71"/>
  <c r="Q71"/>
  <c r="S71"/>
  <c r="H71"/>
  <c r="L71"/>
  <c r="N71"/>
  <c r="P71"/>
  <c r="R71"/>
  <c r="U71" l="1"/>
  <c r="F69" l="1"/>
  <c r="F63"/>
  <c r="F62"/>
  <c r="F59"/>
  <c r="U55"/>
  <c r="U57"/>
  <c r="U59"/>
  <c r="U62"/>
  <c r="U63"/>
  <c r="U64"/>
  <c r="U65"/>
  <c r="U66"/>
  <c r="U67"/>
  <c r="U68"/>
  <c r="U69"/>
  <c r="U78"/>
  <c r="H57"/>
  <c r="F49"/>
  <c r="U42"/>
  <c r="U43"/>
  <c r="U44"/>
  <c r="U46"/>
  <c r="U47"/>
  <c r="U48"/>
  <c r="U49"/>
  <c r="U50"/>
  <c r="U41"/>
  <c r="F37"/>
  <c r="F36"/>
  <c r="U24"/>
  <c r="U28"/>
  <c r="U29"/>
  <c r="F27"/>
  <c r="E26"/>
  <c r="F25"/>
  <c r="F23"/>
  <c r="U14"/>
  <c r="U15"/>
  <c r="U16"/>
  <c r="U17"/>
  <c r="U18"/>
  <c r="U19"/>
  <c r="O91" l="1"/>
  <c r="Q92"/>
  <c r="Q62"/>
  <c r="Q97"/>
  <c r="N91" l="1"/>
  <c r="H91"/>
  <c r="J91"/>
  <c r="P95" l="1"/>
  <c r="P97"/>
  <c r="H97"/>
  <c r="Q50" l="1"/>
  <c r="M50"/>
  <c r="I50"/>
  <c r="Q49"/>
  <c r="M49"/>
  <c r="I49"/>
  <c r="M95"/>
  <c r="M99"/>
  <c r="L99" l="1"/>
  <c r="K99"/>
  <c r="J90" l="1"/>
  <c r="H90"/>
  <c r="I99" l="1"/>
  <c r="H99"/>
  <c r="I92" l="1"/>
  <c r="H55" l="1"/>
  <c r="H95" l="1"/>
  <c r="K48" l="1"/>
  <c r="F30" l="1"/>
  <c r="K80" l="1"/>
  <c r="H92" l="1"/>
  <c r="T38"/>
  <c r="S38"/>
  <c r="T33"/>
  <c r="S33"/>
  <c r="Q69"/>
  <c r="Q48"/>
  <c r="R25"/>
  <c r="U25" s="1"/>
  <c r="Q25"/>
  <c r="P25"/>
  <c r="O25"/>
  <c r="N25"/>
  <c r="F50"/>
  <c r="F26"/>
  <c r="R26" s="1"/>
  <c r="U26" s="1"/>
  <c r="M25"/>
  <c r="L38"/>
  <c r="L33"/>
  <c r="K38"/>
  <c r="K33"/>
  <c r="H80"/>
  <c r="J38"/>
  <c r="J33"/>
  <c r="I38"/>
  <c r="I33"/>
  <c r="U33" l="1"/>
  <c r="U38"/>
  <c r="N26"/>
  <c r="O26"/>
  <c r="Q26"/>
  <c r="M26"/>
  <c r="P26"/>
  <c r="F56"/>
  <c r="F54"/>
  <c r="H49"/>
  <c r="F34"/>
  <c r="H34" s="1"/>
  <c r="F16"/>
  <c r="F15"/>
  <c r="F60"/>
  <c r="H59"/>
  <c r="M15" l="1"/>
  <c r="Q15"/>
  <c r="M16"/>
  <c r="Q16"/>
  <c r="S56"/>
  <c r="T56"/>
  <c r="L56"/>
  <c r="I56"/>
  <c r="K56"/>
  <c r="S60"/>
  <c r="Q60"/>
  <c r="O60"/>
  <c r="T60"/>
  <c r="R60"/>
  <c r="P60"/>
  <c r="N60"/>
  <c r="M60"/>
  <c r="T34"/>
  <c r="S34"/>
  <c r="T36"/>
  <c r="S36"/>
  <c r="S54"/>
  <c r="T54"/>
  <c r="I34"/>
  <c r="L34"/>
  <c r="K34"/>
  <c r="J34"/>
  <c r="I36"/>
  <c r="L36"/>
  <c r="K36"/>
  <c r="J36"/>
  <c r="H60"/>
  <c r="I60"/>
  <c r="L60"/>
  <c r="K60"/>
  <c r="J60"/>
  <c r="I54"/>
  <c r="L54"/>
  <c r="K54"/>
  <c r="J54"/>
  <c r="J56"/>
  <c r="H54"/>
  <c r="H56"/>
  <c r="F42"/>
  <c r="M42" s="1"/>
  <c r="H25"/>
  <c r="U54" l="1"/>
  <c r="U60"/>
  <c r="U56"/>
  <c r="U36"/>
  <c r="U34"/>
  <c r="Q42"/>
  <c r="F14" l="1"/>
  <c r="M14" s="1"/>
  <c r="F17"/>
  <c r="M17" s="1"/>
  <c r="F18"/>
  <c r="M18" s="1"/>
  <c r="F106" l="1"/>
  <c r="H105"/>
  <c r="E83"/>
  <c r="H86" s="1"/>
  <c r="F81"/>
  <c r="H78"/>
  <c r="H69"/>
  <c r="F68"/>
  <c r="F67"/>
  <c r="F66"/>
  <c r="F65"/>
  <c r="F64"/>
  <c r="H63"/>
  <c r="H62"/>
  <c r="F53"/>
  <c r="K53" s="1"/>
  <c r="H50"/>
  <c r="H48"/>
  <c r="F47"/>
  <c r="F46"/>
  <c r="F45"/>
  <c r="F44"/>
  <c r="F43"/>
  <c r="H42"/>
  <c r="F41"/>
  <c r="H38"/>
  <c r="H36"/>
  <c r="F35"/>
  <c r="H35" s="1"/>
  <c r="H33"/>
  <c r="H29"/>
  <c r="H28"/>
  <c r="H26"/>
  <c r="F24"/>
  <c r="F22"/>
  <c r="F19"/>
  <c r="M19" s="1"/>
  <c r="H18"/>
  <c r="H17"/>
  <c r="H14"/>
  <c r="E13"/>
  <c r="F13" s="1"/>
  <c r="F12"/>
  <c r="F11"/>
  <c r="Q44" l="1"/>
  <c r="M44"/>
  <c r="Q46"/>
  <c r="K46"/>
  <c r="Q41"/>
  <c r="M41"/>
  <c r="Q43"/>
  <c r="M43"/>
  <c r="Q47"/>
  <c r="K47"/>
  <c r="T11"/>
  <c r="R11"/>
  <c r="P11"/>
  <c r="N11"/>
  <c r="M11"/>
  <c r="S11"/>
  <c r="Q11"/>
  <c r="O11"/>
  <c r="H19"/>
  <c r="T30"/>
  <c r="R30"/>
  <c r="P30"/>
  <c r="N30"/>
  <c r="M30"/>
  <c r="S30"/>
  <c r="Q30"/>
  <c r="O30"/>
  <c r="T12"/>
  <c r="Q12"/>
  <c r="O12"/>
  <c r="S12"/>
  <c r="R12"/>
  <c r="P12"/>
  <c r="N12"/>
  <c r="M12"/>
  <c r="H22"/>
  <c r="Q22"/>
  <c r="O22"/>
  <c r="R22"/>
  <c r="U22" s="1"/>
  <c r="P22"/>
  <c r="N22"/>
  <c r="M22"/>
  <c r="H24"/>
  <c r="M24"/>
  <c r="T27"/>
  <c r="Q27"/>
  <c r="O27"/>
  <c r="S27"/>
  <c r="R27"/>
  <c r="P27"/>
  <c r="N27"/>
  <c r="M27"/>
  <c r="S53"/>
  <c r="T53"/>
  <c r="H65"/>
  <c r="M65"/>
  <c r="H67"/>
  <c r="M67"/>
  <c r="T13"/>
  <c r="R13"/>
  <c r="P13"/>
  <c r="N13"/>
  <c r="M13"/>
  <c r="S13"/>
  <c r="Q13"/>
  <c r="O13"/>
  <c r="H23"/>
  <c r="R23"/>
  <c r="U23" s="1"/>
  <c r="P23"/>
  <c r="N23"/>
  <c r="M23"/>
  <c r="Q23"/>
  <c r="O23"/>
  <c r="T35"/>
  <c r="S35"/>
  <c r="T45"/>
  <c r="U45" s="1"/>
  <c r="Q45"/>
  <c r="M45"/>
  <c r="H64"/>
  <c r="M64"/>
  <c r="H66"/>
  <c r="M66"/>
  <c r="H68"/>
  <c r="M68"/>
  <c r="S81"/>
  <c r="R81"/>
  <c r="P81"/>
  <c r="N81"/>
  <c r="T81"/>
  <c r="Q81"/>
  <c r="O81"/>
  <c r="M81"/>
  <c r="I13"/>
  <c r="L13"/>
  <c r="K13"/>
  <c r="J13"/>
  <c r="I12"/>
  <c r="L12"/>
  <c r="K12"/>
  <c r="J12"/>
  <c r="I27"/>
  <c r="L27"/>
  <c r="K27"/>
  <c r="J27"/>
  <c r="H44"/>
  <c r="H46"/>
  <c r="L53"/>
  <c r="J53"/>
  <c r="I11"/>
  <c r="L11"/>
  <c r="K11"/>
  <c r="J11"/>
  <c r="L30"/>
  <c r="K30"/>
  <c r="J30"/>
  <c r="L35"/>
  <c r="K35"/>
  <c r="J35"/>
  <c r="L37"/>
  <c r="K37"/>
  <c r="J37"/>
  <c r="H41"/>
  <c r="H43"/>
  <c r="I45"/>
  <c r="J45"/>
  <c r="H47"/>
  <c r="I81"/>
  <c r="L81"/>
  <c r="K81"/>
  <c r="J81"/>
  <c r="H30"/>
  <c r="I30"/>
  <c r="I35"/>
  <c r="H37"/>
  <c r="H39" s="1"/>
  <c r="I37"/>
  <c r="H53"/>
  <c r="H79" s="1"/>
  <c r="I53"/>
  <c r="H81"/>
  <c r="H82" s="1"/>
  <c r="H27"/>
  <c r="H31" s="1"/>
  <c r="H45"/>
  <c r="H11"/>
  <c r="H12"/>
  <c r="H16"/>
  <c r="H13"/>
  <c r="H15"/>
  <c r="F83"/>
  <c r="U81" l="1"/>
  <c r="U12"/>
  <c r="U53"/>
  <c r="U37"/>
  <c r="U35"/>
  <c r="U27"/>
  <c r="U30"/>
  <c r="U13"/>
  <c r="U11"/>
  <c r="U82"/>
  <c r="U79"/>
  <c r="S83"/>
  <c r="Q83"/>
  <c r="O83"/>
  <c r="M83"/>
  <c r="M106" s="1"/>
  <c r="T83"/>
  <c r="R83"/>
  <c r="P83"/>
  <c r="N83"/>
  <c r="N106" s="1"/>
  <c r="H51"/>
  <c r="Q106"/>
  <c r="P106"/>
  <c r="T106"/>
  <c r="O106"/>
  <c r="S106"/>
  <c r="R106"/>
  <c r="U39"/>
  <c r="U51"/>
  <c r="I83"/>
  <c r="L83"/>
  <c r="L106" s="1"/>
  <c r="K83"/>
  <c r="J83"/>
  <c r="J106" s="1"/>
  <c r="K106"/>
  <c r="H83"/>
  <c r="H84" s="1"/>
  <c r="H20"/>
  <c r="U83" l="1"/>
  <c r="U84" s="1"/>
  <c r="U31"/>
  <c r="U20"/>
  <c r="I106"/>
  <c r="H85"/>
  <c r="H87" s="1"/>
  <c r="G106" s="1"/>
  <c r="H106" s="1"/>
  <c r="U85" l="1"/>
  <c r="U106" s="1"/>
  <c r="C111" s="1"/>
  <c r="C115" l="1"/>
</calcChain>
</file>

<file path=xl/sharedStrings.xml><?xml version="1.0" encoding="utf-8"?>
<sst xmlns="http://schemas.openxmlformats.org/spreadsheetml/2006/main" count="317" uniqueCount="227">
  <si>
    <t>ОТЧЁТ</t>
  </si>
  <si>
    <t xml:space="preserve">по предоставленным услугам и произведённым работам по содержанию и ремонту общего имущества собственников помещений в многоквартирном доме </t>
  </si>
  <si>
    <t>№ расц.</t>
  </si>
  <si>
    <t>Перечень работ</t>
  </si>
  <si>
    <t>Ед.изм</t>
  </si>
  <si>
    <t>Периодичность</t>
  </si>
  <si>
    <t>Объем работ разовый</t>
  </si>
  <si>
    <t xml:space="preserve">Объем работ на год </t>
  </si>
  <si>
    <t>Расценка (руб)</t>
  </si>
  <si>
    <t>Сумма в год (тыс.руб)</t>
  </si>
  <si>
    <t>А.Обязательные работы по содержанию общего имущества собственников помещений в многоквартирном доме</t>
  </si>
  <si>
    <t xml:space="preserve">1. Санитарное содержание </t>
  </si>
  <si>
    <t>Влажное подметание лестничных клеток 1 этажа</t>
  </si>
  <si>
    <t>100м2</t>
  </si>
  <si>
    <t>Влажное подметание лестничных клеток 2-5 этажа</t>
  </si>
  <si>
    <t>Мытье лестничных  площадок и маршей 1-5 этаж.</t>
  </si>
  <si>
    <t>Мытье окон</t>
  </si>
  <si>
    <t>10м2</t>
  </si>
  <si>
    <t>Влажная протирка перил</t>
  </si>
  <si>
    <t>Влажная протирка почтовых ящиков</t>
  </si>
  <si>
    <t xml:space="preserve">Влажная уборка стен </t>
  </si>
  <si>
    <t>100 м2</t>
  </si>
  <si>
    <t>Влажная протирка дверей</t>
  </si>
  <si>
    <t>Влажная протирка отопительных приборов</t>
  </si>
  <si>
    <t>итого:</t>
  </si>
  <si>
    <t>Летняя уборка</t>
  </si>
  <si>
    <t>1000м2</t>
  </si>
  <si>
    <t>Уборка газонов сильной загрязненности</t>
  </si>
  <si>
    <t>1 раз в год</t>
  </si>
  <si>
    <t>шт.</t>
  </si>
  <si>
    <t>155 раз</t>
  </si>
  <si>
    <t>Подборка мусора на контейнерной площадке</t>
  </si>
  <si>
    <t>м3</t>
  </si>
  <si>
    <t>по мере необходимости</t>
  </si>
  <si>
    <t>м/час</t>
  </si>
  <si>
    <t>Вывоз ТБО и КГО</t>
  </si>
  <si>
    <t xml:space="preserve">кв. м </t>
  </si>
  <si>
    <t xml:space="preserve"> </t>
  </si>
  <si>
    <t>Зимняя уборка</t>
  </si>
  <si>
    <t>Механизированная уборка дворовой территории</t>
  </si>
  <si>
    <t>1000 м2</t>
  </si>
  <si>
    <t>155 раз за сезон</t>
  </si>
  <si>
    <t xml:space="preserve"> II. Плановые осмотры</t>
  </si>
  <si>
    <t>2 раза в год</t>
  </si>
  <si>
    <t>Осмотр деревянных заполнений проемов</t>
  </si>
  <si>
    <t>Осмотр внутренней и наружной отделки здания</t>
  </si>
  <si>
    <t>Осмотр каменных конструкций</t>
  </si>
  <si>
    <t xml:space="preserve">Осмотр СО </t>
  </si>
  <si>
    <t>Осмотр электросетей, арматуры и электрооборудования на чердаках, подвалах и техэтажах</t>
  </si>
  <si>
    <t>Осмотр электросетей,арматуры и электооборудования на лестничных клетках</t>
  </si>
  <si>
    <t>100 лест.</t>
  </si>
  <si>
    <t>Осмотр вводных электрических щитков</t>
  </si>
  <si>
    <t>100 шт.</t>
  </si>
  <si>
    <t>шт</t>
  </si>
  <si>
    <t>2-1-1б</t>
  </si>
  <si>
    <t>Проверка вентканалов</t>
  </si>
  <si>
    <t>Кровля</t>
  </si>
  <si>
    <t xml:space="preserve">6 раз за сезон </t>
  </si>
  <si>
    <t>Чердак, подвал, технический этаж</t>
  </si>
  <si>
    <t>м2</t>
  </si>
  <si>
    <t>Отопление</t>
  </si>
  <si>
    <t>Ликвидация воздушных пробок в стояках</t>
  </si>
  <si>
    <t>Ликвидация воздушных пробок в радиаторах</t>
  </si>
  <si>
    <t xml:space="preserve">Промывка СО </t>
  </si>
  <si>
    <t>100м3</t>
  </si>
  <si>
    <t>Спуск воды и наполнение системы без осмотра</t>
  </si>
  <si>
    <t>1000м3</t>
  </si>
  <si>
    <t>Гидравлическое испытание СО</t>
  </si>
  <si>
    <t>100м</t>
  </si>
  <si>
    <t>Проверка на прогрев отопительных приборов</t>
  </si>
  <si>
    <t>прибор</t>
  </si>
  <si>
    <t>Электроснабжение</t>
  </si>
  <si>
    <t>Смена ламп накаливания</t>
  </si>
  <si>
    <t>10 шт</t>
  </si>
  <si>
    <t>Вентканалы, дымоходы</t>
  </si>
  <si>
    <t>ГЭСН60-16</t>
  </si>
  <si>
    <t>Аварийно-диспетчерское обслуживание</t>
  </si>
  <si>
    <t>1 м2</t>
  </si>
  <si>
    <t>Услуги по выпуску квитанций, сопровождение собраний, работа с должниками</t>
  </si>
  <si>
    <t>ИТОГО</t>
  </si>
  <si>
    <t xml:space="preserve">ВСЕГО </t>
  </si>
  <si>
    <t>Площадь жилых помещений и нежилых</t>
  </si>
  <si>
    <t xml:space="preserve">     </t>
  </si>
  <si>
    <t>Затраты на 1 кв.м  в месяц в рублях  по плану</t>
  </si>
  <si>
    <t>Текущий ремонт</t>
  </si>
  <si>
    <t>итого по текущему ремонту</t>
  </si>
  <si>
    <t>Размер платы по текущему ремонту, руб/м2 в мес.</t>
  </si>
  <si>
    <t xml:space="preserve">Затраты в рублях  по плану   </t>
  </si>
  <si>
    <t xml:space="preserve">1 раз в год     </t>
  </si>
  <si>
    <t>Вода для промывки СО</t>
  </si>
  <si>
    <t>Сброс воды после промывки СО в канализацию</t>
  </si>
  <si>
    <t>Смена плавкой вставки в электрощите</t>
  </si>
  <si>
    <t>Генеральный директор ООО "Жилсервис"_______Ю.Л.Куканов</t>
  </si>
  <si>
    <t>1 раз в месяц</t>
  </si>
  <si>
    <t>Очистка урн от мусора</t>
  </si>
  <si>
    <t>Дератизация</t>
  </si>
  <si>
    <t>30 раз за сезон</t>
  </si>
  <si>
    <t>24 раза за сезон</t>
  </si>
  <si>
    <t>Осмотр рулонной кровли</t>
  </si>
  <si>
    <t>2-1-1а</t>
  </si>
  <si>
    <t>Проверка дымоходов</t>
  </si>
  <si>
    <t xml:space="preserve">2 раза в месяц  </t>
  </si>
  <si>
    <t>Очистка внутреннего водостока</t>
  </si>
  <si>
    <t>водосток</t>
  </si>
  <si>
    <t>Очистка водостоков от наледи</t>
  </si>
  <si>
    <t>Очистка  от мусора</t>
  </si>
  <si>
    <t>Ремонт групповых щитков на лестничной клетке без ремонта автоматов</t>
  </si>
  <si>
    <t xml:space="preserve">Выполнение    январь  </t>
  </si>
  <si>
    <t>Выполнение   февраль</t>
  </si>
  <si>
    <t>Выполнение   март</t>
  </si>
  <si>
    <t>Выполнение    апрель</t>
  </si>
  <si>
    <t>Выполнение    май</t>
  </si>
  <si>
    <t>Выполнение    июнь</t>
  </si>
  <si>
    <t>Выполнение    июль</t>
  </si>
  <si>
    <t>Выполнение    август</t>
  </si>
  <si>
    <t>Выполнение    сентябрь</t>
  </si>
  <si>
    <t>Выполнение    октябрь</t>
  </si>
  <si>
    <t>Выполнение    ноябрь</t>
  </si>
  <si>
    <t>Выполнение    декабрь</t>
  </si>
  <si>
    <t>3 раза в год</t>
  </si>
  <si>
    <t>5 этажей, 6 подъездов</t>
  </si>
  <si>
    <t>Стоимость (руб.)</t>
  </si>
  <si>
    <t>договор</t>
  </si>
  <si>
    <t>ТО внутридомового газ.оборудования</t>
  </si>
  <si>
    <t>Смена арматуры - вентилей и клапанов обратных муфтовых диаметром до 20 мм</t>
  </si>
  <si>
    <t>1 шт</t>
  </si>
  <si>
    <t>Внеплановый осмотр электросетей, арматуры и электрооборудования на лестничных клетках</t>
  </si>
  <si>
    <t>калькуляция</t>
  </si>
  <si>
    <t>3м</t>
  </si>
  <si>
    <t>Подключение и отключение сварочного аппарата</t>
  </si>
  <si>
    <t xml:space="preserve">Погрузка травы, ветвей </t>
  </si>
  <si>
    <t>Вывоз смета, травы, ветвей и т.п.- м/ч</t>
  </si>
  <si>
    <t xml:space="preserve">Подметание снега с тротуара, крылец, конт. площадок </t>
  </si>
  <si>
    <t xml:space="preserve">Пескопосыпка территории: крыльца и тротуары </t>
  </si>
  <si>
    <t>Стоимость песка -100м2-0,002м3</t>
  </si>
  <si>
    <t>Очистка территории 1-го класса с усовершенствованным покрытием под скребок: ступеньки и площадки крылец, контейнерные площадки</t>
  </si>
  <si>
    <t>Очистка края кровли от слежавшегося снега со сбрасыванием сосулек (10% от S кровли и козырьки)</t>
  </si>
  <si>
    <t>1шт.</t>
  </si>
  <si>
    <t>счёт</t>
  </si>
  <si>
    <t xml:space="preserve">Герметизация стыков трубопроводов    </t>
  </si>
  <si>
    <t>1 место</t>
  </si>
  <si>
    <t>ТЕР 51-001</t>
  </si>
  <si>
    <t>ТЕР 51-009</t>
  </si>
  <si>
    <t>ТЕР 51-031</t>
  </si>
  <si>
    <t>ТЕР 51-025</t>
  </si>
  <si>
    <t>ТЕР 51-023</t>
  </si>
  <si>
    <t>ТЕР 51-018</t>
  </si>
  <si>
    <t>ТЕР 51-019</t>
  </si>
  <si>
    <t>ТЕР 51-024</t>
  </si>
  <si>
    <t>ТЕР 53-020</t>
  </si>
  <si>
    <t>ТЕР 53-001</t>
  </si>
  <si>
    <t>ТЕР 53-021</t>
  </si>
  <si>
    <t>ТЕР 52-033</t>
  </si>
  <si>
    <t>пр.ТЕР 52-003</t>
  </si>
  <si>
    <t>ТЕР 53-030</t>
  </si>
  <si>
    <t>ТЕР 55-003</t>
  </si>
  <si>
    <t>ТЕР 54-013</t>
  </si>
  <si>
    <t>ТЕР 54-003</t>
  </si>
  <si>
    <t>ТЕР 54-022</t>
  </si>
  <si>
    <t>ТЕР 54-025</t>
  </si>
  <si>
    <t>ТЕР 42-002</t>
  </si>
  <si>
    <t>ТЕР 42-007</t>
  </si>
  <si>
    <t>ТЕР 42-009</t>
  </si>
  <si>
    <t>ТЕР 42-010</t>
  </si>
  <si>
    <t>ТЕР 42-011</t>
  </si>
  <si>
    <t>ТЕР 42-013</t>
  </si>
  <si>
    <t>ТЕР 42-012</t>
  </si>
  <si>
    <t>ТЕР 42-014</t>
  </si>
  <si>
    <t xml:space="preserve">пр.ТЕР 54-041 </t>
  </si>
  <si>
    <t>ТЕР 31-066</t>
  </si>
  <si>
    <t>ТЕР 51-034</t>
  </si>
  <si>
    <t>ТЕР 31-065</t>
  </si>
  <si>
    <t>ТЕР 31-064</t>
  </si>
  <si>
    <t>ТЕР 31-052</t>
  </si>
  <si>
    <t>ТЕР 31-043</t>
  </si>
  <si>
    <t>ТЕР 31-068</t>
  </si>
  <si>
    <t>ТЕР 31-045</t>
  </si>
  <si>
    <t>ТЕР 33-019</t>
  </si>
  <si>
    <t>ТЕР 33-043</t>
  </si>
  <si>
    <t>ТЕР 33-049</t>
  </si>
  <si>
    <t>ТЕР 33-060</t>
  </si>
  <si>
    <t>ТЕР 33-030</t>
  </si>
  <si>
    <t>ТЕР 32-027</t>
  </si>
  <si>
    <t>пр.ТЕР 2-2-1-2-17</t>
  </si>
  <si>
    <t>Работа автовышки</t>
  </si>
  <si>
    <t xml:space="preserve">Уплотнение сгонов с применением льняной пряди или асбестового шнура (без разборки сгонов) </t>
  </si>
  <si>
    <t>1 соединение</t>
  </si>
  <si>
    <t>ТЕР 2-2-1-2-7</t>
  </si>
  <si>
    <t>Баланс выполненных работ на 01.01.2017 г. ( -долг за предприятием, +долг за населением)</t>
  </si>
  <si>
    <t>пр.ТЕР 32-101</t>
  </si>
  <si>
    <t>Прочистка засоров канализации</t>
  </si>
  <si>
    <t>Очистка оголовков дымоходов и вентканалов от наледи и снега</t>
  </si>
  <si>
    <t>Начислено за содержание и текущий ремонт за 2017 г.</t>
  </si>
  <si>
    <t>Выполнено работ по содержанию за 2017 г.</t>
  </si>
  <si>
    <t>Выполнено работ по текущему ремонту за 2017 г.</t>
  </si>
  <si>
    <t>Фактически оплачено за 2017 г.</t>
  </si>
  <si>
    <t>Просроченная задолженность по Вашему дому по статье "Содержание и текущий ремонт МКД" на конец декабря 2017 г., составляет:</t>
  </si>
  <si>
    <t>Баланс выполненных работ на 01.01.2018 г. ( -долг за предприятием, +долг за населением)</t>
  </si>
  <si>
    <t>156 раз в год</t>
  </si>
  <si>
    <t>104 раза в год</t>
  </si>
  <si>
    <t xml:space="preserve">24 раза в год </t>
  </si>
  <si>
    <t>Уборка газонов</t>
  </si>
  <si>
    <t>52 раза в сезон</t>
  </si>
  <si>
    <t>Подметание территории с усовершенствованным покрытием асф.: крыльца, контейнерн пл., проезд, тротуар</t>
  </si>
  <si>
    <t>52 раза за сезон</t>
  </si>
  <si>
    <t>48 раз</t>
  </si>
  <si>
    <t>182 раза</t>
  </si>
  <si>
    <t>Сдвигание снега в дни снегопада</t>
  </si>
  <si>
    <t>Уборка контейнерной площадки (16 кв.м.)</t>
  </si>
  <si>
    <t>Техническое обслуживание внутренних сетей водопровода и канализации</t>
  </si>
  <si>
    <t>руб/м2 в мес</t>
  </si>
  <si>
    <t>ХВС, канализация</t>
  </si>
  <si>
    <t>пр.ТЕР 33-024</t>
  </si>
  <si>
    <t>Смена светодиодных светильников в.о.</t>
  </si>
  <si>
    <t>Стоимость светодиодного светильника</t>
  </si>
  <si>
    <t>руб.</t>
  </si>
  <si>
    <t>Прочистка каналов</t>
  </si>
  <si>
    <t>Ремонт и регулировка доводчика (со стоимостью доводчика)</t>
  </si>
  <si>
    <t>Смена ламп ДРЛ</t>
  </si>
  <si>
    <t>ТЕР 2-1-1б</t>
  </si>
  <si>
    <t>Внеплановая проверка вентканалов</t>
  </si>
  <si>
    <t>Дезинсекция</t>
  </si>
  <si>
    <t>смета</t>
  </si>
  <si>
    <t>руб</t>
  </si>
  <si>
    <t>Устройство козырьков и входных площадок (IV, Vпод.)</t>
  </si>
  <si>
    <r>
      <t xml:space="preserve">по адресу:  </t>
    </r>
    <r>
      <rPr>
        <b/>
        <sz val="14"/>
        <color indexed="10"/>
        <rFont val="Arial"/>
        <family val="2"/>
        <charset val="204"/>
      </rPr>
      <t>ул. Космонавтов, 8</t>
    </r>
    <r>
      <rPr>
        <b/>
        <sz val="14"/>
        <rFont val="Arial"/>
        <family val="2"/>
        <charset val="204"/>
      </rPr>
      <t xml:space="preserve">  (п. Ярега)  </t>
    </r>
    <r>
      <rPr>
        <b/>
        <sz val="14"/>
        <color indexed="10"/>
        <rFont val="Arial"/>
        <family val="2"/>
        <charset val="204"/>
      </rPr>
      <t>за 2017 год</t>
    </r>
  </si>
  <si>
    <t>Сверхнормативы по ОДП за 2 полугодие</t>
  </si>
</sst>
</file>

<file path=xl/styles.xml><?xml version="1.0" encoding="utf-8"?>
<styleSheet xmlns="http://schemas.openxmlformats.org/spreadsheetml/2006/main">
  <numFmts count="1">
    <numFmt numFmtId="164" formatCode="0.000"/>
  </numFmts>
  <fonts count="20">
    <font>
      <sz val="10"/>
      <name val="Arial Cyr"/>
      <family val="2"/>
      <charset val="204"/>
    </font>
    <font>
      <sz val="10"/>
      <name val="Arial"/>
      <family val="2"/>
      <charset val="204"/>
    </font>
    <font>
      <b/>
      <sz val="10"/>
      <color indexed="18"/>
      <name val="Arial"/>
      <family val="2"/>
      <charset val="204"/>
    </font>
    <font>
      <b/>
      <sz val="10"/>
      <name val="Arial"/>
      <family val="2"/>
      <charset val="204"/>
    </font>
    <font>
      <b/>
      <u/>
      <sz val="10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name val="Arial Cyr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b/>
      <sz val="14"/>
      <color rgb="FFFF0000"/>
      <name val="Arial"/>
      <family val="2"/>
      <charset val="204"/>
    </font>
    <font>
      <b/>
      <sz val="14"/>
      <name val="Arial"/>
      <family val="2"/>
      <charset val="204"/>
    </font>
    <font>
      <b/>
      <sz val="14"/>
      <color indexed="10"/>
      <name val="Arial"/>
      <family val="2"/>
      <charset val="204"/>
    </font>
    <font>
      <sz val="11"/>
      <name val="Arial"/>
      <family val="2"/>
      <charset val="204"/>
    </font>
    <font>
      <sz val="10"/>
      <color rgb="FFFF0000"/>
      <name val="Arial"/>
      <family val="2"/>
      <charset val="204"/>
    </font>
    <font>
      <b/>
      <i/>
      <sz val="10"/>
      <name val="Arial"/>
      <family val="2"/>
      <charset val="204"/>
    </font>
    <font>
      <i/>
      <sz val="10"/>
      <name val="Arial"/>
      <family val="2"/>
      <charset val="204"/>
    </font>
    <font>
      <sz val="14"/>
      <name val="Arial"/>
      <family val="2"/>
      <charset val="204"/>
    </font>
    <font>
      <sz val="10"/>
      <color indexed="8"/>
      <name val="Arial"/>
      <family val="2"/>
      <charset val="204"/>
    </font>
    <font>
      <b/>
      <sz val="10"/>
      <color rgb="FFFF0000"/>
      <name val="Arial"/>
      <family val="2"/>
      <charset val="204"/>
    </font>
    <font>
      <b/>
      <sz val="11"/>
      <name val="Arial"/>
      <family val="2"/>
      <charset val="204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26"/>
      </patternFill>
    </fill>
    <fill>
      <patternFill patternType="solid">
        <fgColor theme="0"/>
        <bgColor indexed="51"/>
      </patternFill>
    </fill>
    <fill>
      <patternFill patternType="solid">
        <fgColor theme="0"/>
        <bgColor indexed="26"/>
      </patternFill>
    </fill>
    <fill>
      <patternFill patternType="solid">
        <fgColor theme="2"/>
        <bgColor indexed="64"/>
      </patternFill>
    </fill>
    <fill>
      <patternFill patternType="solid">
        <fgColor theme="2"/>
        <bgColor indexed="26"/>
      </patternFill>
    </fill>
    <fill>
      <patternFill patternType="solid">
        <fgColor rgb="FFFFFF00"/>
        <bgColor indexed="41"/>
      </patternFill>
    </fill>
    <fill>
      <patternFill patternType="solid">
        <fgColor rgb="FFFFFF00"/>
        <bgColor indexed="34"/>
      </patternFill>
    </fill>
  </fills>
  <borders count="2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</borders>
  <cellStyleXfs count="1">
    <xf numFmtId="0" fontId="0" fillId="0" borderId="0"/>
  </cellStyleXfs>
  <cellXfs count="169">
    <xf numFmtId="0" fontId="0" fillId="0" borderId="0" xfId="0"/>
    <xf numFmtId="0" fontId="0" fillId="3" borderId="0" xfId="0" applyFill="1"/>
    <xf numFmtId="4" fontId="0" fillId="0" borderId="0" xfId="0" applyNumberFormat="1"/>
    <xf numFmtId="4" fontId="6" fillId="0" borderId="0" xfId="0" applyNumberFormat="1" applyFont="1"/>
    <xf numFmtId="0" fontId="6" fillId="0" borderId="0" xfId="0" applyFont="1"/>
    <xf numFmtId="164" fontId="0" fillId="0" borderId="0" xfId="0" applyNumberFormat="1"/>
    <xf numFmtId="2" fontId="0" fillId="0" borderId="0" xfId="0" applyNumberFormat="1"/>
    <xf numFmtId="0" fontId="1" fillId="4" borderId="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1" fillId="7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3" fillId="7" borderId="5" xfId="0" applyFont="1" applyFill="1" applyBorder="1" applyAlignment="1">
      <alignment horizontal="left" vertical="center" wrapText="1"/>
    </xf>
    <xf numFmtId="0" fontId="1" fillId="7" borderId="3" xfId="0" applyFont="1" applyFill="1" applyBorder="1" applyAlignment="1">
      <alignment horizontal="left" vertical="center" wrapText="1"/>
    </xf>
    <xf numFmtId="0" fontId="5" fillId="7" borderId="3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center" wrapText="1"/>
    </xf>
    <xf numFmtId="0" fontId="0" fillId="2" borderId="0" xfId="0" applyFill="1"/>
    <xf numFmtId="0" fontId="3" fillId="2" borderId="1" xfId="0" applyFont="1" applyFill="1" applyBorder="1" applyAlignment="1">
      <alignment horizontal="left" vertical="center" wrapText="1"/>
    </xf>
    <xf numFmtId="0" fontId="0" fillId="5" borderId="0" xfId="0" applyFill="1"/>
    <xf numFmtId="0" fontId="7" fillId="0" borderId="3" xfId="0" applyFont="1" applyBorder="1" applyAlignment="1">
      <alignment horizontal="centerContinuous" vertical="center" wrapText="1"/>
    </xf>
    <xf numFmtId="0" fontId="8" fillId="0" borderId="3" xfId="0" applyFont="1" applyBorder="1" applyAlignment="1">
      <alignment horizontal="centerContinuous" vertical="center" wrapText="1"/>
    </xf>
    <xf numFmtId="0" fontId="1" fillId="4" borderId="5" xfId="0" applyFont="1" applyFill="1" applyBorder="1" applyAlignment="1">
      <alignment horizontal="left" vertical="center" wrapText="1"/>
    </xf>
    <xf numFmtId="0" fontId="3" fillId="4" borderId="5" xfId="0" applyFont="1" applyFill="1" applyBorder="1" applyAlignment="1">
      <alignment horizontal="left" vertical="center" wrapText="1"/>
    </xf>
    <xf numFmtId="0" fontId="12" fillId="8" borderId="3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" fillId="8" borderId="3" xfId="0" applyFont="1" applyFill="1" applyBorder="1" applyAlignment="1">
      <alignment horizontal="center" vertical="center"/>
    </xf>
    <xf numFmtId="164" fontId="1" fillId="4" borderId="2" xfId="0" applyNumberFormat="1" applyFont="1" applyFill="1" applyBorder="1" applyAlignment="1">
      <alignment horizontal="center" vertical="center"/>
    </xf>
    <xf numFmtId="0" fontId="1" fillId="8" borderId="3" xfId="0" applyFont="1" applyFill="1" applyBorder="1" applyAlignment="1">
      <alignment vertical="center"/>
    </xf>
    <xf numFmtId="4" fontId="1" fillId="8" borderId="7" xfId="0" applyNumberFormat="1" applyFont="1" applyFill="1" applyBorder="1" applyAlignment="1">
      <alignment vertical="center"/>
    </xf>
    <xf numFmtId="0" fontId="1" fillId="8" borderId="3" xfId="0" applyFont="1" applyFill="1" applyBorder="1"/>
    <xf numFmtId="4" fontId="1" fillId="4" borderId="1" xfId="0" applyNumberFormat="1" applyFont="1" applyFill="1" applyBorder="1" applyAlignment="1">
      <alignment horizontal="center" vertical="center" wrapText="1"/>
    </xf>
    <xf numFmtId="4" fontId="1" fillId="4" borderId="1" xfId="0" applyNumberFormat="1" applyFont="1" applyFill="1" applyBorder="1" applyAlignment="1">
      <alignment horizontal="center" vertical="center"/>
    </xf>
    <xf numFmtId="4" fontId="1" fillId="4" borderId="2" xfId="0" applyNumberFormat="1" applyFont="1" applyFill="1" applyBorder="1" applyAlignment="1">
      <alignment horizontal="center" vertical="center"/>
    </xf>
    <xf numFmtId="4" fontId="1" fillId="8" borderId="3" xfId="0" applyNumberFormat="1" applyFont="1" applyFill="1" applyBorder="1" applyAlignment="1">
      <alignment horizontal="center" vertical="center"/>
    </xf>
    <xf numFmtId="4" fontId="1" fillId="8" borderId="7" xfId="0" applyNumberFormat="1" applyFont="1" applyFill="1" applyBorder="1" applyAlignment="1">
      <alignment horizontal="center" vertical="center"/>
    </xf>
    <xf numFmtId="4" fontId="1" fillId="4" borderId="4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/>
    </xf>
    <xf numFmtId="4" fontId="3" fillId="11" borderId="2" xfId="0" applyNumberFormat="1" applyFont="1" applyFill="1" applyBorder="1" applyAlignment="1">
      <alignment horizontal="center" vertical="center"/>
    </xf>
    <xf numFmtId="4" fontId="3" fillId="2" borderId="3" xfId="0" applyNumberFormat="1" applyFont="1" applyFill="1" applyBorder="1" applyAlignment="1">
      <alignment horizontal="center" vertical="center"/>
    </xf>
    <xf numFmtId="4" fontId="3" fillId="2" borderId="7" xfId="0" applyNumberFormat="1" applyFont="1" applyFill="1" applyBorder="1" applyAlignment="1">
      <alignment horizontal="center" vertical="center"/>
    </xf>
    <xf numFmtId="4" fontId="13" fillId="4" borderId="1" xfId="0" applyNumberFormat="1" applyFont="1" applyFill="1" applyBorder="1" applyAlignment="1">
      <alignment horizontal="center" vertical="center" wrapText="1"/>
    </xf>
    <xf numFmtId="4" fontId="1" fillId="7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left" vertical="center"/>
    </xf>
    <xf numFmtId="4" fontId="3" fillId="10" borderId="2" xfId="0" applyNumberFormat="1" applyFont="1" applyFill="1" applyBorder="1" applyAlignment="1">
      <alignment horizontal="center" vertical="center"/>
    </xf>
    <xf numFmtId="4" fontId="1" fillId="7" borderId="1" xfId="0" applyNumberFormat="1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4" fontId="1" fillId="9" borderId="3" xfId="0" applyNumberFormat="1" applyFont="1" applyFill="1" applyBorder="1" applyAlignment="1">
      <alignment horizontal="center" vertical="center"/>
    </xf>
    <xf numFmtId="4" fontId="1" fillId="4" borderId="3" xfId="0" applyNumberFormat="1" applyFont="1" applyFill="1" applyBorder="1" applyAlignment="1">
      <alignment horizontal="center" vertical="center"/>
    </xf>
    <xf numFmtId="4" fontId="1" fillId="7" borderId="3" xfId="0" applyNumberFormat="1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4" fontId="3" fillId="5" borderId="1" xfId="0" applyNumberFormat="1" applyFont="1" applyFill="1" applyBorder="1" applyAlignment="1">
      <alignment horizontal="center" vertical="center" wrapText="1"/>
    </xf>
    <xf numFmtId="4" fontId="3" fillId="5" borderId="1" xfId="0" applyNumberFormat="1" applyFont="1" applyFill="1" applyBorder="1" applyAlignment="1">
      <alignment horizontal="center" vertical="center"/>
    </xf>
    <xf numFmtId="4" fontId="3" fillId="5" borderId="3" xfId="0" applyNumberFormat="1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4" fontId="1" fillId="4" borderId="5" xfId="0" applyNumberFormat="1" applyFont="1" applyFill="1" applyBorder="1" applyAlignment="1">
      <alignment horizontal="center" vertical="center" wrapText="1"/>
    </xf>
    <xf numFmtId="4" fontId="1" fillId="4" borderId="6" xfId="0" applyNumberFormat="1" applyFont="1" applyFill="1" applyBorder="1" applyAlignment="1">
      <alignment horizontal="center" vertical="center"/>
    </xf>
    <xf numFmtId="4" fontId="1" fillId="4" borderId="13" xfId="0" applyNumberFormat="1" applyFont="1" applyFill="1" applyBorder="1" applyAlignment="1">
      <alignment horizontal="center" vertical="center"/>
    </xf>
    <xf numFmtId="4" fontId="1" fillId="4" borderId="5" xfId="0" applyNumberFormat="1" applyFont="1" applyFill="1" applyBorder="1" applyAlignment="1">
      <alignment horizontal="center" vertical="center"/>
    </xf>
    <xf numFmtId="4" fontId="1" fillId="4" borderId="0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4" fontId="1" fillId="4" borderId="3" xfId="0" applyNumberFormat="1" applyFont="1" applyFill="1" applyBorder="1" applyAlignment="1">
      <alignment horizontal="center" vertical="center" wrapText="1"/>
    </xf>
    <xf numFmtId="0" fontId="1" fillId="7" borderId="3" xfId="0" applyFont="1" applyFill="1" applyBorder="1" applyAlignment="1">
      <alignment horizontal="center" vertical="center"/>
    </xf>
    <xf numFmtId="0" fontId="1" fillId="0" borderId="0" xfId="0" applyFont="1"/>
    <xf numFmtId="0" fontId="3" fillId="4" borderId="3" xfId="0" applyFont="1" applyFill="1" applyBorder="1" applyAlignment="1">
      <alignment horizontal="left" vertical="center"/>
    </xf>
    <xf numFmtId="0" fontId="1" fillId="7" borderId="3" xfId="0" applyFont="1" applyFill="1" applyBorder="1" applyAlignment="1">
      <alignment horizontal="left" vertical="center"/>
    </xf>
    <xf numFmtId="4" fontId="1" fillId="7" borderId="3" xfId="0" applyNumberFormat="1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left" vertical="center" wrapText="1"/>
    </xf>
    <xf numFmtId="4" fontId="3" fillId="5" borderId="3" xfId="0" applyNumberFormat="1" applyFont="1" applyFill="1" applyBorder="1" applyAlignment="1">
      <alignment horizontal="center" vertical="center" wrapText="1"/>
    </xf>
    <xf numFmtId="4" fontId="3" fillId="10" borderId="7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left" vertical="center" wrapText="1"/>
    </xf>
    <xf numFmtId="0" fontId="1" fillId="6" borderId="3" xfId="0" applyFont="1" applyFill="1" applyBorder="1" applyAlignment="1">
      <alignment horizontal="center" vertical="center"/>
    </xf>
    <xf numFmtId="0" fontId="1" fillId="6" borderId="3" xfId="0" applyFont="1" applyFill="1" applyBorder="1" applyAlignment="1">
      <alignment horizontal="left" vertical="center" wrapText="1"/>
    </xf>
    <xf numFmtId="4" fontId="1" fillId="6" borderId="3" xfId="0" applyNumberFormat="1" applyFont="1" applyFill="1" applyBorder="1" applyAlignment="1">
      <alignment horizontal="center" vertical="center"/>
    </xf>
    <xf numFmtId="4" fontId="3" fillId="6" borderId="3" xfId="0" applyNumberFormat="1" applyFont="1" applyFill="1" applyBorder="1" applyAlignment="1">
      <alignment horizontal="center" vertical="center"/>
    </xf>
    <xf numFmtId="1" fontId="1" fillId="4" borderId="3" xfId="0" applyNumberFormat="1" applyFont="1" applyFill="1" applyBorder="1" applyAlignment="1">
      <alignment horizontal="left" vertical="center" wrapText="1"/>
    </xf>
    <xf numFmtId="4" fontId="3" fillId="4" borderId="3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 applyProtection="1">
      <alignment horizontal="center" vertical="center" wrapText="1"/>
    </xf>
    <xf numFmtId="2" fontId="3" fillId="2" borderId="3" xfId="0" applyNumberFormat="1" applyFont="1" applyFill="1" applyBorder="1" applyAlignment="1" applyProtection="1">
      <alignment horizontal="center" vertical="center" wrapText="1"/>
      <protection hidden="1"/>
    </xf>
    <xf numFmtId="0" fontId="3" fillId="2" borderId="3" xfId="0" applyFont="1" applyFill="1" applyBorder="1" applyAlignment="1">
      <alignment horizontal="left" vertical="center" wrapText="1"/>
    </xf>
    <xf numFmtId="4" fontId="3" fillId="2" borderId="3" xfId="0" applyNumberFormat="1" applyFont="1" applyFill="1" applyBorder="1" applyAlignment="1">
      <alignment horizontal="center" vertical="center" wrapText="1"/>
    </xf>
    <xf numFmtId="4" fontId="3" fillId="2" borderId="3" xfId="0" applyNumberFormat="1" applyFont="1" applyFill="1" applyBorder="1" applyAlignment="1" applyProtection="1">
      <alignment horizontal="center" vertical="center" wrapText="1"/>
      <protection hidden="1"/>
    </xf>
    <xf numFmtId="0" fontId="1" fillId="4" borderId="3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left" vertical="center"/>
    </xf>
    <xf numFmtId="4" fontId="1" fillId="2" borderId="3" xfId="0" applyNumberFormat="1" applyFont="1" applyFill="1" applyBorder="1" applyAlignment="1">
      <alignment horizontal="center" vertical="center"/>
    </xf>
    <xf numFmtId="4" fontId="1" fillId="4" borderId="2" xfId="0" applyNumberFormat="1" applyFont="1" applyFill="1" applyBorder="1" applyAlignment="1">
      <alignment horizontal="center" vertical="center" wrapText="1"/>
    </xf>
    <xf numFmtId="4" fontId="14" fillId="2" borderId="6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 applyProtection="1">
      <alignment horizontal="center" vertical="center" wrapText="1"/>
    </xf>
    <xf numFmtId="4" fontId="14" fillId="4" borderId="3" xfId="0" applyNumberFormat="1" applyFont="1" applyFill="1" applyBorder="1" applyAlignment="1">
      <alignment horizontal="center" vertical="center"/>
    </xf>
    <xf numFmtId="4" fontId="1" fillId="8" borderId="12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vertical="center"/>
    </xf>
    <xf numFmtId="0" fontId="3" fillId="2" borderId="3" xfId="0" applyFont="1" applyFill="1" applyBorder="1" applyAlignment="1">
      <alignment vertical="center"/>
    </xf>
    <xf numFmtId="0" fontId="3" fillId="4" borderId="3" xfId="0" applyFont="1" applyFill="1" applyBorder="1" applyAlignment="1">
      <alignment vertical="center"/>
    </xf>
    <xf numFmtId="0" fontId="1" fillId="4" borderId="3" xfId="0" applyFont="1" applyFill="1" applyBorder="1" applyAlignment="1">
      <alignment vertical="center"/>
    </xf>
    <xf numFmtId="4" fontId="3" fillId="4" borderId="7" xfId="0" applyNumberFormat="1" applyFont="1" applyFill="1" applyBorder="1" applyAlignment="1">
      <alignment horizontal="center" vertical="center"/>
    </xf>
    <xf numFmtId="4" fontId="14" fillId="4" borderId="7" xfId="0" applyNumberFormat="1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left" vertical="center"/>
    </xf>
    <xf numFmtId="0" fontId="1" fillId="2" borderId="8" xfId="0" applyFont="1" applyFill="1" applyBorder="1" applyAlignment="1">
      <alignment horizontal="center" vertical="center"/>
    </xf>
    <xf numFmtId="4" fontId="1" fillId="2" borderId="8" xfId="0" applyNumberFormat="1" applyFont="1" applyFill="1" applyBorder="1" applyAlignment="1">
      <alignment horizontal="center" vertical="center"/>
    </xf>
    <xf numFmtId="4" fontId="14" fillId="2" borderId="8" xfId="0" applyNumberFormat="1" applyFont="1" applyFill="1" applyBorder="1" applyAlignment="1">
      <alignment horizontal="center" vertical="center"/>
    </xf>
    <xf numFmtId="4" fontId="3" fillId="2" borderId="9" xfId="0" applyNumberFormat="1" applyFont="1" applyFill="1" applyBorder="1" applyAlignment="1">
      <alignment horizontal="center" vertical="center"/>
    </xf>
    <xf numFmtId="4" fontId="1" fillId="0" borderId="0" xfId="0" applyNumberFormat="1" applyFont="1"/>
    <xf numFmtId="4" fontId="15" fillId="0" borderId="0" xfId="0" applyNumberFormat="1" applyFont="1"/>
    <xf numFmtId="0" fontId="15" fillId="0" borderId="0" xfId="0" applyFont="1"/>
    <xf numFmtId="0" fontId="7" fillId="0" borderId="3" xfId="0" applyFont="1" applyBorder="1" applyAlignment="1">
      <alignment horizontal="center" wrapText="1"/>
    </xf>
    <xf numFmtId="0" fontId="16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4" fontId="15" fillId="0" borderId="0" xfId="0" applyNumberFormat="1" applyFont="1" applyAlignment="1">
      <alignment vertical="center"/>
    </xf>
    <xf numFmtId="0" fontId="15" fillId="0" borderId="0" xfId="0" applyFont="1" applyAlignment="1">
      <alignment vertical="center"/>
    </xf>
    <xf numFmtId="0" fontId="7" fillId="0" borderId="3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18" fillId="0" borderId="0" xfId="0" applyFont="1" applyAlignment="1"/>
    <xf numFmtId="4" fontId="3" fillId="10" borderId="3" xfId="0" applyNumberFormat="1" applyFont="1" applyFill="1" applyBorder="1" applyAlignment="1">
      <alignment horizontal="center" vertical="center"/>
    </xf>
    <xf numFmtId="4" fontId="14" fillId="2" borderId="3" xfId="0" applyNumberFormat="1" applyFont="1" applyFill="1" applyBorder="1" applyAlignment="1">
      <alignment horizontal="center" vertical="center"/>
    </xf>
    <xf numFmtId="4" fontId="14" fillId="8" borderId="3" xfId="0" applyNumberFormat="1" applyFont="1" applyFill="1" applyBorder="1" applyAlignment="1">
      <alignment horizontal="center" vertical="center"/>
    </xf>
    <xf numFmtId="4" fontId="3" fillId="8" borderId="3" xfId="0" applyNumberFormat="1" applyFont="1" applyFill="1" applyBorder="1" applyAlignment="1">
      <alignment horizontal="center" vertical="center"/>
    </xf>
    <xf numFmtId="4" fontId="1" fillId="4" borderId="0" xfId="0" applyNumberFormat="1" applyFont="1" applyFill="1" applyBorder="1" applyAlignment="1">
      <alignment horizontal="center" vertical="center" wrapText="1"/>
    </xf>
    <xf numFmtId="4" fontId="1" fillId="4" borderId="7" xfId="0" applyNumberFormat="1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 applyProtection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left" vertical="center" wrapText="1"/>
    </xf>
    <xf numFmtId="0" fontId="1" fillId="0" borderId="3" xfId="0" applyNumberFormat="1" applyFont="1" applyFill="1" applyBorder="1" applyAlignment="1" applyProtection="1">
      <alignment horizontal="center" vertical="center"/>
    </xf>
    <xf numFmtId="0" fontId="0" fillId="4" borderId="0" xfId="0" applyFont="1" applyFill="1" applyBorder="1" applyAlignment="1">
      <alignment horizontal="center" vertical="center"/>
    </xf>
    <xf numFmtId="0" fontId="12" fillId="4" borderId="14" xfId="0" applyFont="1" applyFill="1" applyBorder="1" applyAlignment="1">
      <alignment horizontal="center" vertical="center" wrapText="1"/>
    </xf>
    <xf numFmtId="0" fontId="12" fillId="4" borderId="15" xfId="0" applyFont="1" applyFill="1" applyBorder="1" applyAlignment="1">
      <alignment horizontal="center" vertical="center" wrapText="1"/>
    </xf>
    <xf numFmtId="0" fontId="12" fillId="4" borderId="16" xfId="0" applyFont="1" applyFill="1" applyBorder="1" applyAlignment="1">
      <alignment horizontal="center" vertical="center" wrapText="1"/>
    </xf>
    <xf numFmtId="0" fontId="1" fillId="4" borderId="17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7" borderId="17" xfId="0" applyFont="1" applyFill="1" applyBorder="1" applyAlignment="1">
      <alignment horizontal="center" vertical="center"/>
    </xf>
    <xf numFmtId="0" fontId="1" fillId="4" borderId="18" xfId="0" applyFont="1" applyFill="1" applyBorder="1" applyAlignment="1">
      <alignment horizontal="center" vertical="center"/>
    </xf>
    <xf numFmtId="0" fontId="1" fillId="0" borderId="19" xfId="0" applyFont="1" applyBorder="1"/>
    <xf numFmtId="0" fontId="1" fillId="5" borderId="19" xfId="0" applyFont="1" applyFill="1" applyBorder="1"/>
    <xf numFmtId="0" fontId="1" fillId="4" borderId="20" xfId="0" applyFont="1" applyFill="1" applyBorder="1" applyAlignment="1">
      <alignment horizontal="center" vertical="center"/>
    </xf>
    <xf numFmtId="0" fontId="1" fillId="0" borderId="3" xfId="0" applyFont="1" applyBorder="1"/>
    <xf numFmtId="4" fontId="1" fillId="2" borderId="21" xfId="0" applyNumberFormat="1" applyFont="1" applyFill="1" applyBorder="1" applyAlignment="1">
      <alignment horizontal="center" vertical="center" wrapText="1"/>
    </xf>
    <xf numFmtId="4" fontId="1" fillId="0" borderId="3" xfId="0" applyNumberFormat="1" applyFont="1" applyFill="1" applyBorder="1" applyAlignment="1">
      <alignment horizontal="center" vertical="center"/>
    </xf>
    <xf numFmtId="0" fontId="1" fillId="0" borderId="12" xfId="0" applyNumberFormat="1" applyFont="1" applyFill="1" applyBorder="1" applyAlignment="1" applyProtection="1">
      <alignment horizontal="center" vertical="center" wrapText="1"/>
    </xf>
    <xf numFmtId="0" fontId="1" fillId="0" borderId="12" xfId="0" applyNumberFormat="1" applyFont="1" applyFill="1" applyBorder="1" applyAlignment="1" applyProtection="1">
      <alignment horizontal="left" vertical="center" wrapText="1"/>
    </xf>
    <xf numFmtId="0" fontId="1" fillId="0" borderId="3" xfId="0" applyFont="1" applyFill="1" applyBorder="1" applyAlignment="1">
      <alignment horizontal="left" vertical="center" wrapText="1"/>
    </xf>
    <xf numFmtId="4" fontId="1" fillId="0" borderId="3" xfId="0" applyNumberFormat="1" applyFont="1" applyFill="1" applyBorder="1" applyAlignment="1">
      <alignment horizontal="center" vertical="center" wrapText="1"/>
    </xf>
    <xf numFmtId="4" fontId="1" fillId="0" borderId="7" xfId="0" applyNumberFormat="1" applyFont="1" applyFill="1" applyBorder="1" applyAlignment="1">
      <alignment horizontal="center" vertical="center"/>
    </xf>
    <xf numFmtId="0" fontId="1" fillId="4" borderId="3" xfId="0" applyNumberFormat="1" applyFont="1" applyFill="1" applyBorder="1" applyAlignment="1" applyProtection="1">
      <alignment horizontal="center" vertical="center" wrapText="1"/>
    </xf>
    <xf numFmtId="0" fontId="1" fillId="4" borderId="3" xfId="0" applyNumberFormat="1" applyFont="1" applyFill="1" applyBorder="1" applyAlignment="1" applyProtection="1">
      <alignment horizontal="left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7" fillId="4" borderId="3" xfId="0" applyFont="1" applyFill="1" applyBorder="1" applyAlignment="1">
      <alignment horizontal="left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0" fillId="0" borderId="0" xfId="0" applyFill="1" applyBorder="1"/>
    <xf numFmtId="0" fontId="0" fillId="0" borderId="0" xfId="0" applyFill="1" applyAlignment="1"/>
    <xf numFmtId="0" fontId="9" fillId="0" borderId="0" xfId="0" applyFont="1" applyAlignment="1">
      <alignment horizontal="center"/>
    </xf>
    <xf numFmtId="0" fontId="10" fillId="0" borderId="0" xfId="0" applyFont="1" applyBorder="1" applyAlignment="1">
      <alignment horizontal="center" wrapText="1"/>
    </xf>
    <xf numFmtId="0" fontId="12" fillId="0" borderId="0" xfId="0" applyFont="1" applyBorder="1" applyAlignment="1">
      <alignment horizontal="center"/>
    </xf>
    <xf numFmtId="0" fontId="19" fillId="0" borderId="0" xfId="0" applyFont="1" applyBorder="1" applyAlignment="1">
      <alignment horizontal="center"/>
    </xf>
    <xf numFmtId="0" fontId="7" fillId="0" borderId="7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4" fontId="7" fillId="0" borderId="7" xfId="0" applyNumberFormat="1" applyFont="1" applyBorder="1" applyAlignment="1">
      <alignment horizontal="center" vertical="center"/>
    </xf>
    <xf numFmtId="2" fontId="7" fillId="0" borderId="7" xfId="0" applyNumberFormat="1" applyFont="1" applyBorder="1" applyAlignment="1">
      <alignment horizontal="center" vertical="center"/>
    </xf>
    <xf numFmtId="2" fontId="7" fillId="0" borderId="10" xfId="0" applyNumberFormat="1" applyFont="1" applyBorder="1" applyAlignment="1">
      <alignment horizontal="center" vertical="center"/>
    </xf>
    <xf numFmtId="2" fontId="7" fillId="0" borderId="11" xfId="0" applyNumberFormat="1" applyFont="1" applyBorder="1" applyAlignment="1">
      <alignment horizontal="center" vertical="center"/>
    </xf>
    <xf numFmtId="2" fontId="8" fillId="0" borderId="7" xfId="0" applyNumberFormat="1" applyFont="1" applyBorder="1" applyAlignment="1">
      <alignment horizontal="center" vertical="center"/>
    </xf>
    <xf numFmtId="2" fontId="8" fillId="0" borderId="10" xfId="0" applyNumberFormat="1" applyFont="1" applyBorder="1" applyAlignment="1">
      <alignment horizontal="center" vertical="center"/>
    </xf>
    <xf numFmtId="2" fontId="8" fillId="0" borderId="1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5" tint="-0.249977111117893"/>
  </sheetPr>
  <dimension ref="A1:AB119"/>
  <sheetViews>
    <sheetView tabSelected="1" view="pageBreakPreview" zoomScaleNormal="75" zoomScaleSheetLayoutView="100" workbookViewId="0">
      <pane ySplit="7" topLeftCell="A111" activePane="bottomLeft" state="frozen"/>
      <selection activeCell="B1" sqref="B1"/>
      <selection pane="bottomLeft" activeCell="B116" sqref="B116"/>
    </sheetView>
  </sheetViews>
  <sheetFormatPr defaultRowHeight="12.75"/>
  <cols>
    <col min="1" max="1" width="14.42578125" customWidth="1"/>
    <col min="2" max="2" width="42.85546875" customWidth="1"/>
    <col min="3" max="3" width="9.140625" customWidth="1"/>
    <col min="4" max="4" width="22" customWidth="1"/>
    <col min="5" max="7" width="10.140625" customWidth="1"/>
    <col min="8" max="8" width="11.5703125" customWidth="1"/>
    <col min="9" max="17" width="9.85546875" hidden="1" customWidth="1"/>
    <col min="18" max="20" width="9.85546875" customWidth="1"/>
    <col min="21" max="21" width="12.28515625" customWidth="1"/>
    <col min="22" max="26" width="9.140625" style="153"/>
  </cols>
  <sheetData>
    <row r="1" spans="1:21" ht="14.25" customHeight="1">
      <c r="A1" s="129"/>
    </row>
    <row r="3" spans="1:21" ht="18">
      <c r="A3" s="119"/>
      <c r="B3" s="155" t="s">
        <v>0</v>
      </c>
      <c r="C3" s="155"/>
      <c r="D3" s="155"/>
      <c r="E3" s="155"/>
      <c r="F3" s="155"/>
      <c r="G3" s="155"/>
      <c r="H3" s="155"/>
      <c r="I3" s="155"/>
      <c r="J3" s="155"/>
      <c r="K3" s="155"/>
      <c r="L3" s="155"/>
      <c r="M3" s="67"/>
      <c r="N3" s="67"/>
      <c r="O3" s="67"/>
      <c r="P3" s="67"/>
      <c r="Q3" s="67"/>
      <c r="R3" s="67"/>
      <c r="S3" s="67"/>
      <c r="T3" s="67"/>
      <c r="U3" s="67"/>
    </row>
    <row r="4" spans="1:21" ht="33.75" customHeight="1">
      <c r="A4" s="67"/>
      <c r="B4" s="156" t="s">
        <v>1</v>
      </c>
      <c r="C4" s="156"/>
      <c r="D4" s="156"/>
      <c r="E4" s="156"/>
      <c r="F4" s="156"/>
      <c r="G4" s="156"/>
      <c r="H4" s="156"/>
      <c r="I4" s="156"/>
      <c r="J4" s="156"/>
      <c r="K4" s="156"/>
      <c r="L4" s="156"/>
      <c r="M4" s="67"/>
      <c r="N4" s="67"/>
      <c r="O4" s="67"/>
      <c r="P4" s="67"/>
      <c r="Q4" s="67"/>
      <c r="R4" s="67"/>
      <c r="S4" s="67"/>
      <c r="T4" s="67"/>
      <c r="U4" s="67"/>
    </row>
    <row r="5" spans="1:21" ht="18">
      <c r="A5" s="67"/>
      <c r="B5" s="156" t="s">
        <v>225</v>
      </c>
      <c r="C5" s="156"/>
      <c r="D5" s="156"/>
      <c r="E5" s="156"/>
      <c r="F5" s="156"/>
      <c r="G5" s="156"/>
      <c r="H5" s="156"/>
      <c r="I5" s="156"/>
      <c r="J5" s="156"/>
      <c r="K5" s="156"/>
      <c r="L5" s="156"/>
      <c r="M5" s="67"/>
      <c r="N5" s="67"/>
      <c r="O5" s="67"/>
      <c r="P5" s="67"/>
      <c r="Q5" s="67"/>
      <c r="R5" s="67"/>
      <c r="S5" s="67"/>
      <c r="T5" s="67"/>
      <c r="U5" s="67"/>
    </row>
    <row r="6" spans="1:21" ht="15">
      <c r="A6" s="67"/>
      <c r="B6" s="157" t="s">
        <v>120</v>
      </c>
      <c r="C6" s="158"/>
      <c r="D6" s="158"/>
      <c r="E6" s="158"/>
      <c r="F6" s="158"/>
      <c r="G6" s="158"/>
      <c r="H6" s="158"/>
      <c r="I6" s="158"/>
      <c r="J6" s="158"/>
      <c r="K6" s="158"/>
      <c r="L6" s="158"/>
      <c r="M6" s="67"/>
      <c r="N6" s="67"/>
      <c r="O6" s="67"/>
      <c r="P6" s="67"/>
      <c r="Q6" s="67"/>
      <c r="R6" s="67"/>
      <c r="S6" s="67"/>
      <c r="T6" s="67"/>
      <c r="U6" s="67"/>
    </row>
    <row r="7" spans="1:21" ht="54.75" customHeight="1">
      <c r="A7" s="130" t="s">
        <v>2</v>
      </c>
      <c r="B7" s="131" t="s">
        <v>3</v>
      </c>
      <c r="C7" s="131" t="s">
        <v>4</v>
      </c>
      <c r="D7" s="131" t="s">
        <v>5</v>
      </c>
      <c r="E7" s="131" t="s">
        <v>6</v>
      </c>
      <c r="F7" s="131" t="s">
        <v>7</v>
      </c>
      <c r="G7" s="131" t="s">
        <v>8</v>
      </c>
      <c r="H7" s="132" t="s">
        <v>9</v>
      </c>
      <c r="I7" s="25" t="s">
        <v>107</v>
      </c>
      <c r="J7" s="25" t="s">
        <v>108</v>
      </c>
      <c r="K7" s="25" t="s">
        <v>109</v>
      </c>
      <c r="L7" s="25" t="s">
        <v>110</v>
      </c>
      <c r="M7" s="25" t="s">
        <v>111</v>
      </c>
      <c r="N7" s="25" t="s">
        <v>112</v>
      </c>
      <c r="O7" s="25" t="s">
        <v>113</v>
      </c>
      <c r="P7" s="25" t="s">
        <v>114</v>
      </c>
      <c r="Q7" s="25" t="s">
        <v>115</v>
      </c>
      <c r="R7" s="25" t="s">
        <v>116</v>
      </c>
      <c r="S7" s="25" t="s">
        <v>117</v>
      </c>
      <c r="T7" s="25" t="s">
        <v>118</v>
      </c>
      <c r="U7" s="25" t="s">
        <v>121</v>
      </c>
    </row>
    <row r="8" spans="1:21">
      <c r="A8" s="133">
        <v>1</v>
      </c>
      <c r="B8" s="7">
        <v>2</v>
      </c>
      <c r="C8" s="26">
        <v>3</v>
      </c>
      <c r="D8" s="7">
        <v>4</v>
      </c>
      <c r="E8" s="7">
        <v>5</v>
      </c>
      <c r="F8" s="26">
        <v>6</v>
      </c>
      <c r="G8" s="26">
        <v>7</v>
      </c>
      <c r="H8" s="27">
        <v>8</v>
      </c>
      <c r="I8" s="28">
        <v>9</v>
      </c>
      <c r="J8" s="28">
        <v>10</v>
      </c>
      <c r="K8" s="28">
        <v>11</v>
      </c>
      <c r="L8" s="28">
        <v>12</v>
      </c>
      <c r="M8" s="28">
        <v>13</v>
      </c>
      <c r="N8" s="28">
        <v>14</v>
      </c>
      <c r="O8" s="28">
        <v>15</v>
      </c>
      <c r="P8" s="28">
        <v>16</v>
      </c>
      <c r="Q8" s="28">
        <v>17</v>
      </c>
      <c r="R8" s="28">
        <v>9</v>
      </c>
      <c r="S8" s="28">
        <v>10</v>
      </c>
      <c r="T8" s="28">
        <v>11</v>
      </c>
      <c r="U8" s="28">
        <v>12</v>
      </c>
    </row>
    <row r="9" spans="1:21" ht="38.25">
      <c r="A9" s="133"/>
      <c r="B9" s="9" t="s">
        <v>10</v>
      </c>
      <c r="C9" s="26"/>
      <c r="D9" s="10"/>
      <c r="E9" s="10"/>
      <c r="F9" s="26"/>
      <c r="G9" s="26"/>
      <c r="H9" s="29"/>
      <c r="I9" s="30"/>
      <c r="J9" s="30"/>
      <c r="K9" s="30"/>
      <c r="L9" s="30"/>
      <c r="M9" s="31"/>
      <c r="N9" s="32"/>
      <c r="O9" s="32"/>
      <c r="P9" s="32"/>
      <c r="Q9" s="32"/>
      <c r="R9" s="32"/>
      <c r="S9" s="32"/>
      <c r="T9" s="32"/>
      <c r="U9" s="32"/>
    </row>
    <row r="10" spans="1:21">
      <c r="A10" s="133"/>
      <c r="B10" s="9" t="s">
        <v>11</v>
      </c>
      <c r="C10" s="26"/>
      <c r="D10" s="10"/>
      <c r="E10" s="10"/>
      <c r="F10" s="26"/>
      <c r="G10" s="26"/>
      <c r="H10" s="29"/>
      <c r="I10" s="30"/>
      <c r="J10" s="30"/>
      <c r="K10" s="30"/>
      <c r="L10" s="30"/>
      <c r="M10" s="31"/>
      <c r="N10" s="32"/>
      <c r="O10" s="32"/>
      <c r="P10" s="32"/>
      <c r="Q10" s="32"/>
      <c r="R10" s="32"/>
      <c r="S10" s="32"/>
      <c r="T10" s="32"/>
      <c r="U10" s="32"/>
    </row>
    <row r="11" spans="1:21" ht="12.75" customHeight="1">
      <c r="A11" s="133" t="s">
        <v>141</v>
      </c>
      <c r="B11" s="10" t="s">
        <v>12</v>
      </c>
      <c r="C11" s="26" t="s">
        <v>13</v>
      </c>
      <c r="D11" s="10" t="s">
        <v>198</v>
      </c>
      <c r="E11" s="33">
        <v>95.04</v>
      </c>
      <c r="F11" s="34">
        <f>SUM(E11*156/100)</f>
        <v>148.26240000000001</v>
      </c>
      <c r="G11" s="34">
        <v>230</v>
      </c>
      <c r="H11" s="35">
        <f t="shared" ref="H11:H19" si="0">SUM(F11*G11/1000)</f>
        <v>34.100352000000008</v>
      </c>
      <c r="I11" s="36">
        <f>F11/12*G11</f>
        <v>2841.6960000000004</v>
      </c>
      <c r="J11" s="36">
        <f>F11/12*G11</f>
        <v>2841.6960000000004</v>
      </c>
      <c r="K11" s="36">
        <f>F11/12*G11</f>
        <v>2841.6960000000004</v>
      </c>
      <c r="L11" s="36">
        <f>F11/12*G11</f>
        <v>2841.6960000000004</v>
      </c>
      <c r="M11" s="36">
        <f>F11/12*G11</f>
        <v>2841.6960000000004</v>
      </c>
      <c r="N11" s="36">
        <f>F11/12*G11</f>
        <v>2841.6960000000004</v>
      </c>
      <c r="O11" s="36">
        <f>F11/12*G11</f>
        <v>2841.6960000000004</v>
      </c>
      <c r="P11" s="36">
        <f>F11/12*G11</f>
        <v>2841.6960000000004</v>
      </c>
      <c r="Q11" s="36">
        <f>F11/12*G11</f>
        <v>2841.6960000000004</v>
      </c>
      <c r="R11" s="36">
        <f>F11/12*G11</f>
        <v>2841.6960000000004</v>
      </c>
      <c r="S11" s="36">
        <f>F11/12*G11</f>
        <v>2841.6960000000004</v>
      </c>
      <c r="T11" s="36">
        <f>F11/12*G11</f>
        <v>2841.6960000000004</v>
      </c>
      <c r="U11" s="36">
        <f>SUM(R11:T11)</f>
        <v>8525.0880000000016</v>
      </c>
    </row>
    <row r="12" spans="1:21" ht="25.5">
      <c r="A12" s="133" t="s">
        <v>141</v>
      </c>
      <c r="B12" s="10" t="s">
        <v>14</v>
      </c>
      <c r="C12" s="26" t="s">
        <v>13</v>
      </c>
      <c r="D12" s="10" t="s">
        <v>199</v>
      </c>
      <c r="E12" s="33">
        <v>380.16</v>
      </c>
      <c r="F12" s="34">
        <f>SUM(E12*104/100)</f>
        <v>395.3664</v>
      </c>
      <c r="G12" s="34">
        <v>230</v>
      </c>
      <c r="H12" s="35">
        <f t="shared" si="0"/>
        <v>90.934271999999993</v>
      </c>
      <c r="I12" s="36">
        <f>F12/12*G12</f>
        <v>7577.8560000000007</v>
      </c>
      <c r="J12" s="36">
        <f>F12/12*G12</f>
        <v>7577.8560000000007</v>
      </c>
      <c r="K12" s="36">
        <f>F12/12*G12</f>
        <v>7577.8560000000007</v>
      </c>
      <c r="L12" s="36">
        <f>F12/12*G12</f>
        <v>7577.8560000000007</v>
      </c>
      <c r="M12" s="36">
        <f>F12/12*G12</f>
        <v>7577.8560000000007</v>
      </c>
      <c r="N12" s="36">
        <f>F12/12*G12</f>
        <v>7577.8560000000007</v>
      </c>
      <c r="O12" s="36">
        <f>F12/12*G12</f>
        <v>7577.8560000000007</v>
      </c>
      <c r="P12" s="36">
        <f>F12/12*G12</f>
        <v>7577.8560000000007</v>
      </c>
      <c r="Q12" s="36">
        <f>F12/12*G12</f>
        <v>7577.8560000000007</v>
      </c>
      <c r="R12" s="36">
        <f>F12/12*G12</f>
        <v>7577.8560000000007</v>
      </c>
      <c r="S12" s="36">
        <f>F12/12*G12</f>
        <v>7577.8560000000007</v>
      </c>
      <c r="T12" s="36">
        <f>F12/12*G12</f>
        <v>7577.8560000000007</v>
      </c>
      <c r="U12" s="36">
        <f t="shared" ref="U12:U19" si="1">SUM(R12:T12)</f>
        <v>22733.568000000003</v>
      </c>
    </row>
    <row r="13" spans="1:21" ht="25.5">
      <c r="A13" s="133" t="s">
        <v>142</v>
      </c>
      <c r="B13" s="10" t="s">
        <v>15</v>
      </c>
      <c r="C13" s="26" t="s">
        <v>13</v>
      </c>
      <c r="D13" s="10" t="s">
        <v>200</v>
      </c>
      <c r="E13" s="33">
        <f>SUM(E11+E12)</f>
        <v>475.20000000000005</v>
      </c>
      <c r="F13" s="34">
        <f>SUM(E13*24/100)</f>
        <v>114.04800000000002</v>
      </c>
      <c r="G13" s="34">
        <v>661.67</v>
      </c>
      <c r="H13" s="35">
        <f t="shared" si="0"/>
        <v>75.462140160000004</v>
      </c>
      <c r="I13" s="36">
        <f>F13/12*G13</f>
        <v>6288.5116800000005</v>
      </c>
      <c r="J13" s="36">
        <f>F13/12*G13</f>
        <v>6288.5116800000005</v>
      </c>
      <c r="K13" s="36">
        <f>F13/12*G13</f>
        <v>6288.5116800000005</v>
      </c>
      <c r="L13" s="36">
        <f>F13/12*G13</f>
        <v>6288.5116800000005</v>
      </c>
      <c r="M13" s="36">
        <f>F13/12*G13</f>
        <v>6288.5116800000005</v>
      </c>
      <c r="N13" s="36">
        <f>F13/12*G13</f>
        <v>6288.5116800000005</v>
      </c>
      <c r="O13" s="36">
        <f>F13/12*G13</f>
        <v>6288.5116800000005</v>
      </c>
      <c r="P13" s="36">
        <f>F13/12*G13</f>
        <v>6288.5116800000005</v>
      </c>
      <c r="Q13" s="36">
        <f>F13/12*G13</f>
        <v>6288.5116800000005</v>
      </c>
      <c r="R13" s="36">
        <f>F13/12*G13</f>
        <v>6288.5116800000005</v>
      </c>
      <c r="S13" s="36">
        <f>F13/12*G13</f>
        <v>6288.5116800000005</v>
      </c>
      <c r="T13" s="36">
        <f>F13/12*G13</f>
        <v>6288.5116800000005</v>
      </c>
      <c r="U13" s="36">
        <f t="shared" si="1"/>
        <v>18865.535040000002</v>
      </c>
    </row>
    <row r="14" spans="1:21">
      <c r="A14" s="133" t="s">
        <v>143</v>
      </c>
      <c r="B14" s="10" t="s">
        <v>16</v>
      </c>
      <c r="C14" s="26" t="s">
        <v>17</v>
      </c>
      <c r="D14" s="10" t="s">
        <v>88</v>
      </c>
      <c r="E14" s="33">
        <v>57.6</v>
      </c>
      <c r="F14" s="34">
        <f>SUM(E14/10)</f>
        <v>5.76</v>
      </c>
      <c r="G14" s="34">
        <v>223.17</v>
      </c>
      <c r="H14" s="35">
        <f t="shared" si="0"/>
        <v>1.2854591999999998</v>
      </c>
      <c r="I14" s="36">
        <v>0</v>
      </c>
      <c r="J14" s="36">
        <v>0</v>
      </c>
      <c r="K14" s="36">
        <v>0</v>
      </c>
      <c r="L14" s="36">
        <v>0</v>
      </c>
      <c r="M14" s="36">
        <f>F14*G14</f>
        <v>1285.4591999999998</v>
      </c>
      <c r="N14" s="36">
        <v>0</v>
      </c>
      <c r="O14" s="36">
        <v>0</v>
      </c>
      <c r="P14" s="36">
        <v>0</v>
      </c>
      <c r="Q14" s="36">
        <v>0</v>
      </c>
      <c r="R14" s="36">
        <v>0</v>
      </c>
      <c r="S14" s="36">
        <v>0</v>
      </c>
      <c r="T14" s="36">
        <v>0</v>
      </c>
      <c r="U14" s="36">
        <f t="shared" si="1"/>
        <v>0</v>
      </c>
    </row>
    <row r="15" spans="1:21">
      <c r="A15" s="133" t="s">
        <v>144</v>
      </c>
      <c r="B15" s="10" t="s">
        <v>18</v>
      </c>
      <c r="C15" s="26" t="s">
        <v>13</v>
      </c>
      <c r="D15" s="10" t="s">
        <v>43</v>
      </c>
      <c r="E15" s="33">
        <v>43.2</v>
      </c>
      <c r="F15" s="34">
        <f>SUM(E15*2/100)</f>
        <v>0.8640000000000001</v>
      </c>
      <c r="G15" s="34">
        <v>285.76</v>
      </c>
      <c r="H15" s="35">
        <f t="shared" si="0"/>
        <v>0.24689664000000003</v>
      </c>
      <c r="I15" s="36">
        <v>0</v>
      </c>
      <c r="J15" s="36">
        <v>0</v>
      </c>
      <c r="K15" s="36">
        <v>0</v>
      </c>
      <c r="L15" s="36">
        <v>0</v>
      </c>
      <c r="M15" s="36">
        <f>F15/2*G15</f>
        <v>123.44832000000001</v>
      </c>
      <c r="N15" s="36">
        <v>0</v>
      </c>
      <c r="O15" s="36">
        <v>0</v>
      </c>
      <c r="P15" s="36">
        <v>0</v>
      </c>
      <c r="Q15" s="36">
        <f>F15/2*G15</f>
        <v>123.44832000000001</v>
      </c>
      <c r="R15" s="36">
        <v>0</v>
      </c>
      <c r="S15" s="36">
        <v>0</v>
      </c>
      <c r="T15" s="36">
        <v>0</v>
      </c>
      <c r="U15" s="36">
        <f t="shared" si="1"/>
        <v>0</v>
      </c>
    </row>
    <row r="16" spans="1:21">
      <c r="A16" s="133" t="s">
        <v>145</v>
      </c>
      <c r="B16" s="10" t="s">
        <v>19</v>
      </c>
      <c r="C16" s="26" t="s">
        <v>13</v>
      </c>
      <c r="D16" s="10" t="s">
        <v>43</v>
      </c>
      <c r="E16" s="33">
        <v>10.08</v>
      </c>
      <c r="F16" s="34">
        <f>SUM(E16*2/100)</f>
        <v>0.2016</v>
      </c>
      <c r="G16" s="34">
        <v>283.44</v>
      </c>
      <c r="H16" s="35">
        <f t="shared" si="0"/>
        <v>5.7141503999999996E-2</v>
      </c>
      <c r="I16" s="36">
        <v>0</v>
      </c>
      <c r="J16" s="36">
        <v>0</v>
      </c>
      <c r="K16" s="36">
        <v>0</v>
      </c>
      <c r="L16" s="36">
        <v>0</v>
      </c>
      <c r="M16" s="36">
        <f>F16/2*G16</f>
        <v>28.570751999999999</v>
      </c>
      <c r="N16" s="36">
        <v>0</v>
      </c>
      <c r="O16" s="36">
        <v>0</v>
      </c>
      <c r="P16" s="36">
        <v>0</v>
      </c>
      <c r="Q16" s="36">
        <f>F16/2*G16</f>
        <v>28.570751999999999</v>
      </c>
      <c r="R16" s="36">
        <v>0</v>
      </c>
      <c r="S16" s="36">
        <v>0</v>
      </c>
      <c r="T16" s="36">
        <v>0</v>
      </c>
      <c r="U16" s="36">
        <f t="shared" si="1"/>
        <v>0</v>
      </c>
    </row>
    <row r="17" spans="1:26">
      <c r="A17" s="133" t="s">
        <v>146</v>
      </c>
      <c r="B17" s="10" t="s">
        <v>20</v>
      </c>
      <c r="C17" s="26" t="s">
        <v>21</v>
      </c>
      <c r="D17" s="10" t="s">
        <v>88</v>
      </c>
      <c r="E17" s="33">
        <v>642.6</v>
      </c>
      <c r="F17" s="34">
        <f>SUM(E17/100)</f>
        <v>6.4260000000000002</v>
      </c>
      <c r="G17" s="34">
        <v>353.14</v>
      </c>
      <c r="H17" s="35">
        <f t="shared" si="0"/>
        <v>2.2692776399999999</v>
      </c>
      <c r="I17" s="36">
        <v>0</v>
      </c>
      <c r="J17" s="36">
        <v>0</v>
      </c>
      <c r="K17" s="36">
        <v>0</v>
      </c>
      <c r="L17" s="36">
        <v>0</v>
      </c>
      <c r="M17" s="36">
        <f t="shared" ref="M17:M19" si="2">F17*G17</f>
        <v>2269.2776399999998</v>
      </c>
      <c r="N17" s="36">
        <v>0</v>
      </c>
      <c r="O17" s="36">
        <v>0</v>
      </c>
      <c r="P17" s="36">
        <v>0</v>
      </c>
      <c r="Q17" s="36">
        <v>0</v>
      </c>
      <c r="R17" s="36">
        <v>0</v>
      </c>
      <c r="S17" s="36">
        <v>0</v>
      </c>
      <c r="T17" s="36">
        <v>0</v>
      </c>
      <c r="U17" s="36">
        <f t="shared" si="1"/>
        <v>0</v>
      </c>
    </row>
    <row r="18" spans="1:26">
      <c r="A18" s="133" t="s">
        <v>147</v>
      </c>
      <c r="B18" s="10" t="s">
        <v>22</v>
      </c>
      <c r="C18" s="26" t="s">
        <v>21</v>
      </c>
      <c r="D18" s="10" t="s">
        <v>88</v>
      </c>
      <c r="E18" s="38">
        <v>35.28</v>
      </c>
      <c r="F18" s="34">
        <f>SUM(E18/100)</f>
        <v>0.3528</v>
      </c>
      <c r="G18" s="34">
        <v>58.08</v>
      </c>
      <c r="H18" s="35">
        <f t="shared" si="0"/>
        <v>2.0490623999999999E-2</v>
      </c>
      <c r="I18" s="36">
        <v>0</v>
      </c>
      <c r="J18" s="36">
        <v>0</v>
      </c>
      <c r="K18" s="36">
        <v>0</v>
      </c>
      <c r="L18" s="36">
        <v>0</v>
      </c>
      <c r="M18" s="36">
        <f t="shared" si="2"/>
        <v>20.490624</v>
      </c>
      <c r="N18" s="36">
        <v>0</v>
      </c>
      <c r="O18" s="36">
        <v>0</v>
      </c>
      <c r="P18" s="36">
        <v>0</v>
      </c>
      <c r="Q18" s="36">
        <v>0</v>
      </c>
      <c r="R18" s="36">
        <v>0</v>
      </c>
      <c r="S18" s="36">
        <v>0</v>
      </c>
      <c r="T18" s="36">
        <v>0</v>
      </c>
      <c r="U18" s="36">
        <f t="shared" si="1"/>
        <v>0</v>
      </c>
    </row>
    <row r="19" spans="1:26">
      <c r="A19" s="133" t="s">
        <v>148</v>
      </c>
      <c r="B19" s="10" t="s">
        <v>23</v>
      </c>
      <c r="C19" s="26" t="s">
        <v>21</v>
      </c>
      <c r="D19" s="10" t="s">
        <v>88</v>
      </c>
      <c r="E19" s="33">
        <v>28.8</v>
      </c>
      <c r="F19" s="34">
        <f>SUM(E19/100)</f>
        <v>0.28800000000000003</v>
      </c>
      <c r="G19" s="34">
        <v>683.05</v>
      </c>
      <c r="H19" s="35">
        <f t="shared" si="0"/>
        <v>0.19671840000000002</v>
      </c>
      <c r="I19" s="36">
        <v>0</v>
      </c>
      <c r="J19" s="36">
        <v>0</v>
      </c>
      <c r="K19" s="36">
        <v>0</v>
      </c>
      <c r="L19" s="36">
        <v>0</v>
      </c>
      <c r="M19" s="36">
        <f t="shared" si="2"/>
        <v>196.7184</v>
      </c>
      <c r="N19" s="36">
        <v>0</v>
      </c>
      <c r="O19" s="36">
        <v>0</v>
      </c>
      <c r="P19" s="36">
        <v>0</v>
      </c>
      <c r="Q19" s="36">
        <v>0</v>
      </c>
      <c r="R19" s="36">
        <v>0</v>
      </c>
      <c r="S19" s="36">
        <v>0</v>
      </c>
      <c r="T19" s="36">
        <v>0</v>
      </c>
      <c r="U19" s="36">
        <f t="shared" si="1"/>
        <v>0</v>
      </c>
    </row>
    <row r="20" spans="1:26" s="18" customFormat="1">
      <c r="A20" s="134"/>
      <c r="B20" s="19" t="s">
        <v>24</v>
      </c>
      <c r="C20" s="39"/>
      <c r="D20" s="19"/>
      <c r="E20" s="40"/>
      <c r="F20" s="41"/>
      <c r="G20" s="41"/>
      <c r="H20" s="42">
        <f>SUM(H11:H19)</f>
        <v>204.57274816799998</v>
      </c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>
        <f>SUM(U11:U19)</f>
        <v>50124.191040000005</v>
      </c>
      <c r="V20" s="153"/>
      <c r="W20" s="153"/>
      <c r="X20" s="153"/>
      <c r="Y20" s="153"/>
      <c r="Z20" s="153"/>
    </row>
    <row r="21" spans="1:26">
      <c r="A21" s="133"/>
      <c r="B21" s="11" t="s">
        <v>25</v>
      </c>
      <c r="C21" s="26"/>
      <c r="D21" s="10"/>
      <c r="E21" s="33"/>
      <c r="F21" s="34"/>
      <c r="G21" s="34"/>
      <c r="H21" s="35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</row>
    <row r="22" spans="1:26" ht="12.75" customHeight="1">
      <c r="A22" s="133" t="s">
        <v>149</v>
      </c>
      <c r="B22" s="10" t="s">
        <v>201</v>
      </c>
      <c r="C22" s="26" t="s">
        <v>26</v>
      </c>
      <c r="D22" s="10" t="s">
        <v>202</v>
      </c>
      <c r="E22" s="34">
        <v>271.95</v>
      </c>
      <c r="F22" s="34">
        <f>SUM(E22*52/1000)</f>
        <v>14.141399999999999</v>
      </c>
      <c r="G22" s="34">
        <v>204.44</v>
      </c>
      <c r="H22" s="35">
        <f t="shared" ref="H22:H30" si="3">SUM(F22*G22/1000)</f>
        <v>2.8910678159999996</v>
      </c>
      <c r="I22" s="36">
        <v>0</v>
      </c>
      <c r="J22" s="36">
        <v>0</v>
      </c>
      <c r="K22" s="36">
        <v>0</v>
      </c>
      <c r="L22" s="36">
        <v>0</v>
      </c>
      <c r="M22" s="36">
        <f>F22/6*G22</f>
        <v>481.84463599999998</v>
      </c>
      <c r="N22" s="36">
        <f>F22/6*G22</f>
        <v>481.84463599999998</v>
      </c>
      <c r="O22" s="36">
        <f>F22/6*G22</f>
        <v>481.84463599999998</v>
      </c>
      <c r="P22" s="36">
        <f>F22/6*G22</f>
        <v>481.84463599999998</v>
      </c>
      <c r="Q22" s="36">
        <f>F22/6*G22</f>
        <v>481.84463599999998</v>
      </c>
      <c r="R22" s="36">
        <f>F22/6*G22</f>
        <v>481.84463599999998</v>
      </c>
      <c r="S22" s="36">
        <v>0</v>
      </c>
      <c r="T22" s="36">
        <v>0</v>
      </c>
      <c r="U22" s="36">
        <f t="shared" ref="U22:U30" si="4">SUM(R22:T22)</f>
        <v>481.84463599999998</v>
      </c>
    </row>
    <row r="23" spans="1:26" ht="38.25" customHeight="1">
      <c r="A23" s="133" t="s">
        <v>150</v>
      </c>
      <c r="B23" s="10" t="s">
        <v>203</v>
      </c>
      <c r="C23" s="26" t="s">
        <v>26</v>
      </c>
      <c r="D23" s="10" t="s">
        <v>204</v>
      </c>
      <c r="E23" s="34">
        <v>83.7</v>
      </c>
      <c r="F23" s="34">
        <f>SUM(E23*52/1000)</f>
        <v>4.3524000000000003</v>
      </c>
      <c r="G23" s="34">
        <v>339.21</v>
      </c>
      <c r="H23" s="35">
        <f t="shared" si="3"/>
        <v>1.4763776040000001</v>
      </c>
      <c r="I23" s="36">
        <v>0</v>
      </c>
      <c r="J23" s="36">
        <v>0</v>
      </c>
      <c r="K23" s="36">
        <v>0</v>
      </c>
      <c r="L23" s="36">
        <v>0</v>
      </c>
      <c r="M23" s="36">
        <f>F23/6*G23</f>
        <v>246.06293400000001</v>
      </c>
      <c r="N23" s="36">
        <f>F23/6*G23</f>
        <v>246.06293400000001</v>
      </c>
      <c r="O23" s="36">
        <f>F23/6*G23</f>
        <v>246.06293400000001</v>
      </c>
      <c r="P23" s="36">
        <f>F23/6*G23</f>
        <v>246.06293400000001</v>
      </c>
      <c r="Q23" s="36">
        <f>F23/6*G23</f>
        <v>246.06293400000001</v>
      </c>
      <c r="R23" s="36">
        <f>F23/6*G23</f>
        <v>246.06293400000001</v>
      </c>
      <c r="S23" s="36">
        <v>0</v>
      </c>
      <c r="T23" s="36">
        <v>0</v>
      </c>
      <c r="U23" s="36">
        <f t="shared" si="4"/>
        <v>246.06293400000001</v>
      </c>
    </row>
    <row r="24" spans="1:26">
      <c r="A24" s="133" t="s">
        <v>151</v>
      </c>
      <c r="B24" s="10" t="s">
        <v>27</v>
      </c>
      <c r="C24" s="26" t="s">
        <v>26</v>
      </c>
      <c r="D24" s="10" t="s">
        <v>28</v>
      </c>
      <c r="E24" s="34">
        <v>271.95</v>
      </c>
      <c r="F24" s="34">
        <f>SUM(E24/1000)</f>
        <v>0.27194999999999997</v>
      </c>
      <c r="G24" s="34">
        <v>3961.23</v>
      </c>
      <c r="H24" s="35">
        <f t="shared" si="3"/>
        <v>1.0772564984999999</v>
      </c>
      <c r="I24" s="36">
        <v>0</v>
      </c>
      <c r="J24" s="36">
        <v>0</v>
      </c>
      <c r="K24" s="36">
        <v>0</v>
      </c>
      <c r="L24" s="36">
        <v>0</v>
      </c>
      <c r="M24" s="36">
        <f>F24*G24</f>
        <v>1077.2564984999999</v>
      </c>
      <c r="N24" s="36">
        <v>0</v>
      </c>
      <c r="O24" s="36">
        <v>0</v>
      </c>
      <c r="P24" s="36">
        <v>0</v>
      </c>
      <c r="Q24" s="36">
        <v>0</v>
      </c>
      <c r="R24" s="36">
        <v>0</v>
      </c>
      <c r="S24" s="36">
        <v>0</v>
      </c>
      <c r="T24" s="36">
        <v>0</v>
      </c>
      <c r="U24" s="36">
        <f t="shared" si="4"/>
        <v>0</v>
      </c>
    </row>
    <row r="25" spans="1:26">
      <c r="A25" s="133" t="s">
        <v>155</v>
      </c>
      <c r="B25" s="10" t="s">
        <v>94</v>
      </c>
      <c r="C25" s="26" t="s">
        <v>52</v>
      </c>
      <c r="D25" s="10" t="s">
        <v>205</v>
      </c>
      <c r="E25" s="34">
        <v>6</v>
      </c>
      <c r="F25" s="34">
        <f>SUM(E25*48/100)</f>
        <v>2.88</v>
      </c>
      <c r="G25" s="34">
        <v>1707.63</v>
      </c>
      <c r="H25" s="35">
        <f>G25*F25/1000</f>
        <v>4.9179744000000003</v>
      </c>
      <c r="I25" s="36">
        <v>0</v>
      </c>
      <c r="J25" s="36">
        <v>0</v>
      </c>
      <c r="K25" s="36">
        <v>0</v>
      </c>
      <c r="L25" s="36">
        <v>0</v>
      </c>
      <c r="M25" s="36">
        <f>F25/6*G25</f>
        <v>819.66240000000005</v>
      </c>
      <c r="N25" s="36">
        <f>F25/6*G25</f>
        <v>819.66240000000005</v>
      </c>
      <c r="O25" s="36">
        <f>F25/6*G25</f>
        <v>819.66240000000005</v>
      </c>
      <c r="P25" s="36">
        <f>F25/6*G25</f>
        <v>819.66240000000005</v>
      </c>
      <c r="Q25" s="36">
        <f>F25/6*G25</f>
        <v>819.66240000000005</v>
      </c>
      <c r="R25" s="36">
        <f>F25/6*G25</f>
        <v>819.66240000000005</v>
      </c>
      <c r="S25" s="36">
        <v>0</v>
      </c>
      <c r="T25" s="36">
        <v>0</v>
      </c>
      <c r="U25" s="36">
        <f t="shared" si="4"/>
        <v>819.66240000000005</v>
      </c>
    </row>
    <row r="26" spans="1:26">
      <c r="A26" s="133" t="s">
        <v>152</v>
      </c>
      <c r="B26" s="10" t="s">
        <v>208</v>
      </c>
      <c r="C26" s="26" t="s">
        <v>29</v>
      </c>
      <c r="D26" s="10" t="s">
        <v>30</v>
      </c>
      <c r="E26" s="45">
        <f>1/3</f>
        <v>0.33333333333333331</v>
      </c>
      <c r="F26" s="34">
        <f>155/3</f>
        <v>51.666666666666664</v>
      </c>
      <c r="G26" s="34">
        <v>74.349999999999994</v>
      </c>
      <c r="H26" s="35">
        <f>SUM(G26*155/3/1000)</f>
        <v>3.8414166666666665</v>
      </c>
      <c r="I26" s="36">
        <v>0</v>
      </c>
      <c r="J26" s="36">
        <v>0</v>
      </c>
      <c r="K26" s="36">
        <v>0</v>
      </c>
      <c r="L26" s="36">
        <v>0</v>
      </c>
      <c r="M26" s="36">
        <f>F26/6*G26</f>
        <v>640.23611111111109</v>
      </c>
      <c r="N26" s="36">
        <f>F26/6*G26</f>
        <v>640.23611111111109</v>
      </c>
      <c r="O26" s="36">
        <f>F26/6*G26</f>
        <v>640.23611111111109</v>
      </c>
      <c r="P26" s="36">
        <f>F26/6*G26</f>
        <v>640.23611111111109</v>
      </c>
      <c r="Q26" s="36">
        <f>F26/6*G26</f>
        <v>640.23611111111109</v>
      </c>
      <c r="R26" s="36">
        <f>F26/6*G26</f>
        <v>640.23611111111109</v>
      </c>
      <c r="S26" s="36">
        <v>0</v>
      </c>
      <c r="T26" s="36">
        <v>0</v>
      </c>
      <c r="U26" s="36">
        <f t="shared" si="4"/>
        <v>640.23611111111109</v>
      </c>
    </row>
    <row r="27" spans="1:26" ht="12.75" customHeight="1">
      <c r="A27" s="133" t="s">
        <v>153</v>
      </c>
      <c r="B27" s="10" t="s">
        <v>31</v>
      </c>
      <c r="C27" s="26" t="s">
        <v>32</v>
      </c>
      <c r="D27" s="10" t="s">
        <v>206</v>
      </c>
      <c r="E27" s="46">
        <v>0.1</v>
      </c>
      <c r="F27" s="34">
        <f>SUM(E27*182)</f>
        <v>18.2</v>
      </c>
      <c r="G27" s="34">
        <v>264.85000000000002</v>
      </c>
      <c r="H27" s="35">
        <f t="shared" si="3"/>
        <v>4.8202700000000007</v>
      </c>
      <c r="I27" s="36">
        <f>F27/12*G27</f>
        <v>401.68916666666667</v>
      </c>
      <c r="J27" s="36">
        <f>F27/12*G27</f>
        <v>401.68916666666667</v>
      </c>
      <c r="K27" s="36">
        <f>F27/12*G27</f>
        <v>401.68916666666667</v>
      </c>
      <c r="L27" s="36">
        <f>F27/12*G27</f>
        <v>401.68916666666667</v>
      </c>
      <c r="M27" s="36">
        <f>F27/12*G27</f>
        <v>401.68916666666667</v>
      </c>
      <c r="N27" s="36">
        <f>F27/12*G27</f>
        <v>401.68916666666667</v>
      </c>
      <c r="O27" s="36">
        <f>F27/12*G27</f>
        <v>401.68916666666667</v>
      </c>
      <c r="P27" s="36">
        <f>F27/12*G27</f>
        <v>401.68916666666667</v>
      </c>
      <c r="Q27" s="36">
        <f>F27/12*G27</f>
        <v>401.68916666666667</v>
      </c>
      <c r="R27" s="36">
        <f>F27/12*G27</f>
        <v>401.68916666666667</v>
      </c>
      <c r="S27" s="36">
        <f>F27/12*G27</f>
        <v>401.68916666666667</v>
      </c>
      <c r="T27" s="36">
        <f>F27/12*G27</f>
        <v>401.68916666666667</v>
      </c>
      <c r="U27" s="36">
        <f t="shared" si="4"/>
        <v>1205.0675000000001</v>
      </c>
    </row>
    <row r="28" spans="1:26" ht="12.75" customHeight="1">
      <c r="A28" s="133" t="s">
        <v>154</v>
      </c>
      <c r="B28" s="10" t="s">
        <v>130</v>
      </c>
      <c r="C28" s="26" t="s">
        <v>32</v>
      </c>
      <c r="D28" s="10" t="s">
        <v>33</v>
      </c>
      <c r="E28" s="33"/>
      <c r="F28" s="34">
        <v>2</v>
      </c>
      <c r="G28" s="34">
        <v>250.92</v>
      </c>
      <c r="H28" s="35">
        <f t="shared" si="3"/>
        <v>0.50183999999999995</v>
      </c>
      <c r="I28" s="36">
        <v>0</v>
      </c>
      <c r="J28" s="36">
        <v>0</v>
      </c>
      <c r="K28" s="36">
        <v>0</v>
      </c>
      <c r="L28" s="36">
        <v>0</v>
      </c>
      <c r="M28" s="36">
        <v>0</v>
      </c>
      <c r="N28" s="36">
        <v>0</v>
      </c>
      <c r="O28" s="36">
        <v>0</v>
      </c>
      <c r="P28" s="36">
        <v>0</v>
      </c>
      <c r="Q28" s="36">
        <v>0</v>
      </c>
      <c r="R28" s="36">
        <v>0</v>
      </c>
      <c r="S28" s="36">
        <v>0</v>
      </c>
      <c r="T28" s="36">
        <v>0</v>
      </c>
      <c r="U28" s="36">
        <f t="shared" si="4"/>
        <v>0</v>
      </c>
    </row>
    <row r="29" spans="1:26" ht="12.75" customHeight="1">
      <c r="A29" s="133" t="s">
        <v>127</v>
      </c>
      <c r="B29" s="10" t="s">
        <v>131</v>
      </c>
      <c r="C29" s="26" t="s">
        <v>34</v>
      </c>
      <c r="D29" s="10" t="s">
        <v>33</v>
      </c>
      <c r="E29" s="33"/>
      <c r="F29" s="34">
        <v>1</v>
      </c>
      <c r="G29" s="34">
        <v>1490.33</v>
      </c>
      <c r="H29" s="35">
        <f t="shared" si="3"/>
        <v>1.4903299999999999</v>
      </c>
      <c r="I29" s="36">
        <v>0</v>
      </c>
      <c r="J29" s="36">
        <v>0</v>
      </c>
      <c r="K29" s="36">
        <v>0</v>
      </c>
      <c r="L29" s="36">
        <v>0</v>
      </c>
      <c r="M29" s="36">
        <v>0</v>
      </c>
      <c r="N29" s="36">
        <v>0</v>
      </c>
      <c r="O29" s="36">
        <v>0</v>
      </c>
      <c r="P29" s="36">
        <v>0</v>
      </c>
      <c r="Q29" s="36">
        <v>0</v>
      </c>
      <c r="R29" s="36">
        <v>0</v>
      </c>
      <c r="S29" s="36">
        <v>0</v>
      </c>
      <c r="T29" s="36">
        <v>0</v>
      </c>
      <c r="U29" s="36">
        <f t="shared" si="4"/>
        <v>0</v>
      </c>
    </row>
    <row r="30" spans="1:26">
      <c r="A30" s="133"/>
      <c r="B30" s="47" t="s">
        <v>35</v>
      </c>
      <c r="C30" s="26" t="s">
        <v>36</v>
      </c>
      <c r="D30" s="47" t="s">
        <v>37</v>
      </c>
      <c r="E30" s="33">
        <v>3931</v>
      </c>
      <c r="F30" s="34">
        <f>SUM(E30*12)</f>
        <v>47172</v>
      </c>
      <c r="G30" s="34">
        <v>3.64</v>
      </c>
      <c r="H30" s="35">
        <f t="shared" si="3"/>
        <v>171.70608000000001</v>
      </c>
      <c r="I30" s="36">
        <f>F30/12*G30</f>
        <v>14308.84</v>
      </c>
      <c r="J30" s="36">
        <f>F30/12*G30</f>
        <v>14308.84</v>
      </c>
      <c r="K30" s="36">
        <f>F30/12*G30</f>
        <v>14308.84</v>
      </c>
      <c r="L30" s="36">
        <f>F30/12*G30</f>
        <v>14308.84</v>
      </c>
      <c r="M30" s="36">
        <f>F30/12*G30</f>
        <v>14308.84</v>
      </c>
      <c r="N30" s="36">
        <f>F30/12*G30</f>
        <v>14308.84</v>
      </c>
      <c r="O30" s="36">
        <f>F30/12*G30</f>
        <v>14308.84</v>
      </c>
      <c r="P30" s="36">
        <f>F30/12*G30</f>
        <v>14308.84</v>
      </c>
      <c r="Q30" s="36">
        <f>F30/12*G30</f>
        <v>14308.84</v>
      </c>
      <c r="R30" s="36">
        <f>F30/12*G30</f>
        <v>14308.84</v>
      </c>
      <c r="S30" s="36">
        <f>F30/12*G30</f>
        <v>14308.84</v>
      </c>
      <c r="T30" s="36">
        <f>F30/12*G30</f>
        <v>14308.84</v>
      </c>
      <c r="U30" s="36">
        <f t="shared" si="4"/>
        <v>42926.520000000004</v>
      </c>
    </row>
    <row r="31" spans="1:26" s="18" customFormat="1">
      <c r="A31" s="134"/>
      <c r="B31" s="19" t="s">
        <v>24</v>
      </c>
      <c r="C31" s="39"/>
      <c r="D31" s="19"/>
      <c r="E31" s="40"/>
      <c r="F31" s="41"/>
      <c r="G31" s="41"/>
      <c r="H31" s="48">
        <f>SUM(H22:H30)</f>
        <v>192.72261298516668</v>
      </c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>
        <f>SUM(U22:U30)</f>
        <v>46319.393581111115</v>
      </c>
      <c r="V31" s="153"/>
      <c r="W31" s="153"/>
      <c r="X31" s="153"/>
      <c r="Y31" s="153"/>
      <c r="Z31" s="153"/>
    </row>
    <row r="32" spans="1:26">
      <c r="A32" s="133"/>
      <c r="B32" s="11" t="s">
        <v>38</v>
      </c>
      <c r="C32" s="26"/>
      <c r="D32" s="10"/>
      <c r="E32" s="33"/>
      <c r="F32" s="34"/>
      <c r="G32" s="34"/>
      <c r="H32" s="35" t="s">
        <v>37</v>
      </c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</row>
    <row r="33" spans="1:26" ht="12.75" customHeight="1">
      <c r="A33" s="133" t="s">
        <v>127</v>
      </c>
      <c r="B33" s="12" t="s">
        <v>39</v>
      </c>
      <c r="C33" s="26" t="s">
        <v>34</v>
      </c>
      <c r="D33" s="10"/>
      <c r="E33" s="33"/>
      <c r="F33" s="34">
        <v>5</v>
      </c>
      <c r="G33" s="34">
        <v>2003</v>
      </c>
      <c r="H33" s="35">
        <f t="shared" ref="H33:H38" si="5">SUM(F33*G33/1000)</f>
        <v>10.015000000000001</v>
      </c>
      <c r="I33" s="36">
        <f t="shared" ref="I33:I38" si="6">F33/6*G33</f>
        <v>1669.1666666666667</v>
      </c>
      <c r="J33" s="36">
        <f t="shared" ref="J33:J38" si="7">F33/6*G33</f>
        <v>1669.1666666666667</v>
      </c>
      <c r="K33" s="36">
        <f t="shared" ref="K33:K38" si="8">F33/6*G33</f>
        <v>1669.1666666666667</v>
      </c>
      <c r="L33" s="36">
        <f t="shared" ref="L33:L38" si="9">F33/6*G33</f>
        <v>1669.1666666666667</v>
      </c>
      <c r="M33" s="36">
        <v>0</v>
      </c>
      <c r="N33" s="36">
        <v>0</v>
      </c>
      <c r="O33" s="36">
        <v>0</v>
      </c>
      <c r="P33" s="36">
        <v>0</v>
      </c>
      <c r="Q33" s="36">
        <v>0</v>
      </c>
      <c r="R33" s="36">
        <v>0</v>
      </c>
      <c r="S33" s="36">
        <f t="shared" ref="S33:S38" si="10">F33/6*G33</f>
        <v>1669.1666666666667</v>
      </c>
      <c r="T33" s="36">
        <f t="shared" ref="T33:T38" si="11">F33/6*G33</f>
        <v>1669.1666666666667</v>
      </c>
      <c r="U33" s="36">
        <f t="shared" ref="U33:U38" si="12">SUM(R33:T33)</f>
        <v>3338.3333333333335</v>
      </c>
    </row>
    <row r="34" spans="1:26">
      <c r="A34" s="135" t="s">
        <v>156</v>
      </c>
      <c r="B34" s="12" t="s">
        <v>207</v>
      </c>
      <c r="C34" s="50" t="s">
        <v>40</v>
      </c>
      <c r="D34" s="10" t="s">
        <v>96</v>
      </c>
      <c r="E34" s="33">
        <v>83.7</v>
      </c>
      <c r="F34" s="49">
        <f>E34*30/1000</f>
        <v>2.5110000000000001</v>
      </c>
      <c r="G34" s="34">
        <v>2757.78</v>
      </c>
      <c r="H34" s="35">
        <f t="shared" si="5"/>
        <v>6.9247855800000009</v>
      </c>
      <c r="I34" s="36">
        <f t="shared" si="6"/>
        <v>1154.1309300000003</v>
      </c>
      <c r="J34" s="36">
        <f t="shared" si="7"/>
        <v>1154.1309300000003</v>
      </c>
      <c r="K34" s="36">
        <f t="shared" si="8"/>
        <v>1154.1309300000003</v>
      </c>
      <c r="L34" s="36">
        <f t="shared" si="9"/>
        <v>1154.1309300000003</v>
      </c>
      <c r="M34" s="36">
        <v>0</v>
      </c>
      <c r="N34" s="36">
        <v>0</v>
      </c>
      <c r="O34" s="36">
        <v>0</v>
      </c>
      <c r="P34" s="36">
        <v>0</v>
      </c>
      <c r="Q34" s="36">
        <v>0</v>
      </c>
      <c r="R34" s="36">
        <v>0</v>
      </c>
      <c r="S34" s="36">
        <f t="shared" si="10"/>
        <v>1154.1309300000003</v>
      </c>
      <c r="T34" s="36">
        <f t="shared" si="11"/>
        <v>1154.1309300000003</v>
      </c>
      <c r="U34" s="36">
        <f t="shared" si="12"/>
        <v>2308.2618600000005</v>
      </c>
    </row>
    <row r="35" spans="1:26" ht="24.75" customHeight="1">
      <c r="A35" s="133" t="s">
        <v>157</v>
      </c>
      <c r="B35" s="10" t="s">
        <v>132</v>
      </c>
      <c r="C35" s="26" t="s">
        <v>40</v>
      </c>
      <c r="D35" s="10" t="s">
        <v>41</v>
      </c>
      <c r="E35" s="34">
        <v>83.7</v>
      </c>
      <c r="F35" s="49">
        <f>SUM(E35*155/1000)</f>
        <v>12.9735</v>
      </c>
      <c r="G35" s="34">
        <v>460.02</v>
      </c>
      <c r="H35" s="35">
        <f t="shared" si="5"/>
        <v>5.9680694699999997</v>
      </c>
      <c r="I35" s="36">
        <f t="shared" si="6"/>
        <v>994.67824499999983</v>
      </c>
      <c r="J35" s="36">
        <f t="shared" si="7"/>
        <v>994.67824499999983</v>
      </c>
      <c r="K35" s="36">
        <f t="shared" si="8"/>
        <v>994.67824499999983</v>
      </c>
      <c r="L35" s="36">
        <f t="shared" si="9"/>
        <v>994.67824499999983</v>
      </c>
      <c r="M35" s="36">
        <v>0</v>
      </c>
      <c r="N35" s="36">
        <v>0</v>
      </c>
      <c r="O35" s="36">
        <v>0</v>
      </c>
      <c r="P35" s="36">
        <v>0</v>
      </c>
      <c r="Q35" s="36">
        <v>0</v>
      </c>
      <c r="R35" s="36">
        <v>0</v>
      </c>
      <c r="S35" s="36">
        <f t="shared" si="10"/>
        <v>994.67824499999983</v>
      </c>
      <c r="T35" s="36">
        <f t="shared" si="11"/>
        <v>994.67824499999983</v>
      </c>
      <c r="U35" s="36">
        <f>SUM(R35:T35)</f>
        <v>1989.3564899999997</v>
      </c>
    </row>
    <row r="36" spans="1:26" ht="51" customHeight="1">
      <c r="A36" s="133" t="s">
        <v>158</v>
      </c>
      <c r="B36" s="10" t="s">
        <v>135</v>
      </c>
      <c r="C36" s="26" t="s">
        <v>26</v>
      </c>
      <c r="D36" s="10" t="s">
        <v>96</v>
      </c>
      <c r="E36" s="34">
        <v>83.7</v>
      </c>
      <c r="F36" s="49">
        <f>SUM(E36*30/1000)</f>
        <v>2.5110000000000001</v>
      </c>
      <c r="G36" s="34">
        <v>7611.16</v>
      </c>
      <c r="H36" s="35">
        <f t="shared" si="5"/>
        <v>19.111622760000003</v>
      </c>
      <c r="I36" s="36">
        <f t="shared" si="6"/>
        <v>3185.2704600000002</v>
      </c>
      <c r="J36" s="36">
        <f t="shared" si="7"/>
        <v>3185.2704600000002</v>
      </c>
      <c r="K36" s="36">
        <f t="shared" si="8"/>
        <v>3185.2704600000002</v>
      </c>
      <c r="L36" s="36">
        <f t="shared" si="9"/>
        <v>3185.2704600000002</v>
      </c>
      <c r="M36" s="36">
        <v>0</v>
      </c>
      <c r="N36" s="36">
        <v>0</v>
      </c>
      <c r="O36" s="36">
        <v>0</v>
      </c>
      <c r="P36" s="36">
        <v>0</v>
      </c>
      <c r="Q36" s="36">
        <v>0</v>
      </c>
      <c r="R36" s="36">
        <v>0</v>
      </c>
      <c r="S36" s="36">
        <f t="shared" si="10"/>
        <v>3185.2704600000002</v>
      </c>
      <c r="T36" s="36">
        <f t="shared" si="11"/>
        <v>3185.2704600000002</v>
      </c>
      <c r="U36" s="36">
        <f t="shared" si="12"/>
        <v>6370.5409200000004</v>
      </c>
    </row>
    <row r="37" spans="1:26" ht="12.75" customHeight="1">
      <c r="A37" s="133" t="s">
        <v>159</v>
      </c>
      <c r="B37" s="10" t="s">
        <v>133</v>
      </c>
      <c r="C37" s="26" t="s">
        <v>26</v>
      </c>
      <c r="D37" s="10" t="s">
        <v>97</v>
      </c>
      <c r="E37" s="34">
        <v>83.7</v>
      </c>
      <c r="F37" s="49">
        <f>SUM(E37*24/1000)</f>
        <v>2.0088000000000004</v>
      </c>
      <c r="G37" s="34">
        <v>562.25</v>
      </c>
      <c r="H37" s="35">
        <f t="shared" si="5"/>
        <v>1.1294478000000001</v>
      </c>
      <c r="I37" s="36">
        <f t="shared" si="6"/>
        <v>188.24130000000002</v>
      </c>
      <c r="J37" s="36">
        <f t="shared" si="7"/>
        <v>188.24130000000002</v>
      </c>
      <c r="K37" s="36">
        <f t="shared" si="8"/>
        <v>188.24130000000002</v>
      </c>
      <c r="L37" s="36">
        <f t="shared" si="9"/>
        <v>188.24130000000002</v>
      </c>
      <c r="M37" s="36">
        <v>0</v>
      </c>
      <c r="N37" s="36">
        <v>0</v>
      </c>
      <c r="O37" s="36">
        <v>0</v>
      </c>
      <c r="P37" s="36">
        <v>0</v>
      </c>
      <c r="Q37" s="36">
        <v>0</v>
      </c>
      <c r="R37" s="36">
        <v>0</v>
      </c>
      <c r="S37" s="36">
        <v>0</v>
      </c>
      <c r="T37" s="36">
        <v>0</v>
      </c>
      <c r="U37" s="36">
        <f t="shared" si="12"/>
        <v>0</v>
      </c>
    </row>
    <row r="38" spans="1:26" s="1" customFormat="1">
      <c r="A38" s="135"/>
      <c r="B38" s="12" t="s">
        <v>134</v>
      </c>
      <c r="C38" s="50" t="s">
        <v>32</v>
      </c>
      <c r="D38" s="12"/>
      <c r="E38" s="46"/>
      <c r="F38" s="49">
        <v>0.9</v>
      </c>
      <c r="G38" s="49">
        <v>974.83</v>
      </c>
      <c r="H38" s="35">
        <f t="shared" si="5"/>
        <v>0.8773470000000001</v>
      </c>
      <c r="I38" s="51">
        <f t="shared" si="6"/>
        <v>146.22450000000001</v>
      </c>
      <c r="J38" s="51">
        <f t="shared" si="7"/>
        <v>146.22450000000001</v>
      </c>
      <c r="K38" s="51">
        <f t="shared" si="8"/>
        <v>146.22450000000001</v>
      </c>
      <c r="L38" s="51">
        <f t="shared" si="9"/>
        <v>146.22450000000001</v>
      </c>
      <c r="M38" s="51">
        <v>0</v>
      </c>
      <c r="N38" s="51">
        <v>0</v>
      </c>
      <c r="O38" s="51">
        <v>0</v>
      </c>
      <c r="P38" s="51">
        <v>0</v>
      </c>
      <c r="Q38" s="51">
        <v>0</v>
      </c>
      <c r="R38" s="51">
        <v>0</v>
      </c>
      <c r="S38" s="51">
        <f t="shared" si="10"/>
        <v>146.22450000000001</v>
      </c>
      <c r="T38" s="51">
        <f t="shared" si="11"/>
        <v>146.22450000000001</v>
      </c>
      <c r="U38" s="36">
        <f t="shared" si="12"/>
        <v>292.44900000000001</v>
      </c>
      <c r="V38" s="153"/>
      <c r="W38" s="153"/>
      <c r="X38" s="153"/>
      <c r="Y38" s="153"/>
      <c r="Z38" s="153"/>
    </row>
    <row r="39" spans="1:26" s="18" customFormat="1">
      <c r="A39" s="134"/>
      <c r="B39" s="19" t="s">
        <v>24</v>
      </c>
      <c r="C39" s="39"/>
      <c r="D39" s="19"/>
      <c r="E39" s="40"/>
      <c r="F39" s="41" t="s">
        <v>37</v>
      </c>
      <c r="G39" s="41"/>
      <c r="H39" s="48">
        <f>SUM(H33:H38)</f>
        <v>44.026272610000007</v>
      </c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>
        <f>SUM(U33:U38)</f>
        <v>14298.941603333336</v>
      </c>
      <c r="V39" s="153"/>
      <c r="W39" s="153"/>
      <c r="X39" s="153"/>
      <c r="Y39" s="153"/>
      <c r="Z39" s="153"/>
    </row>
    <row r="40" spans="1:26">
      <c r="A40" s="133"/>
      <c r="B40" s="13" t="s">
        <v>42</v>
      </c>
      <c r="C40" s="26"/>
      <c r="D40" s="10"/>
      <c r="E40" s="33"/>
      <c r="F40" s="34"/>
      <c r="G40" s="34"/>
      <c r="H40" s="35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</row>
    <row r="41" spans="1:26">
      <c r="A41" s="133" t="s">
        <v>160</v>
      </c>
      <c r="B41" s="10" t="s">
        <v>98</v>
      </c>
      <c r="C41" s="26" t="s">
        <v>26</v>
      </c>
      <c r="D41" s="10" t="s">
        <v>43</v>
      </c>
      <c r="E41" s="33">
        <v>1032.5</v>
      </c>
      <c r="F41" s="34">
        <f>SUM(E41*2/1000)</f>
        <v>2.0649999999999999</v>
      </c>
      <c r="G41" s="52">
        <v>1114.1300000000001</v>
      </c>
      <c r="H41" s="35">
        <f t="shared" ref="H41:H50" si="13">SUM(F41*G41/1000)</f>
        <v>2.3006784500000004</v>
      </c>
      <c r="I41" s="36">
        <v>0</v>
      </c>
      <c r="J41" s="36">
        <v>0</v>
      </c>
      <c r="K41" s="36">
        <v>0</v>
      </c>
      <c r="L41" s="36">
        <v>0</v>
      </c>
      <c r="M41" s="36">
        <f t="shared" ref="M41:M44" si="14">F41/2*G41</f>
        <v>1150.3392250000002</v>
      </c>
      <c r="N41" s="36">
        <v>0</v>
      </c>
      <c r="O41" s="36">
        <v>0</v>
      </c>
      <c r="P41" s="36">
        <v>0</v>
      </c>
      <c r="Q41" s="36">
        <f>F41/2*G41</f>
        <v>1150.3392250000002</v>
      </c>
      <c r="R41" s="36">
        <v>0</v>
      </c>
      <c r="S41" s="36">
        <v>0</v>
      </c>
      <c r="T41" s="36">
        <v>0</v>
      </c>
      <c r="U41" s="36">
        <f t="shared" ref="U41:U50" si="15">SUM(R41:T41)</f>
        <v>0</v>
      </c>
    </row>
    <row r="42" spans="1:26">
      <c r="A42" s="133" t="s">
        <v>161</v>
      </c>
      <c r="B42" s="10" t="s">
        <v>44</v>
      </c>
      <c r="C42" s="26" t="s">
        <v>26</v>
      </c>
      <c r="D42" s="10" t="s">
        <v>43</v>
      </c>
      <c r="E42" s="33">
        <v>132</v>
      </c>
      <c r="F42" s="34">
        <f>E42*2/1000</f>
        <v>0.26400000000000001</v>
      </c>
      <c r="G42" s="52">
        <v>4419.05</v>
      </c>
      <c r="H42" s="35">
        <f t="shared" si="13"/>
        <v>1.1666292</v>
      </c>
      <c r="I42" s="36">
        <v>0</v>
      </c>
      <c r="J42" s="36">
        <v>0</v>
      </c>
      <c r="K42" s="36">
        <v>0</v>
      </c>
      <c r="L42" s="36">
        <v>0</v>
      </c>
      <c r="M42" s="36">
        <f t="shared" si="14"/>
        <v>583.31460000000004</v>
      </c>
      <c r="N42" s="36">
        <v>0</v>
      </c>
      <c r="O42" s="36">
        <v>0</v>
      </c>
      <c r="P42" s="36">
        <v>0</v>
      </c>
      <c r="Q42" s="36">
        <f>F42/2*G42</f>
        <v>583.31460000000004</v>
      </c>
      <c r="R42" s="36">
        <v>0</v>
      </c>
      <c r="S42" s="36">
        <v>0</v>
      </c>
      <c r="T42" s="36">
        <v>0</v>
      </c>
      <c r="U42" s="36">
        <f t="shared" si="15"/>
        <v>0</v>
      </c>
    </row>
    <row r="43" spans="1:26" ht="12.75" customHeight="1">
      <c r="A43" s="133" t="s">
        <v>162</v>
      </c>
      <c r="B43" s="10" t="s">
        <v>45</v>
      </c>
      <c r="C43" s="26" t="s">
        <v>26</v>
      </c>
      <c r="D43" s="10" t="s">
        <v>43</v>
      </c>
      <c r="E43" s="33">
        <v>4248.22</v>
      </c>
      <c r="F43" s="34">
        <f>SUM(E43*2/1000)</f>
        <v>8.4964399999999998</v>
      </c>
      <c r="G43" s="52">
        <v>1803.69</v>
      </c>
      <c r="H43" s="35">
        <f t="shared" si="13"/>
        <v>15.3249438636</v>
      </c>
      <c r="I43" s="36">
        <v>0</v>
      </c>
      <c r="J43" s="36">
        <v>0</v>
      </c>
      <c r="K43" s="36">
        <v>0</v>
      </c>
      <c r="L43" s="36">
        <v>0</v>
      </c>
      <c r="M43" s="36">
        <f t="shared" si="14"/>
        <v>7662.4719317999998</v>
      </c>
      <c r="N43" s="36">
        <v>0</v>
      </c>
      <c r="O43" s="36">
        <v>0</v>
      </c>
      <c r="P43" s="36">
        <v>0</v>
      </c>
      <c r="Q43" s="36">
        <f>F43/2*G43</f>
        <v>7662.4719317999998</v>
      </c>
      <c r="R43" s="36">
        <v>0</v>
      </c>
      <c r="S43" s="36">
        <v>0</v>
      </c>
      <c r="T43" s="36">
        <v>0</v>
      </c>
      <c r="U43" s="36">
        <f t="shared" si="15"/>
        <v>0</v>
      </c>
    </row>
    <row r="44" spans="1:26">
      <c r="A44" s="133" t="s">
        <v>163</v>
      </c>
      <c r="B44" s="10" t="s">
        <v>46</v>
      </c>
      <c r="C44" s="26" t="s">
        <v>26</v>
      </c>
      <c r="D44" s="10" t="s">
        <v>43</v>
      </c>
      <c r="E44" s="33">
        <v>2163.66</v>
      </c>
      <c r="F44" s="34">
        <f>SUM(E44*2/1000)</f>
        <v>4.3273199999999994</v>
      </c>
      <c r="G44" s="52">
        <v>1243.43</v>
      </c>
      <c r="H44" s="35">
        <f t="shared" si="13"/>
        <v>5.3807195075999994</v>
      </c>
      <c r="I44" s="36">
        <v>0</v>
      </c>
      <c r="J44" s="36">
        <v>0</v>
      </c>
      <c r="K44" s="36">
        <v>0</v>
      </c>
      <c r="L44" s="36">
        <v>0</v>
      </c>
      <c r="M44" s="36">
        <f t="shared" si="14"/>
        <v>2690.3597537999999</v>
      </c>
      <c r="N44" s="36">
        <v>0</v>
      </c>
      <c r="O44" s="36">
        <v>0</v>
      </c>
      <c r="P44" s="36">
        <v>0</v>
      </c>
      <c r="Q44" s="36">
        <f>F44/2*G44</f>
        <v>2690.3597537999999</v>
      </c>
      <c r="R44" s="36">
        <v>0</v>
      </c>
      <c r="S44" s="36">
        <v>0</v>
      </c>
      <c r="T44" s="36">
        <v>0</v>
      </c>
      <c r="U44" s="36">
        <f t="shared" si="15"/>
        <v>0</v>
      </c>
    </row>
    <row r="45" spans="1:26">
      <c r="A45" s="133" t="s">
        <v>164</v>
      </c>
      <c r="B45" s="10" t="s">
        <v>47</v>
      </c>
      <c r="C45" s="26" t="s">
        <v>26</v>
      </c>
      <c r="D45" s="10" t="s">
        <v>93</v>
      </c>
      <c r="E45" s="33">
        <v>3931</v>
      </c>
      <c r="F45" s="34">
        <f>SUM(E45*5/1000)</f>
        <v>19.655000000000001</v>
      </c>
      <c r="G45" s="52">
        <v>1083.69</v>
      </c>
      <c r="H45" s="35">
        <f t="shared" si="13"/>
        <v>21.29992695</v>
      </c>
      <c r="I45" s="36">
        <f>F45/5*G45</f>
        <v>4259.9853899999998</v>
      </c>
      <c r="J45" s="36">
        <f>F45/5*G45</f>
        <v>4259.9853899999998</v>
      </c>
      <c r="K45" s="36">
        <v>0</v>
      </c>
      <c r="L45" s="36">
        <v>0</v>
      </c>
      <c r="M45" s="36">
        <f>F45/5*G45</f>
        <v>4259.9853899999998</v>
      </c>
      <c r="N45" s="36">
        <v>0</v>
      </c>
      <c r="O45" s="36">
        <v>0</v>
      </c>
      <c r="P45" s="36">
        <v>0</v>
      </c>
      <c r="Q45" s="36">
        <f>F45/5*G45</f>
        <v>4259.9853899999998</v>
      </c>
      <c r="R45" s="36">
        <v>0</v>
      </c>
      <c r="S45" s="36">
        <v>0</v>
      </c>
      <c r="T45" s="36">
        <f>F45/5*G45</f>
        <v>4259.9853899999998</v>
      </c>
      <c r="U45" s="36">
        <f t="shared" si="15"/>
        <v>4259.9853899999998</v>
      </c>
    </row>
    <row r="46" spans="1:26" ht="38.25" customHeight="1">
      <c r="A46" s="133" t="s">
        <v>165</v>
      </c>
      <c r="B46" s="10" t="s">
        <v>48</v>
      </c>
      <c r="C46" s="26" t="s">
        <v>26</v>
      </c>
      <c r="D46" s="10" t="s">
        <v>43</v>
      </c>
      <c r="E46" s="33">
        <v>3931</v>
      </c>
      <c r="F46" s="34">
        <f>SUM(E46*2/1000)</f>
        <v>7.8620000000000001</v>
      </c>
      <c r="G46" s="52">
        <v>1591.6</v>
      </c>
      <c r="H46" s="35">
        <f t="shared" si="13"/>
        <v>12.5131592</v>
      </c>
      <c r="I46" s="36">
        <v>0</v>
      </c>
      <c r="J46" s="36">
        <v>0</v>
      </c>
      <c r="K46" s="36">
        <f>F46/2*G46</f>
        <v>6256.5796</v>
      </c>
      <c r="L46" s="36">
        <v>0</v>
      </c>
      <c r="M46" s="36">
        <v>0</v>
      </c>
      <c r="N46" s="36">
        <v>0</v>
      </c>
      <c r="O46" s="36">
        <v>0</v>
      </c>
      <c r="P46" s="36">
        <v>0</v>
      </c>
      <c r="Q46" s="36">
        <f>F46/2*G46</f>
        <v>6256.5796</v>
      </c>
      <c r="R46" s="36">
        <v>0</v>
      </c>
      <c r="S46" s="36">
        <v>0</v>
      </c>
      <c r="T46" s="36">
        <v>0</v>
      </c>
      <c r="U46" s="36">
        <f t="shared" si="15"/>
        <v>0</v>
      </c>
    </row>
    <row r="47" spans="1:26" ht="25.5" customHeight="1">
      <c r="A47" s="133" t="s">
        <v>166</v>
      </c>
      <c r="B47" s="10" t="s">
        <v>49</v>
      </c>
      <c r="C47" s="26" t="s">
        <v>50</v>
      </c>
      <c r="D47" s="10" t="s">
        <v>43</v>
      </c>
      <c r="E47" s="33">
        <v>30</v>
      </c>
      <c r="F47" s="34">
        <f>SUM(E47*2/100)</f>
        <v>0.6</v>
      </c>
      <c r="G47" s="52">
        <v>4058.32</v>
      </c>
      <c r="H47" s="35">
        <f t="shared" si="13"/>
        <v>2.4349920000000003</v>
      </c>
      <c r="I47" s="36">
        <v>0</v>
      </c>
      <c r="J47" s="36">
        <v>0</v>
      </c>
      <c r="K47" s="36">
        <f>F47/2*G47</f>
        <v>1217.4960000000001</v>
      </c>
      <c r="L47" s="36">
        <v>0</v>
      </c>
      <c r="M47" s="36">
        <v>0</v>
      </c>
      <c r="N47" s="36">
        <v>0</v>
      </c>
      <c r="O47" s="36">
        <v>0</v>
      </c>
      <c r="P47" s="36">
        <v>0</v>
      </c>
      <c r="Q47" s="36">
        <f>F47/2*G47</f>
        <v>1217.4960000000001</v>
      </c>
      <c r="R47" s="36">
        <v>0</v>
      </c>
      <c r="S47" s="36">
        <v>0</v>
      </c>
      <c r="T47" s="36">
        <v>0</v>
      </c>
      <c r="U47" s="36">
        <f t="shared" si="15"/>
        <v>0</v>
      </c>
    </row>
    <row r="48" spans="1:26">
      <c r="A48" s="133" t="s">
        <v>167</v>
      </c>
      <c r="B48" s="10" t="s">
        <v>51</v>
      </c>
      <c r="C48" s="26" t="s">
        <v>52</v>
      </c>
      <c r="D48" s="10" t="s">
        <v>43</v>
      </c>
      <c r="E48" s="33">
        <v>1</v>
      </c>
      <c r="F48" s="34">
        <v>0.02</v>
      </c>
      <c r="G48" s="52">
        <v>7412.92</v>
      </c>
      <c r="H48" s="35">
        <f t="shared" si="13"/>
        <v>0.14825839999999998</v>
      </c>
      <c r="I48" s="36">
        <v>0</v>
      </c>
      <c r="J48" s="36">
        <v>0</v>
      </c>
      <c r="K48" s="36">
        <f>F48/2*G48</f>
        <v>74.129199999999997</v>
      </c>
      <c r="L48" s="36">
        <v>0</v>
      </c>
      <c r="M48" s="36">
        <v>0</v>
      </c>
      <c r="N48" s="36">
        <v>0</v>
      </c>
      <c r="O48" s="36">
        <v>0</v>
      </c>
      <c r="P48" s="36">
        <v>0</v>
      </c>
      <c r="Q48" s="36">
        <f>F48/2*G48</f>
        <v>74.129199999999997</v>
      </c>
      <c r="R48" s="36">
        <v>0</v>
      </c>
      <c r="S48" s="36">
        <v>0</v>
      </c>
      <c r="T48" s="36">
        <v>0</v>
      </c>
      <c r="U48" s="36">
        <f t="shared" si="15"/>
        <v>0</v>
      </c>
    </row>
    <row r="49" spans="1:26">
      <c r="A49" s="133" t="s">
        <v>99</v>
      </c>
      <c r="B49" s="10" t="s">
        <v>100</v>
      </c>
      <c r="C49" s="26" t="s">
        <v>53</v>
      </c>
      <c r="D49" s="10" t="s">
        <v>119</v>
      </c>
      <c r="E49" s="33">
        <v>90</v>
      </c>
      <c r="F49" s="34">
        <f>E49*3</f>
        <v>270</v>
      </c>
      <c r="G49" s="52">
        <v>185.08</v>
      </c>
      <c r="H49" s="35">
        <f t="shared" si="13"/>
        <v>49.971600000000009</v>
      </c>
      <c r="I49" s="36">
        <f>E49*G49</f>
        <v>16657.2</v>
      </c>
      <c r="J49" s="36">
        <v>0</v>
      </c>
      <c r="K49" s="36">
        <v>0</v>
      </c>
      <c r="L49" s="36">
        <v>0</v>
      </c>
      <c r="M49" s="36">
        <f>G49*E49</f>
        <v>16657.2</v>
      </c>
      <c r="N49" s="36">
        <v>0</v>
      </c>
      <c r="O49" s="36">
        <v>0</v>
      </c>
      <c r="P49" s="36">
        <v>0</v>
      </c>
      <c r="Q49" s="36">
        <f>E49*G49</f>
        <v>16657.2</v>
      </c>
      <c r="R49" s="36">
        <v>0</v>
      </c>
      <c r="S49" s="36">
        <v>0</v>
      </c>
      <c r="T49" s="36">
        <v>0</v>
      </c>
      <c r="U49" s="36">
        <f t="shared" si="15"/>
        <v>0</v>
      </c>
    </row>
    <row r="50" spans="1:26" ht="13.5" customHeight="1">
      <c r="A50" s="133" t="s">
        <v>54</v>
      </c>
      <c r="B50" s="10" t="s">
        <v>55</v>
      </c>
      <c r="C50" s="26" t="s">
        <v>53</v>
      </c>
      <c r="D50" s="10" t="s">
        <v>119</v>
      </c>
      <c r="E50" s="33">
        <v>180</v>
      </c>
      <c r="F50" s="34">
        <f>SUM(E50)*3</f>
        <v>540</v>
      </c>
      <c r="G50" s="53">
        <v>86.15</v>
      </c>
      <c r="H50" s="35">
        <f t="shared" si="13"/>
        <v>46.521000000000001</v>
      </c>
      <c r="I50" s="36">
        <f>E50*G50</f>
        <v>15507.000000000002</v>
      </c>
      <c r="J50" s="36">
        <v>0</v>
      </c>
      <c r="K50" s="36">
        <v>0</v>
      </c>
      <c r="L50" s="36">
        <v>0</v>
      </c>
      <c r="M50" s="36">
        <f>G50*E50</f>
        <v>15507.000000000002</v>
      </c>
      <c r="N50" s="36">
        <v>0</v>
      </c>
      <c r="O50" s="36">
        <v>0</v>
      </c>
      <c r="P50" s="36">
        <v>0</v>
      </c>
      <c r="Q50" s="36">
        <f>E50*G50</f>
        <v>15507.000000000002</v>
      </c>
      <c r="R50" s="36">
        <v>0</v>
      </c>
      <c r="S50" s="36">
        <v>0</v>
      </c>
      <c r="T50" s="36">
        <v>0</v>
      </c>
      <c r="U50" s="36">
        <f t="shared" si="15"/>
        <v>0</v>
      </c>
    </row>
    <row r="51" spans="1:26" s="20" customFormat="1">
      <c r="A51" s="134"/>
      <c r="B51" s="19" t="s">
        <v>24</v>
      </c>
      <c r="C51" s="54"/>
      <c r="D51" s="19"/>
      <c r="E51" s="55"/>
      <c r="F51" s="56"/>
      <c r="G51" s="56"/>
      <c r="H51" s="48">
        <f>SUM(H41:H50)</f>
        <v>157.06190757120004</v>
      </c>
      <c r="I51" s="57"/>
      <c r="J51" s="57"/>
      <c r="K51" s="57"/>
      <c r="L51" s="57"/>
      <c r="M51" s="57"/>
      <c r="N51" s="57"/>
      <c r="O51" s="57"/>
      <c r="P51" s="57"/>
      <c r="Q51" s="57"/>
      <c r="R51" s="57"/>
      <c r="S51" s="57"/>
      <c r="T51" s="57"/>
      <c r="U51" s="57">
        <f>SUM(U41:U50)</f>
        <v>4259.9853899999998</v>
      </c>
      <c r="V51" s="153"/>
      <c r="W51" s="153"/>
      <c r="X51" s="153"/>
      <c r="Y51" s="153"/>
      <c r="Z51" s="153"/>
    </row>
    <row r="52" spans="1:26">
      <c r="A52" s="133"/>
      <c r="B52" s="11" t="s">
        <v>56</v>
      </c>
      <c r="C52" s="26"/>
      <c r="D52" s="10"/>
      <c r="E52" s="33"/>
      <c r="F52" s="34"/>
      <c r="G52" s="34"/>
      <c r="H52" s="35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</row>
    <row r="53" spans="1:26" ht="38.25" customHeight="1">
      <c r="A53" s="133" t="s">
        <v>168</v>
      </c>
      <c r="B53" s="10" t="s">
        <v>136</v>
      </c>
      <c r="C53" s="26" t="s">
        <v>13</v>
      </c>
      <c r="D53" s="10" t="s">
        <v>57</v>
      </c>
      <c r="E53" s="33">
        <v>30.6</v>
      </c>
      <c r="F53" s="34">
        <f>SUM(E53*6/100)</f>
        <v>1.8360000000000003</v>
      </c>
      <c r="G53" s="52">
        <v>2029.3</v>
      </c>
      <c r="H53" s="35">
        <f>SUM(F53*G53/1000)</f>
        <v>3.7257948000000005</v>
      </c>
      <c r="I53" s="36">
        <f>F53/6*G53</f>
        <v>620.96580000000006</v>
      </c>
      <c r="J53" s="36">
        <f>F53/6*G53</f>
        <v>620.96580000000006</v>
      </c>
      <c r="K53" s="36">
        <f>F53/6*G53</f>
        <v>620.96580000000006</v>
      </c>
      <c r="L53" s="36">
        <f>F53/6*G53</f>
        <v>620.96580000000006</v>
      </c>
      <c r="M53" s="36">
        <v>0</v>
      </c>
      <c r="N53" s="36">
        <v>0</v>
      </c>
      <c r="O53" s="36">
        <v>0</v>
      </c>
      <c r="P53" s="36">
        <v>0</v>
      </c>
      <c r="Q53" s="36">
        <v>0</v>
      </c>
      <c r="R53" s="36">
        <v>0</v>
      </c>
      <c r="S53" s="36">
        <f>F53/6*G53</f>
        <v>620.96580000000006</v>
      </c>
      <c r="T53" s="36">
        <f>F53/6*G53</f>
        <v>620.96580000000006</v>
      </c>
      <c r="U53" s="36">
        <f t="shared" ref="U53:U83" si="16">SUM(R53:T53)</f>
        <v>1241.9316000000001</v>
      </c>
    </row>
    <row r="54" spans="1:26" ht="27" customHeight="1">
      <c r="A54" s="133" t="s">
        <v>168</v>
      </c>
      <c r="B54" s="10" t="s">
        <v>191</v>
      </c>
      <c r="C54" s="26" t="s">
        <v>13</v>
      </c>
      <c r="D54" s="10" t="s">
        <v>101</v>
      </c>
      <c r="E54" s="33">
        <v>39.69</v>
      </c>
      <c r="F54" s="34">
        <f>SUM(E54*12/100)</f>
        <v>4.7627999999999995</v>
      </c>
      <c r="G54" s="52">
        <v>2029.3</v>
      </c>
      <c r="H54" s="35">
        <f>SUM(F54*G54/1000)</f>
        <v>9.6651500399999986</v>
      </c>
      <c r="I54" s="36">
        <f>F54/6*G54</f>
        <v>1610.8583399999998</v>
      </c>
      <c r="J54" s="36">
        <f>F54/6*G54</f>
        <v>1610.8583399999998</v>
      </c>
      <c r="K54" s="36">
        <f>F54/6*G54</f>
        <v>1610.8583399999998</v>
      </c>
      <c r="L54" s="36">
        <f>F54/6*G54</f>
        <v>1610.8583399999998</v>
      </c>
      <c r="M54" s="36">
        <v>0</v>
      </c>
      <c r="N54" s="36">
        <v>0</v>
      </c>
      <c r="O54" s="36">
        <v>0</v>
      </c>
      <c r="P54" s="36">
        <v>0</v>
      </c>
      <c r="Q54" s="36">
        <v>0</v>
      </c>
      <c r="R54" s="36">
        <v>0</v>
      </c>
      <c r="S54" s="36">
        <f>F54/6*G54</f>
        <v>1610.8583399999998</v>
      </c>
      <c r="T54" s="36">
        <f>F54/6*G54</f>
        <v>1610.8583399999998</v>
      </c>
      <c r="U54" s="36">
        <f t="shared" si="16"/>
        <v>3221.7166799999995</v>
      </c>
    </row>
    <row r="55" spans="1:26" ht="12.75" customHeight="1">
      <c r="A55" s="136" t="s">
        <v>169</v>
      </c>
      <c r="B55" s="23" t="s">
        <v>102</v>
      </c>
      <c r="C55" s="58" t="s">
        <v>103</v>
      </c>
      <c r="D55" s="23" t="s">
        <v>43</v>
      </c>
      <c r="E55" s="59">
        <v>8</v>
      </c>
      <c r="F55" s="60">
        <v>16</v>
      </c>
      <c r="G55" s="52">
        <v>237.1</v>
      </c>
      <c r="H55" s="35">
        <f>SUM(F55*G55/1000)</f>
        <v>3.7936000000000001</v>
      </c>
      <c r="I55" s="36">
        <v>0</v>
      </c>
      <c r="J55" s="36">
        <v>0</v>
      </c>
      <c r="K55" s="36">
        <v>0</v>
      </c>
      <c r="L55" s="36">
        <v>0</v>
      </c>
      <c r="M55" s="36">
        <v>0</v>
      </c>
      <c r="N55" s="36">
        <v>0</v>
      </c>
      <c r="O55" s="36">
        <v>0</v>
      </c>
      <c r="P55" s="36">
        <v>0</v>
      </c>
      <c r="Q55" s="36">
        <v>0</v>
      </c>
      <c r="R55" s="36">
        <v>0</v>
      </c>
      <c r="S55" s="36">
        <v>0</v>
      </c>
      <c r="T55" s="36">
        <v>0</v>
      </c>
      <c r="U55" s="36">
        <f t="shared" si="16"/>
        <v>0</v>
      </c>
    </row>
    <row r="56" spans="1:26" ht="12.75" customHeight="1">
      <c r="A56" s="133" t="s">
        <v>168</v>
      </c>
      <c r="B56" s="10" t="s">
        <v>104</v>
      </c>
      <c r="C56" s="26" t="s">
        <v>13</v>
      </c>
      <c r="D56" s="10" t="s">
        <v>57</v>
      </c>
      <c r="E56" s="33">
        <v>41.73</v>
      </c>
      <c r="F56" s="34">
        <f>SUM(E56*6/100)</f>
        <v>2.5038</v>
      </c>
      <c r="G56" s="52">
        <v>2029.3</v>
      </c>
      <c r="H56" s="35">
        <f>SUM(F56*G56/1000)</f>
        <v>5.08096134</v>
      </c>
      <c r="I56" s="36">
        <f>F56/6*G56</f>
        <v>846.82688999999993</v>
      </c>
      <c r="J56" s="36">
        <f>F56/6*G56</f>
        <v>846.82688999999993</v>
      </c>
      <c r="K56" s="36">
        <f>F56/6*G56</f>
        <v>846.82688999999993</v>
      </c>
      <c r="L56" s="36">
        <f>F56/6*G56</f>
        <v>846.82688999999993</v>
      </c>
      <c r="M56" s="36">
        <v>0</v>
      </c>
      <c r="N56" s="36">
        <v>0</v>
      </c>
      <c r="O56" s="36">
        <v>0</v>
      </c>
      <c r="P56" s="36">
        <v>0</v>
      </c>
      <c r="Q56" s="36">
        <v>0</v>
      </c>
      <c r="R56" s="36">
        <v>0</v>
      </c>
      <c r="S56" s="36">
        <f t="shared" ref="S56" si="17">F56/6*G56</f>
        <v>846.82688999999993</v>
      </c>
      <c r="T56" s="36">
        <f t="shared" ref="T56" si="18">F56/6*G56</f>
        <v>846.82688999999993</v>
      </c>
      <c r="U56" s="36">
        <f t="shared" si="16"/>
        <v>1693.6537799999999</v>
      </c>
    </row>
    <row r="57" spans="1:26" ht="12.75" customHeight="1">
      <c r="A57" s="136" t="s">
        <v>127</v>
      </c>
      <c r="B57" s="23" t="s">
        <v>184</v>
      </c>
      <c r="C57" s="58" t="s">
        <v>34</v>
      </c>
      <c r="D57" s="23" t="s">
        <v>33</v>
      </c>
      <c r="E57" s="59"/>
      <c r="F57" s="60">
        <v>4</v>
      </c>
      <c r="G57" s="52">
        <v>1582.05</v>
      </c>
      <c r="H57" s="35">
        <f>SUM(F57*G57/1000)</f>
        <v>6.3281999999999998</v>
      </c>
      <c r="I57" s="36"/>
      <c r="J57" s="36"/>
      <c r="K57" s="36"/>
      <c r="L57" s="36"/>
      <c r="M57" s="36"/>
      <c r="N57" s="36"/>
      <c r="O57" s="36"/>
      <c r="P57" s="36"/>
      <c r="Q57" s="36"/>
      <c r="R57" s="36">
        <v>0</v>
      </c>
      <c r="S57" s="36">
        <v>0</v>
      </c>
      <c r="T57" s="36">
        <v>0</v>
      </c>
      <c r="U57" s="36">
        <f t="shared" si="16"/>
        <v>0</v>
      </c>
    </row>
    <row r="58" spans="1:26" ht="12.75" customHeight="1">
      <c r="A58" s="136"/>
      <c r="B58" s="24" t="s">
        <v>58</v>
      </c>
      <c r="C58" s="58"/>
      <c r="D58" s="23"/>
      <c r="E58" s="59"/>
      <c r="F58" s="60"/>
      <c r="G58" s="52"/>
      <c r="H58" s="61"/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6"/>
    </row>
    <row r="59" spans="1:26" ht="12.75" customHeight="1">
      <c r="A59" s="136" t="s">
        <v>170</v>
      </c>
      <c r="B59" s="23" t="s">
        <v>105</v>
      </c>
      <c r="C59" s="58" t="s">
        <v>21</v>
      </c>
      <c r="D59" s="23" t="s">
        <v>28</v>
      </c>
      <c r="E59" s="59">
        <v>508.73</v>
      </c>
      <c r="F59" s="34">
        <f>SUM(E59/100)</f>
        <v>5.0872999999999999</v>
      </c>
      <c r="G59" s="52">
        <v>1040.8399999999999</v>
      </c>
      <c r="H59" s="61">
        <f>F59*G59/1000</f>
        <v>5.2950653319999992</v>
      </c>
      <c r="I59" s="36">
        <v>0</v>
      </c>
      <c r="J59" s="36">
        <v>0</v>
      </c>
      <c r="K59" s="36">
        <v>0</v>
      </c>
      <c r="L59" s="36">
        <v>0</v>
      </c>
      <c r="M59" s="36">
        <v>0</v>
      </c>
      <c r="N59" s="36">
        <v>0</v>
      </c>
      <c r="O59" s="36">
        <v>0</v>
      </c>
      <c r="P59" s="36">
        <v>0</v>
      </c>
      <c r="Q59" s="36">
        <v>0</v>
      </c>
      <c r="R59" s="36">
        <v>0</v>
      </c>
      <c r="S59" s="36">
        <v>0</v>
      </c>
      <c r="T59" s="36">
        <v>0</v>
      </c>
      <c r="U59" s="36">
        <f t="shared" si="16"/>
        <v>0</v>
      </c>
    </row>
    <row r="60" spans="1:26" ht="12.75" customHeight="1">
      <c r="A60" s="136"/>
      <c r="B60" s="23" t="s">
        <v>95</v>
      </c>
      <c r="C60" s="58" t="s">
        <v>59</v>
      </c>
      <c r="D60" s="23" t="s">
        <v>93</v>
      </c>
      <c r="E60" s="59">
        <v>203.5</v>
      </c>
      <c r="F60" s="62">
        <f>E60*12</f>
        <v>2442</v>
      </c>
      <c r="G60" s="63">
        <v>2.8</v>
      </c>
      <c r="H60" s="60">
        <f>F60*G60/1000</f>
        <v>6.8375999999999992</v>
      </c>
      <c r="I60" s="36">
        <f>F60/12*G60</f>
        <v>569.79999999999995</v>
      </c>
      <c r="J60" s="36">
        <f>F60/12*G60</f>
        <v>569.79999999999995</v>
      </c>
      <c r="K60" s="36">
        <f>F60/12*G60</f>
        <v>569.79999999999995</v>
      </c>
      <c r="L60" s="36">
        <f>F60/12*G60</f>
        <v>569.79999999999995</v>
      </c>
      <c r="M60" s="36">
        <f>F60/12*G60</f>
        <v>569.79999999999995</v>
      </c>
      <c r="N60" s="36">
        <f>F60/12*G60</f>
        <v>569.79999999999995</v>
      </c>
      <c r="O60" s="36">
        <f>F60/12*G60</f>
        <v>569.79999999999995</v>
      </c>
      <c r="P60" s="36">
        <f>F60/12*G60</f>
        <v>569.79999999999995</v>
      </c>
      <c r="Q60" s="36">
        <f>F60/12*G60</f>
        <v>569.79999999999995</v>
      </c>
      <c r="R60" s="36">
        <f>F60/12*G60</f>
        <v>569.79999999999995</v>
      </c>
      <c r="S60" s="36">
        <f>F60/12*G60</f>
        <v>569.79999999999995</v>
      </c>
      <c r="T60" s="36">
        <f>F60/12*G60</f>
        <v>569.79999999999995</v>
      </c>
      <c r="U60" s="36">
        <f t="shared" si="16"/>
        <v>1709.3999999999999</v>
      </c>
    </row>
    <row r="61" spans="1:26">
      <c r="A61" s="136"/>
      <c r="B61" s="14" t="s">
        <v>60</v>
      </c>
      <c r="C61" s="58"/>
      <c r="D61" s="23"/>
      <c r="E61" s="59"/>
      <c r="F61" s="62"/>
      <c r="G61" s="62"/>
      <c r="H61" s="60" t="s">
        <v>37</v>
      </c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</row>
    <row r="62" spans="1:26" ht="12.75" customHeight="1">
      <c r="A62" s="64" t="s">
        <v>171</v>
      </c>
      <c r="B62" s="15" t="s">
        <v>61</v>
      </c>
      <c r="C62" s="64" t="s">
        <v>53</v>
      </c>
      <c r="D62" s="8" t="s">
        <v>33</v>
      </c>
      <c r="E62" s="65">
        <v>10</v>
      </c>
      <c r="F62" s="34">
        <f>E62</f>
        <v>10</v>
      </c>
      <c r="G62" s="52">
        <v>291.68</v>
      </c>
      <c r="H62" s="125">
        <f t="shared" ref="H62:H78" si="19">SUM(F62*G62/1000)</f>
        <v>2.9168000000000003</v>
      </c>
      <c r="I62" s="36">
        <v>0</v>
      </c>
      <c r="J62" s="36">
        <v>0</v>
      </c>
      <c r="K62" s="36">
        <v>0</v>
      </c>
      <c r="L62" s="36">
        <v>0</v>
      </c>
      <c r="M62" s="36">
        <v>0</v>
      </c>
      <c r="N62" s="36">
        <v>0</v>
      </c>
      <c r="O62" s="36">
        <v>0</v>
      </c>
      <c r="P62" s="36">
        <v>0</v>
      </c>
      <c r="Q62" s="36">
        <f>G62*2</f>
        <v>583.36</v>
      </c>
      <c r="R62" s="36">
        <v>0</v>
      </c>
      <c r="S62" s="36">
        <v>0</v>
      </c>
      <c r="T62" s="36">
        <v>0</v>
      </c>
      <c r="U62" s="36">
        <f t="shared" si="16"/>
        <v>0</v>
      </c>
    </row>
    <row r="63" spans="1:26" ht="12.75" customHeight="1">
      <c r="A63" s="64" t="s">
        <v>172</v>
      </c>
      <c r="B63" s="15" t="s">
        <v>62</v>
      </c>
      <c r="C63" s="64" t="s">
        <v>53</v>
      </c>
      <c r="D63" s="8" t="s">
        <v>33</v>
      </c>
      <c r="E63" s="65">
        <v>10</v>
      </c>
      <c r="F63" s="34">
        <f>E63</f>
        <v>10</v>
      </c>
      <c r="G63" s="52">
        <v>100.01</v>
      </c>
      <c r="H63" s="125">
        <f t="shared" si="19"/>
        <v>1.0001</v>
      </c>
      <c r="I63" s="36">
        <v>0</v>
      </c>
      <c r="J63" s="36">
        <v>0</v>
      </c>
      <c r="K63" s="36">
        <v>0</v>
      </c>
      <c r="L63" s="36">
        <v>0</v>
      </c>
      <c r="M63" s="36">
        <v>0</v>
      </c>
      <c r="N63" s="36">
        <v>0</v>
      </c>
      <c r="O63" s="36">
        <v>0</v>
      </c>
      <c r="P63" s="36">
        <v>0</v>
      </c>
      <c r="Q63" s="36">
        <v>0</v>
      </c>
      <c r="R63" s="36">
        <v>0</v>
      </c>
      <c r="S63" s="36">
        <v>0</v>
      </c>
      <c r="T63" s="36">
        <v>0</v>
      </c>
      <c r="U63" s="36">
        <f t="shared" si="16"/>
        <v>0</v>
      </c>
    </row>
    <row r="64" spans="1:26" s="1" customFormat="1">
      <c r="A64" s="66" t="s">
        <v>173</v>
      </c>
      <c r="B64" s="15" t="s">
        <v>63</v>
      </c>
      <c r="C64" s="66" t="s">
        <v>64</v>
      </c>
      <c r="D64" s="8" t="s">
        <v>28</v>
      </c>
      <c r="E64" s="33">
        <v>14347</v>
      </c>
      <c r="F64" s="53">
        <f>SUM(E64/100)</f>
        <v>143.47</v>
      </c>
      <c r="G64" s="52">
        <v>278.24</v>
      </c>
      <c r="H64" s="125">
        <f t="shared" si="19"/>
        <v>39.919092800000001</v>
      </c>
      <c r="I64" s="51">
        <v>0</v>
      </c>
      <c r="J64" s="51">
        <v>0</v>
      </c>
      <c r="K64" s="51">
        <v>0</v>
      </c>
      <c r="L64" s="51">
        <v>0</v>
      </c>
      <c r="M64" s="51">
        <f>F64*G64</f>
        <v>39919.092799999999</v>
      </c>
      <c r="N64" s="51">
        <v>0</v>
      </c>
      <c r="O64" s="51">
        <v>0</v>
      </c>
      <c r="P64" s="51">
        <v>0</v>
      </c>
      <c r="Q64" s="51">
        <v>0</v>
      </c>
      <c r="R64" s="51">
        <v>0</v>
      </c>
      <c r="S64" s="51">
        <v>0</v>
      </c>
      <c r="T64" s="51">
        <v>0</v>
      </c>
      <c r="U64" s="36">
        <f t="shared" si="16"/>
        <v>0</v>
      </c>
      <c r="V64" s="153"/>
      <c r="W64" s="153"/>
      <c r="X64" s="153"/>
      <c r="Y64" s="153"/>
      <c r="Z64" s="153"/>
    </row>
    <row r="65" spans="1:26" ht="12.75" customHeight="1">
      <c r="A65" s="64" t="s">
        <v>174</v>
      </c>
      <c r="B65" s="15" t="s">
        <v>65</v>
      </c>
      <c r="C65" s="64" t="s">
        <v>66</v>
      </c>
      <c r="D65" s="8"/>
      <c r="E65" s="33">
        <v>14347</v>
      </c>
      <c r="F65" s="52">
        <f>SUM(E65/1000)</f>
        <v>14.347</v>
      </c>
      <c r="G65" s="52">
        <v>216.68</v>
      </c>
      <c r="H65" s="125">
        <f t="shared" si="19"/>
        <v>3.1087079600000003</v>
      </c>
      <c r="I65" s="36">
        <v>0</v>
      </c>
      <c r="J65" s="36">
        <v>0</v>
      </c>
      <c r="K65" s="36">
        <v>0</v>
      </c>
      <c r="L65" s="36">
        <v>0</v>
      </c>
      <c r="M65" s="36">
        <f>F65*G65</f>
        <v>3108.7079600000002</v>
      </c>
      <c r="N65" s="36">
        <v>0</v>
      </c>
      <c r="O65" s="36">
        <v>0</v>
      </c>
      <c r="P65" s="36">
        <v>0</v>
      </c>
      <c r="Q65" s="36">
        <v>0</v>
      </c>
      <c r="R65" s="36">
        <v>0</v>
      </c>
      <c r="S65" s="36">
        <v>0</v>
      </c>
      <c r="T65" s="36">
        <v>0</v>
      </c>
      <c r="U65" s="36">
        <f t="shared" si="16"/>
        <v>0</v>
      </c>
    </row>
    <row r="66" spans="1:26">
      <c r="A66" s="64" t="s">
        <v>175</v>
      </c>
      <c r="B66" s="15" t="s">
        <v>67</v>
      </c>
      <c r="C66" s="64" t="s">
        <v>68</v>
      </c>
      <c r="D66" s="8" t="s">
        <v>28</v>
      </c>
      <c r="E66" s="33">
        <v>2244</v>
      </c>
      <c r="F66" s="52">
        <f>SUM(E66/100)</f>
        <v>22.44</v>
      </c>
      <c r="G66" s="52">
        <v>2720.94</v>
      </c>
      <c r="H66" s="125">
        <f t="shared" si="19"/>
        <v>61.0578936</v>
      </c>
      <c r="I66" s="36">
        <v>0</v>
      </c>
      <c r="J66" s="36">
        <v>0</v>
      </c>
      <c r="K66" s="36">
        <v>0</v>
      </c>
      <c r="L66" s="36">
        <v>0</v>
      </c>
      <c r="M66" s="36">
        <f>F66*G66</f>
        <v>61057.893600000003</v>
      </c>
      <c r="N66" s="36">
        <v>0</v>
      </c>
      <c r="O66" s="36">
        <v>0</v>
      </c>
      <c r="P66" s="36">
        <v>0</v>
      </c>
      <c r="Q66" s="36">
        <v>0</v>
      </c>
      <c r="R66" s="36">
        <v>0</v>
      </c>
      <c r="S66" s="36">
        <v>0</v>
      </c>
      <c r="T66" s="36">
        <v>0</v>
      </c>
      <c r="U66" s="36">
        <f t="shared" si="16"/>
        <v>0</v>
      </c>
    </row>
    <row r="67" spans="1:26">
      <c r="A67" s="64"/>
      <c r="B67" s="16" t="s">
        <v>89</v>
      </c>
      <c r="C67" s="64" t="s">
        <v>32</v>
      </c>
      <c r="D67" s="8"/>
      <c r="E67" s="33">
        <v>12.8</v>
      </c>
      <c r="F67" s="52">
        <f>SUM(E67)</f>
        <v>12.8</v>
      </c>
      <c r="G67" s="52">
        <v>42.61</v>
      </c>
      <c r="H67" s="125">
        <f t="shared" si="19"/>
        <v>0.545408</v>
      </c>
      <c r="I67" s="36">
        <v>0</v>
      </c>
      <c r="J67" s="36">
        <v>0</v>
      </c>
      <c r="K67" s="36">
        <v>0</v>
      </c>
      <c r="L67" s="36">
        <v>0</v>
      </c>
      <c r="M67" s="36">
        <f>F67*G67</f>
        <v>545.40800000000002</v>
      </c>
      <c r="N67" s="36">
        <v>0</v>
      </c>
      <c r="O67" s="36">
        <v>0</v>
      </c>
      <c r="P67" s="36">
        <v>0</v>
      </c>
      <c r="Q67" s="36">
        <v>0</v>
      </c>
      <c r="R67" s="36">
        <v>0</v>
      </c>
      <c r="S67" s="36">
        <v>0</v>
      </c>
      <c r="T67" s="36">
        <v>0</v>
      </c>
      <c r="U67" s="36">
        <f t="shared" si="16"/>
        <v>0</v>
      </c>
    </row>
    <row r="68" spans="1:26" ht="12.75" customHeight="1">
      <c r="A68" s="137"/>
      <c r="B68" s="16" t="s">
        <v>90</v>
      </c>
      <c r="C68" s="64" t="s">
        <v>32</v>
      </c>
      <c r="D68" s="8"/>
      <c r="E68" s="33">
        <v>12.8</v>
      </c>
      <c r="F68" s="52">
        <f>SUM(E68)</f>
        <v>12.8</v>
      </c>
      <c r="G68" s="52">
        <v>46.04</v>
      </c>
      <c r="H68" s="125">
        <f t="shared" si="19"/>
        <v>0.58931200000000006</v>
      </c>
      <c r="I68" s="36">
        <v>0</v>
      </c>
      <c r="J68" s="36">
        <v>0</v>
      </c>
      <c r="K68" s="36">
        <v>0</v>
      </c>
      <c r="L68" s="36">
        <v>0</v>
      </c>
      <c r="M68" s="36">
        <f>F68*G68</f>
        <v>589.31200000000001</v>
      </c>
      <c r="N68" s="36">
        <v>0</v>
      </c>
      <c r="O68" s="36">
        <v>0</v>
      </c>
      <c r="P68" s="36">
        <v>0</v>
      </c>
      <c r="Q68" s="36">
        <v>0</v>
      </c>
      <c r="R68" s="36">
        <v>0</v>
      </c>
      <c r="S68" s="36">
        <v>0</v>
      </c>
      <c r="T68" s="36">
        <v>0</v>
      </c>
      <c r="U68" s="36">
        <f t="shared" si="16"/>
        <v>0</v>
      </c>
    </row>
    <row r="69" spans="1:26">
      <c r="A69" s="64" t="s">
        <v>176</v>
      </c>
      <c r="B69" s="8" t="s">
        <v>69</v>
      </c>
      <c r="C69" s="64" t="s">
        <v>70</v>
      </c>
      <c r="D69" s="8" t="s">
        <v>28</v>
      </c>
      <c r="E69" s="65">
        <v>6</v>
      </c>
      <c r="F69" s="52">
        <f>SUM(E69)</f>
        <v>6</v>
      </c>
      <c r="G69" s="52">
        <v>65.42</v>
      </c>
      <c r="H69" s="125">
        <f t="shared" si="19"/>
        <v>0.39251999999999998</v>
      </c>
      <c r="I69" s="36">
        <v>0</v>
      </c>
      <c r="J69" s="36">
        <v>0</v>
      </c>
      <c r="K69" s="36">
        <v>0</v>
      </c>
      <c r="L69" s="36">
        <v>0</v>
      </c>
      <c r="M69" s="36">
        <v>0</v>
      </c>
      <c r="N69" s="36">
        <v>0</v>
      </c>
      <c r="O69" s="36">
        <v>0</v>
      </c>
      <c r="P69" s="36">
        <v>0</v>
      </c>
      <c r="Q69" s="36">
        <f>F69*G69</f>
        <v>392.52</v>
      </c>
      <c r="R69" s="36">
        <v>0</v>
      </c>
      <c r="S69" s="36">
        <v>0</v>
      </c>
      <c r="T69" s="36">
        <v>0</v>
      </c>
      <c r="U69" s="36">
        <f t="shared" si="16"/>
        <v>0</v>
      </c>
    </row>
    <row r="70" spans="1:26">
      <c r="A70" s="64"/>
      <c r="B70" s="17" t="s">
        <v>211</v>
      </c>
      <c r="C70" s="64"/>
      <c r="D70" s="8"/>
      <c r="E70" s="65"/>
      <c r="F70" s="63"/>
      <c r="G70" s="52"/>
      <c r="H70" s="125"/>
      <c r="I70" s="36"/>
      <c r="J70" s="36"/>
      <c r="K70" s="36"/>
      <c r="L70" s="36"/>
      <c r="M70" s="36"/>
      <c r="N70" s="36"/>
      <c r="O70" s="36"/>
      <c r="P70" s="36"/>
      <c r="Q70" s="36"/>
      <c r="R70" s="36"/>
      <c r="S70" s="36"/>
      <c r="T70" s="36"/>
      <c r="U70" s="36"/>
    </row>
    <row r="71" spans="1:26" ht="25.5">
      <c r="A71" s="64"/>
      <c r="B71" s="8" t="s">
        <v>209</v>
      </c>
      <c r="C71" s="152" t="s">
        <v>210</v>
      </c>
      <c r="D71" s="8" t="s">
        <v>33</v>
      </c>
      <c r="E71" s="65">
        <v>3181</v>
      </c>
      <c r="F71" s="34">
        <f>SUM(E71)*12</f>
        <v>38172</v>
      </c>
      <c r="G71" s="52">
        <v>2.2799999999999998</v>
      </c>
      <c r="H71" s="125">
        <f t="shared" ref="H71" si="20">SUM(F71*G71/1000)</f>
        <v>87.03215999999999</v>
      </c>
      <c r="I71" s="36"/>
      <c r="J71" s="36"/>
      <c r="K71" s="36">
        <f>F71/12*G71</f>
        <v>7252.6799999999994</v>
      </c>
      <c r="L71" s="36">
        <f>F71/12*G71</f>
        <v>7252.6799999999994</v>
      </c>
      <c r="M71" s="36">
        <f>F71/12*G71</f>
        <v>7252.6799999999994</v>
      </c>
      <c r="N71" s="36">
        <f>F71/12*G71</f>
        <v>7252.6799999999994</v>
      </c>
      <c r="O71" s="36">
        <f>F71/12*G71</f>
        <v>7252.6799999999994</v>
      </c>
      <c r="P71" s="36">
        <f>F71/12*G71</f>
        <v>7252.6799999999994</v>
      </c>
      <c r="Q71" s="36">
        <f>F71/12*G71</f>
        <v>7252.6799999999994</v>
      </c>
      <c r="R71" s="36">
        <f>F71/12*G71</f>
        <v>7252.6799999999994</v>
      </c>
      <c r="S71" s="36">
        <f>F71/12*G71</f>
        <v>7252.6799999999994</v>
      </c>
      <c r="T71" s="36">
        <f>F71/12*G71</f>
        <v>7252.6799999999994</v>
      </c>
      <c r="U71" s="36">
        <f t="shared" ref="U71:U76" si="21">SUM(M71:T71)</f>
        <v>58021.439999999995</v>
      </c>
    </row>
    <row r="72" spans="1:26">
      <c r="A72" s="137"/>
      <c r="B72" s="17" t="s">
        <v>71</v>
      </c>
      <c r="C72" s="64"/>
      <c r="D72" s="8"/>
      <c r="E72" s="65"/>
      <c r="F72" s="52"/>
      <c r="G72" s="52"/>
      <c r="H72" s="125" t="s">
        <v>37</v>
      </c>
      <c r="I72" s="36"/>
      <c r="J72" s="36"/>
      <c r="K72" s="36"/>
      <c r="L72" s="36"/>
      <c r="M72" s="36"/>
      <c r="N72" s="36"/>
      <c r="O72" s="36"/>
      <c r="P72" s="36"/>
      <c r="Q72" s="36"/>
      <c r="R72" s="36"/>
      <c r="S72" s="36"/>
      <c r="T72" s="36"/>
      <c r="U72" s="36"/>
    </row>
    <row r="73" spans="1:26">
      <c r="A73" s="152" t="s">
        <v>212</v>
      </c>
      <c r="B73" s="8" t="s">
        <v>213</v>
      </c>
      <c r="C73" s="64" t="s">
        <v>29</v>
      </c>
      <c r="D73" s="8" t="s">
        <v>33</v>
      </c>
      <c r="E73" s="65">
        <v>1</v>
      </c>
      <c r="F73" s="34">
        <f t="shared" ref="F73" si="22">E73</f>
        <v>1</v>
      </c>
      <c r="G73" s="52">
        <v>1029.1199999999999</v>
      </c>
      <c r="H73" s="125">
        <f>G73*F73/1000</f>
        <v>1.0291199999999998</v>
      </c>
      <c r="I73" s="36">
        <v>0</v>
      </c>
      <c r="J73" s="36">
        <v>0</v>
      </c>
      <c r="K73" s="36">
        <v>0</v>
      </c>
      <c r="L73" s="36">
        <v>0</v>
      </c>
      <c r="M73" s="36">
        <v>0</v>
      </c>
      <c r="N73" s="36">
        <v>0</v>
      </c>
      <c r="O73" s="36">
        <v>0</v>
      </c>
      <c r="P73" s="36">
        <v>0</v>
      </c>
      <c r="Q73" s="36">
        <v>0</v>
      </c>
      <c r="R73" s="36">
        <v>0</v>
      </c>
      <c r="S73" s="36">
        <v>0</v>
      </c>
      <c r="T73" s="36">
        <v>0</v>
      </c>
      <c r="U73" s="36">
        <f t="shared" si="21"/>
        <v>0</v>
      </c>
    </row>
    <row r="74" spans="1:26">
      <c r="A74" s="64" t="s">
        <v>138</v>
      </c>
      <c r="B74" s="8" t="s">
        <v>214</v>
      </c>
      <c r="C74" s="64" t="s">
        <v>215</v>
      </c>
      <c r="D74" s="8" t="s">
        <v>33</v>
      </c>
      <c r="E74" s="65">
        <v>1</v>
      </c>
      <c r="F74" s="52">
        <v>1</v>
      </c>
      <c r="G74" s="52">
        <v>735</v>
      </c>
      <c r="H74" s="125">
        <f t="shared" ref="H74:H76" si="23">SUM(F74*G74/1000)</f>
        <v>0.73499999999999999</v>
      </c>
      <c r="I74" s="36">
        <v>0</v>
      </c>
      <c r="J74" s="36">
        <v>0</v>
      </c>
      <c r="K74" s="36">
        <v>0</v>
      </c>
      <c r="L74" s="36">
        <v>0</v>
      </c>
      <c r="M74" s="36">
        <v>0</v>
      </c>
      <c r="N74" s="36">
        <v>0</v>
      </c>
      <c r="O74" s="36">
        <v>0</v>
      </c>
      <c r="P74" s="36">
        <v>0</v>
      </c>
      <c r="Q74" s="36">
        <v>0</v>
      </c>
      <c r="R74" s="36">
        <v>0</v>
      </c>
      <c r="S74" s="36">
        <v>0</v>
      </c>
      <c r="T74" s="36">
        <v>0</v>
      </c>
      <c r="U74" s="36">
        <f t="shared" si="21"/>
        <v>0</v>
      </c>
    </row>
    <row r="75" spans="1:26">
      <c r="A75" s="64" t="s">
        <v>177</v>
      </c>
      <c r="B75" s="8" t="s">
        <v>72</v>
      </c>
      <c r="C75" s="64" t="s">
        <v>73</v>
      </c>
      <c r="D75" s="8" t="s">
        <v>33</v>
      </c>
      <c r="E75" s="65">
        <v>8</v>
      </c>
      <c r="F75" s="52">
        <f>E75/10</f>
        <v>0.8</v>
      </c>
      <c r="G75" s="52">
        <v>657.87</v>
      </c>
      <c r="H75" s="125">
        <f t="shared" si="23"/>
        <v>0.5262960000000001</v>
      </c>
      <c r="I75" s="36">
        <v>0</v>
      </c>
      <c r="J75" s="36">
        <v>0</v>
      </c>
      <c r="K75" s="36">
        <v>0</v>
      </c>
      <c r="L75" s="36">
        <v>0</v>
      </c>
      <c r="M75" s="36">
        <v>0</v>
      </c>
      <c r="N75" s="36">
        <v>0</v>
      </c>
      <c r="O75" s="36">
        <v>0</v>
      </c>
      <c r="P75" s="36">
        <v>0</v>
      </c>
      <c r="Q75" s="36">
        <v>0</v>
      </c>
      <c r="R75" s="36">
        <v>0</v>
      </c>
      <c r="S75" s="36">
        <v>0</v>
      </c>
      <c r="T75" s="36">
        <v>0</v>
      </c>
      <c r="U75" s="36">
        <f t="shared" si="21"/>
        <v>0</v>
      </c>
    </row>
    <row r="76" spans="1:26">
      <c r="A76" s="64" t="s">
        <v>178</v>
      </c>
      <c r="B76" s="8" t="s">
        <v>91</v>
      </c>
      <c r="C76" s="64" t="s">
        <v>29</v>
      </c>
      <c r="D76" s="8" t="s">
        <v>33</v>
      </c>
      <c r="E76" s="65">
        <v>1</v>
      </c>
      <c r="F76" s="63">
        <v>1</v>
      </c>
      <c r="G76" s="52">
        <v>1118.72</v>
      </c>
      <c r="H76" s="125">
        <f t="shared" si="23"/>
        <v>1.1187199999999999</v>
      </c>
      <c r="I76" s="36">
        <v>0</v>
      </c>
      <c r="J76" s="36">
        <v>0</v>
      </c>
      <c r="K76" s="36">
        <v>0</v>
      </c>
      <c r="L76" s="36">
        <v>0</v>
      </c>
      <c r="M76" s="36">
        <v>0</v>
      </c>
      <c r="N76" s="36">
        <v>0</v>
      </c>
      <c r="O76" s="36">
        <v>0</v>
      </c>
      <c r="P76" s="36">
        <v>0</v>
      </c>
      <c r="Q76" s="36">
        <v>0</v>
      </c>
      <c r="R76" s="36">
        <v>0</v>
      </c>
      <c r="S76" s="36">
        <v>0</v>
      </c>
      <c r="T76" s="36">
        <v>0</v>
      </c>
      <c r="U76" s="36">
        <f t="shared" si="21"/>
        <v>0</v>
      </c>
    </row>
    <row r="77" spans="1:26">
      <c r="A77" s="137"/>
      <c r="B77" s="68" t="s">
        <v>74</v>
      </c>
      <c r="C77" s="64"/>
      <c r="D77" s="8"/>
      <c r="E77" s="65"/>
      <c r="F77" s="52"/>
      <c r="G77" s="52" t="s">
        <v>37</v>
      </c>
      <c r="H77" s="125" t="s">
        <v>37</v>
      </c>
      <c r="I77" s="36"/>
      <c r="J77" s="36"/>
      <c r="K77" s="36"/>
      <c r="L77" s="36"/>
      <c r="M77" s="36"/>
      <c r="N77" s="36"/>
      <c r="O77" s="36"/>
      <c r="P77" s="36"/>
      <c r="Q77" s="36"/>
      <c r="R77" s="36"/>
      <c r="S77" s="36"/>
      <c r="T77" s="36"/>
      <c r="U77" s="36"/>
    </row>
    <row r="78" spans="1:26" s="1" customFormat="1">
      <c r="A78" s="66" t="s">
        <v>75</v>
      </c>
      <c r="B78" s="69" t="s">
        <v>216</v>
      </c>
      <c r="C78" s="66" t="s">
        <v>68</v>
      </c>
      <c r="D78" s="15"/>
      <c r="E78" s="70"/>
      <c r="F78" s="53">
        <v>0.6</v>
      </c>
      <c r="G78" s="53">
        <v>3619.09</v>
      </c>
      <c r="H78" s="125">
        <f t="shared" si="19"/>
        <v>2.1714540000000002</v>
      </c>
      <c r="I78" s="51">
        <v>0</v>
      </c>
      <c r="J78" s="51">
        <v>0</v>
      </c>
      <c r="K78" s="51">
        <v>0</v>
      </c>
      <c r="L78" s="51">
        <v>0</v>
      </c>
      <c r="M78" s="51">
        <v>0</v>
      </c>
      <c r="N78" s="51">
        <v>0</v>
      </c>
      <c r="O78" s="51">
        <v>0</v>
      </c>
      <c r="P78" s="51">
        <v>0</v>
      </c>
      <c r="Q78" s="51">
        <v>0</v>
      </c>
      <c r="R78" s="51">
        <v>0</v>
      </c>
      <c r="S78" s="51">
        <v>0</v>
      </c>
      <c r="T78" s="51">
        <v>0</v>
      </c>
      <c r="U78" s="36">
        <f t="shared" si="16"/>
        <v>0</v>
      </c>
      <c r="V78" s="153"/>
      <c r="W78" s="153"/>
      <c r="X78" s="153"/>
      <c r="Y78" s="153"/>
      <c r="Z78" s="153"/>
    </row>
    <row r="79" spans="1:26" s="20" customFormat="1">
      <c r="A79" s="138"/>
      <c r="B79" s="19" t="s">
        <v>24</v>
      </c>
      <c r="C79" s="71"/>
      <c r="D79" s="72"/>
      <c r="E79" s="73"/>
      <c r="F79" s="57"/>
      <c r="G79" s="57"/>
      <c r="H79" s="74">
        <f>SUM(H53:H78)</f>
        <v>242.86895587200002</v>
      </c>
      <c r="I79" s="57"/>
      <c r="J79" s="57"/>
      <c r="K79" s="57"/>
      <c r="L79" s="57"/>
      <c r="M79" s="57"/>
      <c r="N79" s="57"/>
      <c r="O79" s="57"/>
      <c r="P79" s="57"/>
      <c r="Q79" s="57"/>
      <c r="R79" s="57"/>
      <c r="S79" s="57"/>
      <c r="T79" s="57"/>
      <c r="U79" s="57">
        <f>SUM(U53:U78)</f>
        <v>65888.142059999998</v>
      </c>
      <c r="V79" s="153"/>
      <c r="W79" s="153"/>
      <c r="X79" s="153"/>
      <c r="Y79" s="153"/>
      <c r="Z79" s="153"/>
    </row>
    <row r="80" spans="1:26">
      <c r="A80" s="139" t="s">
        <v>122</v>
      </c>
      <c r="B80" s="10" t="s">
        <v>123</v>
      </c>
      <c r="C80" s="76"/>
      <c r="D80" s="77"/>
      <c r="E80" s="124"/>
      <c r="F80" s="78">
        <v>1</v>
      </c>
      <c r="G80" s="79">
        <v>30235</v>
      </c>
      <c r="H80" s="125">
        <f>G80*F80/1000</f>
        <v>30.234999999999999</v>
      </c>
      <c r="I80" s="36">
        <v>0</v>
      </c>
      <c r="J80" s="36">
        <v>0</v>
      </c>
      <c r="K80" s="36">
        <f>G80</f>
        <v>30235</v>
      </c>
      <c r="L80" s="36">
        <v>0</v>
      </c>
      <c r="M80" s="37">
        <v>0</v>
      </c>
      <c r="N80" s="36">
        <v>0</v>
      </c>
      <c r="O80" s="36">
        <v>0</v>
      </c>
      <c r="P80" s="36">
        <v>0</v>
      </c>
      <c r="Q80" s="36">
        <v>0</v>
      </c>
      <c r="R80" s="36">
        <v>0</v>
      </c>
      <c r="S80" s="36">
        <v>0</v>
      </c>
      <c r="T80" s="36">
        <v>0</v>
      </c>
      <c r="U80" s="36">
        <f t="shared" si="16"/>
        <v>0</v>
      </c>
    </row>
    <row r="81" spans="1:28" ht="12.75" customHeight="1">
      <c r="A81" s="64"/>
      <c r="B81" s="75" t="s">
        <v>76</v>
      </c>
      <c r="C81" s="64" t="s">
        <v>77</v>
      </c>
      <c r="D81" s="80"/>
      <c r="E81" s="52">
        <v>3931</v>
      </c>
      <c r="F81" s="52">
        <f>SUM(E81*12)</f>
        <v>47172</v>
      </c>
      <c r="G81" s="81">
        <v>3.1</v>
      </c>
      <c r="H81" s="125">
        <f>SUM(F81*G81/1000)</f>
        <v>146.23320000000001</v>
      </c>
      <c r="I81" s="36">
        <f>F81/12*G81</f>
        <v>12186.1</v>
      </c>
      <c r="J81" s="36">
        <f>F81/12*G81</f>
        <v>12186.1</v>
      </c>
      <c r="K81" s="36">
        <f>F81/12*G81</f>
        <v>12186.1</v>
      </c>
      <c r="L81" s="36">
        <f>F81/12*G81</f>
        <v>12186.1</v>
      </c>
      <c r="M81" s="36">
        <f>F81/12*G81</f>
        <v>12186.1</v>
      </c>
      <c r="N81" s="36">
        <f>F81/12*G81</f>
        <v>12186.1</v>
      </c>
      <c r="O81" s="36">
        <f>F81/12*G81</f>
        <v>12186.1</v>
      </c>
      <c r="P81" s="36">
        <f>F81/12*G81</f>
        <v>12186.1</v>
      </c>
      <c r="Q81" s="36">
        <f>F81/12*G81</f>
        <v>12186.1</v>
      </c>
      <c r="R81" s="36">
        <f>F81/12*G81</f>
        <v>12186.1</v>
      </c>
      <c r="S81" s="36">
        <f>F81/12*G81</f>
        <v>12186.1</v>
      </c>
      <c r="T81" s="36">
        <f>F81/12*G81</f>
        <v>12186.1</v>
      </c>
      <c r="U81" s="36">
        <f t="shared" si="16"/>
        <v>36558.300000000003</v>
      </c>
    </row>
    <row r="82" spans="1:28" s="18" customFormat="1">
      <c r="A82" s="82"/>
      <c r="B82" s="19" t="s">
        <v>24</v>
      </c>
      <c r="C82" s="83"/>
      <c r="D82" s="84"/>
      <c r="E82" s="85"/>
      <c r="F82" s="43"/>
      <c r="G82" s="86"/>
      <c r="H82" s="44">
        <f>SUM(H80:H81)</f>
        <v>176.46820000000002</v>
      </c>
      <c r="I82" s="43"/>
      <c r="J82" s="43"/>
      <c r="K82" s="43"/>
      <c r="L82" s="43"/>
      <c r="M82" s="43"/>
      <c r="N82" s="43"/>
      <c r="O82" s="43"/>
      <c r="P82" s="43"/>
      <c r="Q82" s="43"/>
      <c r="R82" s="43"/>
      <c r="S82" s="43"/>
      <c r="T82" s="43"/>
      <c r="U82" s="43">
        <f>SUM(U80:U81)</f>
        <v>36558.300000000003</v>
      </c>
      <c r="V82" s="153"/>
      <c r="W82" s="153"/>
      <c r="X82" s="153"/>
      <c r="Y82" s="153"/>
      <c r="Z82" s="153"/>
    </row>
    <row r="83" spans="1:28" ht="25.5" customHeight="1">
      <c r="A83" s="137"/>
      <c r="B83" s="8" t="s">
        <v>78</v>
      </c>
      <c r="C83" s="64"/>
      <c r="D83" s="87"/>
      <c r="E83" s="33">
        <f>E81</f>
        <v>3931</v>
      </c>
      <c r="F83" s="52">
        <f>E83*12</f>
        <v>47172</v>
      </c>
      <c r="G83" s="52">
        <v>3.5</v>
      </c>
      <c r="H83" s="125">
        <f>F83*G83/1000</f>
        <v>165.102</v>
      </c>
      <c r="I83" s="36">
        <f>F83/12*G83</f>
        <v>13758.5</v>
      </c>
      <c r="J83" s="36">
        <f>F83/12*G83</f>
        <v>13758.5</v>
      </c>
      <c r="K83" s="36">
        <f>F83/12*G83</f>
        <v>13758.5</v>
      </c>
      <c r="L83" s="36">
        <f>F83/12*G83</f>
        <v>13758.5</v>
      </c>
      <c r="M83" s="36">
        <f>F83/12*G83</f>
        <v>13758.5</v>
      </c>
      <c r="N83" s="36">
        <f>F83/12*G83</f>
        <v>13758.5</v>
      </c>
      <c r="O83" s="36">
        <f>F83/12*G83</f>
        <v>13758.5</v>
      </c>
      <c r="P83" s="36">
        <f>F83/12*G83</f>
        <v>13758.5</v>
      </c>
      <c r="Q83" s="36">
        <f>F83/12*G83</f>
        <v>13758.5</v>
      </c>
      <c r="R83" s="36">
        <f>F83/12*G83</f>
        <v>13758.5</v>
      </c>
      <c r="S83" s="36">
        <f>F83/12*G83</f>
        <v>13758.5</v>
      </c>
      <c r="T83" s="36">
        <f>F83/12*G83</f>
        <v>13758.5</v>
      </c>
      <c r="U83" s="36">
        <f t="shared" si="16"/>
        <v>41275.5</v>
      </c>
    </row>
    <row r="84" spans="1:28" s="18" customFormat="1">
      <c r="A84" s="82"/>
      <c r="B84" s="88" t="s">
        <v>79</v>
      </c>
      <c r="C84" s="89"/>
      <c r="D84" s="88"/>
      <c r="E84" s="43"/>
      <c r="F84" s="43"/>
      <c r="G84" s="43"/>
      <c r="H84" s="74">
        <f>H83</f>
        <v>165.102</v>
      </c>
      <c r="I84" s="43"/>
      <c r="J84" s="43"/>
      <c r="K84" s="43"/>
      <c r="L84" s="43"/>
      <c r="M84" s="43"/>
      <c r="N84" s="43"/>
      <c r="O84" s="43"/>
      <c r="P84" s="43"/>
      <c r="Q84" s="43"/>
      <c r="R84" s="43"/>
      <c r="S84" s="43"/>
      <c r="T84" s="43"/>
      <c r="U84" s="120">
        <f>U83</f>
        <v>41275.5</v>
      </c>
      <c r="V84" s="153"/>
      <c r="W84" s="153"/>
      <c r="X84" s="153"/>
      <c r="Y84" s="153"/>
      <c r="Z84" s="153"/>
    </row>
    <row r="85" spans="1:28" s="18" customFormat="1">
      <c r="A85" s="82"/>
      <c r="B85" s="88" t="s">
        <v>80</v>
      </c>
      <c r="C85" s="90"/>
      <c r="D85" s="91"/>
      <c r="E85" s="92"/>
      <c r="F85" s="92"/>
      <c r="G85" s="92"/>
      <c r="H85" s="74">
        <f>SUM(H84+H82+H79+H51+H39+H31+H20)</f>
        <v>1182.8226972063667</v>
      </c>
      <c r="I85" s="92"/>
      <c r="J85" s="92"/>
      <c r="K85" s="92"/>
      <c r="L85" s="92"/>
      <c r="M85" s="92"/>
      <c r="N85" s="92"/>
      <c r="O85" s="92"/>
      <c r="P85" s="92"/>
      <c r="Q85" s="92"/>
      <c r="R85" s="92"/>
      <c r="S85" s="92"/>
      <c r="T85" s="92"/>
      <c r="U85" s="120">
        <f>SUM(U84+U82+U79+U51+U39+U31+U20)</f>
        <v>258724.45367444446</v>
      </c>
      <c r="V85" s="153"/>
      <c r="W85" s="153"/>
      <c r="X85" s="153"/>
      <c r="Y85" s="153"/>
      <c r="Z85" s="153"/>
    </row>
    <row r="86" spans="1:28">
      <c r="A86" s="140"/>
      <c r="B86" s="87" t="s">
        <v>81</v>
      </c>
      <c r="C86" s="64"/>
      <c r="D86" s="87"/>
      <c r="E86" s="52"/>
      <c r="F86" s="52"/>
      <c r="G86" s="52" t="s">
        <v>82</v>
      </c>
      <c r="H86" s="93">
        <f>E83</f>
        <v>3931</v>
      </c>
      <c r="I86" s="36"/>
      <c r="J86" s="36"/>
      <c r="K86" s="36"/>
      <c r="L86" s="36"/>
      <c r="M86" s="36"/>
      <c r="N86" s="36"/>
      <c r="O86" s="36"/>
      <c r="P86" s="36"/>
      <c r="Q86" s="36"/>
      <c r="R86" s="36"/>
      <c r="S86" s="36"/>
      <c r="T86" s="36"/>
      <c r="U86" s="36"/>
    </row>
    <row r="87" spans="1:28" s="18" customFormat="1">
      <c r="A87" s="82"/>
      <c r="B87" s="91" t="s">
        <v>83</v>
      </c>
      <c r="C87" s="90"/>
      <c r="D87" s="91"/>
      <c r="E87" s="92"/>
      <c r="F87" s="92"/>
      <c r="G87" s="92"/>
      <c r="H87" s="94">
        <f>SUM(H85/H86/12*1000)</f>
        <v>25.074677715728967</v>
      </c>
      <c r="I87" s="92"/>
      <c r="J87" s="92"/>
      <c r="K87" s="92"/>
      <c r="L87" s="92"/>
      <c r="M87" s="92"/>
      <c r="N87" s="92"/>
      <c r="O87" s="92"/>
      <c r="P87" s="92"/>
      <c r="Q87" s="92"/>
      <c r="R87" s="92"/>
      <c r="S87" s="92"/>
      <c r="T87" s="92"/>
      <c r="U87" s="121"/>
      <c r="V87" s="153"/>
      <c r="W87" s="153"/>
      <c r="X87" s="154"/>
      <c r="Y87" s="154"/>
      <c r="Z87" s="154"/>
      <c r="AA87" s="154"/>
      <c r="AB87" s="154"/>
    </row>
    <row r="88" spans="1:28">
      <c r="A88" s="95"/>
      <c r="B88" s="87"/>
      <c r="C88" s="64"/>
      <c r="D88" s="87"/>
      <c r="E88" s="52"/>
      <c r="F88" s="52"/>
      <c r="G88" s="52"/>
      <c r="H88" s="96"/>
      <c r="I88" s="36"/>
      <c r="J88" s="36"/>
      <c r="K88" s="36"/>
      <c r="L88" s="36"/>
      <c r="M88" s="36"/>
      <c r="N88" s="36"/>
      <c r="O88" s="36"/>
      <c r="P88" s="36"/>
      <c r="Q88" s="36"/>
      <c r="R88" s="36"/>
      <c r="S88" s="36"/>
      <c r="T88" s="36"/>
      <c r="U88" s="122"/>
    </row>
    <row r="89" spans="1:28">
      <c r="A89" s="137"/>
      <c r="B89" s="68" t="s">
        <v>84</v>
      </c>
      <c r="C89" s="64"/>
      <c r="D89" s="87"/>
      <c r="E89" s="52"/>
      <c r="F89" s="52"/>
      <c r="G89" s="52"/>
      <c r="H89" s="52"/>
      <c r="I89" s="36"/>
      <c r="J89" s="36"/>
      <c r="K89" s="36"/>
      <c r="L89" s="36"/>
      <c r="M89" s="36"/>
      <c r="N89" s="36"/>
      <c r="O89" s="36"/>
      <c r="P89" s="36"/>
      <c r="Q89" s="36"/>
      <c r="R89" s="36"/>
      <c r="S89" s="36"/>
      <c r="T89" s="36"/>
      <c r="U89" s="36"/>
    </row>
    <row r="90" spans="1:28" ht="38.25">
      <c r="A90" s="126" t="s">
        <v>187</v>
      </c>
      <c r="B90" s="127" t="s">
        <v>185</v>
      </c>
      <c r="C90" s="126" t="s">
        <v>186</v>
      </c>
      <c r="D90" s="87"/>
      <c r="E90" s="52"/>
      <c r="F90" s="52">
        <v>1</v>
      </c>
      <c r="G90" s="52">
        <v>54.17</v>
      </c>
      <c r="H90" s="125">
        <f>G90*F90/1000</f>
        <v>5.4170000000000003E-2</v>
      </c>
      <c r="I90" s="97">
        <v>0</v>
      </c>
      <c r="J90" s="97">
        <f>G90</f>
        <v>54.17</v>
      </c>
      <c r="K90" s="97">
        <v>0</v>
      </c>
      <c r="L90" s="97">
        <v>0</v>
      </c>
      <c r="M90" s="97">
        <v>0</v>
      </c>
      <c r="N90" s="97">
        <v>0</v>
      </c>
      <c r="O90" s="97">
        <v>0</v>
      </c>
      <c r="P90" s="97">
        <v>0</v>
      </c>
      <c r="Q90" s="97">
        <v>0</v>
      </c>
      <c r="R90" s="97">
        <f>G90</f>
        <v>54.17</v>
      </c>
      <c r="S90" s="97">
        <v>0</v>
      </c>
      <c r="T90" s="97">
        <v>0</v>
      </c>
      <c r="U90" s="36">
        <f>SUM(R90:T90)</f>
        <v>54.17</v>
      </c>
    </row>
    <row r="91" spans="1:28" ht="25.5">
      <c r="A91" s="126" t="s">
        <v>183</v>
      </c>
      <c r="B91" s="127" t="s">
        <v>139</v>
      </c>
      <c r="C91" s="128" t="s">
        <v>140</v>
      </c>
      <c r="D91" s="87"/>
      <c r="E91" s="52"/>
      <c r="F91" s="52">
        <v>1</v>
      </c>
      <c r="G91" s="52">
        <v>294.45</v>
      </c>
      <c r="H91" s="125">
        <f>G91*F91/1000</f>
        <v>0.29444999999999999</v>
      </c>
      <c r="I91" s="97">
        <v>0</v>
      </c>
      <c r="J91" s="97">
        <f>G91</f>
        <v>294.45</v>
      </c>
      <c r="K91" s="97">
        <v>0</v>
      </c>
      <c r="L91" s="97">
        <v>0</v>
      </c>
      <c r="M91" s="97">
        <v>0</v>
      </c>
      <c r="N91" s="97">
        <f>G91*(1+1)</f>
        <v>588.9</v>
      </c>
      <c r="O91" s="97">
        <f>G91</f>
        <v>294.45</v>
      </c>
      <c r="P91" s="97">
        <v>0</v>
      </c>
      <c r="Q91" s="97">
        <v>0</v>
      </c>
      <c r="R91" s="97">
        <f>G91</f>
        <v>294.45</v>
      </c>
      <c r="S91" s="97">
        <v>0</v>
      </c>
      <c r="T91" s="97">
        <v>0</v>
      </c>
      <c r="U91" s="36">
        <f>SUM(R91:T91)</f>
        <v>294.45</v>
      </c>
    </row>
    <row r="92" spans="1:28" ht="25.5">
      <c r="A92" s="126" t="s">
        <v>166</v>
      </c>
      <c r="B92" s="127" t="s">
        <v>126</v>
      </c>
      <c r="C92" s="126" t="s">
        <v>50</v>
      </c>
      <c r="D92" s="8"/>
      <c r="E92" s="65"/>
      <c r="F92" s="52">
        <v>0.02</v>
      </c>
      <c r="G92" s="52">
        <v>3581.13</v>
      </c>
      <c r="H92" s="125">
        <f t="shared" ref="H92" si="24">G92*F92/1000</f>
        <v>7.1622600000000008E-2</v>
      </c>
      <c r="I92" s="97">
        <f>G92*0.01</f>
        <v>35.811300000000003</v>
      </c>
      <c r="J92" s="97">
        <v>0</v>
      </c>
      <c r="K92" s="97">
        <v>0</v>
      </c>
      <c r="L92" s="97">
        <v>0</v>
      </c>
      <c r="M92" s="97">
        <v>0</v>
      </c>
      <c r="N92" s="97">
        <v>0</v>
      </c>
      <c r="O92" s="97">
        <v>0</v>
      </c>
      <c r="P92" s="97">
        <v>0</v>
      </c>
      <c r="Q92" s="97">
        <f>G92*0.01</f>
        <v>35.811300000000003</v>
      </c>
      <c r="R92" s="97">
        <f>G92*0.01</f>
        <v>35.811300000000003</v>
      </c>
      <c r="S92" s="97">
        <v>0</v>
      </c>
      <c r="T92" s="97">
        <f>G92*0.01</f>
        <v>35.811300000000003</v>
      </c>
      <c r="U92" s="36">
        <f>SUM(R92:T92)</f>
        <v>71.622600000000006</v>
      </c>
    </row>
    <row r="93" spans="1:28" ht="25.5">
      <c r="A93" s="128" t="s">
        <v>181</v>
      </c>
      <c r="B93" s="127" t="s">
        <v>106</v>
      </c>
      <c r="C93" s="126" t="s">
        <v>53</v>
      </c>
      <c r="D93" s="8"/>
      <c r="E93" s="65"/>
      <c r="F93" s="52">
        <v>1</v>
      </c>
      <c r="G93" s="52">
        <v>83.36</v>
      </c>
      <c r="H93" s="125">
        <f>G93*F93/1000</f>
        <v>8.3360000000000004E-2</v>
      </c>
      <c r="I93" s="97">
        <f>G93</f>
        <v>83.36</v>
      </c>
      <c r="J93" s="97">
        <v>0</v>
      </c>
      <c r="K93" s="97">
        <f>G93</f>
        <v>83.36</v>
      </c>
      <c r="L93" s="97">
        <v>0</v>
      </c>
      <c r="M93" s="97">
        <v>0</v>
      </c>
      <c r="N93" s="97">
        <v>0</v>
      </c>
      <c r="O93" s="97">
        <v>0</v>
      </c>
      <c r="P93" s="97">
        <v>0</v>
      </c>
      <c r="Q93" s="97">
        <f>G93</f>
        <v>83.36</v>
      </c>
      <c r="R93" s="97">
        <f>G93</f>
        <v>83.36</v>
      </c>
      <c r="S93" s="97">
        <v>0</v>
      </c>
      <c r="T93" s="97">
        <v>0</v>
      </c>
      <c r="U93" s="36">
        <f t="shared" ref="U93" si="25">SUM(R93:T93)</f>
        <v>83.36</v>
      </c>
    </row>
    <row r="94" spans="1:28">
      <c r="A94" s="148" t="s">
        <v>179</v>
      </c>
      <c r="B94" s="149" t="s">
        <v>218</v>
      </c>
      <c r="C94" s="148" t="s">
        <v>53</v>
      </c>
      <c r="D94" s="8"/>
      <c r="E94" s="65"/>
      <c r="F94" s="52">
        <v>4</v>
      </c>
      <c r="G94" s="52">
        <v>470.21</v>
      </c>
      <c r="H94" s="125">
        <f>G94*F94/1000</f>
        <v>1.8808399999999998</v>
      </c>
      <c r="I94" s="97"/>
      <c r="J94" s="97"/>
      <c r="K94" s="97"/>
      <c r="L94" s="97"/>
      <c r="M94" s="97"/>
      <c r="N94" s="97"/>
      <c r="O94" s="97"/>
      <c r="P94" s="97"/>
      <c r="Q94" s="97"/>
      <c r="R94" s="97">
        <f>G94*3</f>
        <v>1410.6299999999999</v>
      </c>
      <c r="S94" s="97">
        <v>0</v>
      </c>
      <c r="T94" s="97">
        <f>G94</f>
        <v>470.21</v>
      </c>
      <c r="U94" s="36">
        <f t="shared" ref="U94" si="26">SUM(R94:T94)</f>
        <v>1880.84</v>
      </c>
    </row>
    <row r="95" spans="1:28" ht="25.5">
      <c r="A95" s="126" t="s">
        <v>180</v>
      </c>
      <c r="B95" s="127" t="s">
        <v>129</v>
      </c>
      <c r="C95" s="126" t="s">
        <v>53</v>
      </c>
      <c r="D95" s="8"/>
      <c r="E95" s="65"/>
      <c r="F95" s="52">
        <v>7</v>
      </c>
      <c r="G95" s="52">
        <v>189.88</v>
      </c>
      <c r="H95" s="125">
        <f>G95*F95/1000</f>
        <v>1.3291599999999999</v>
      </c>
      <c r="I95" s="97">
        <v>0</v>
      </c>
      <c r="J95" s="97">
        <v>0</v>
      </c>
      <c r="K95" s="97">
        <v>0</v>
      </c>
      <c r="L95" s="97">
        <v>0</v>
      </c>
      <c r="M95" s="97">
        <f>G95*2</f>
        <v>379.76</v>
      </c>
      <c r="N95" s="97">
        <v>0</v>
      </c>
      <c r="O95" s="97">
        <v>0</v>
      </c>
      <c r="P95" s="97">
        <f>G95</f>
        <v>189.88</v>
      </c>
      <c r="Q95" s="97">
        <v>0</v>
      </c>
      <c r="R95" s="97">
        <f>G95*2</f>
        <v>379.76</v>
      </c>
      <c r="S95" s="97">
        <f>G95*3</f>
        <v>569.64</v>
      </c>
      <c r="T95" s="97">
        <f>G95*2</f>
        <v>379.76</v>
      </c>
      <c r="U95" s="36">
        <f>SUM(R95:T95)</f>
        <v>1329.1599999999999</v>
      </c>
    </row>
    <row r="96" spans="1:28">
      <c r="A96" s="126" t="s">
        <v>122</v>
      </c>
      <c r="B96" s="127" t="s">
        <v>221</v>
      </c>
      <c r="C96" s="126" t="s">
        <v>59</v>
      </c>
      <c r="D96" s="8"/>
      <c r="E96" s="65"/>
      <c r="F96" s="52">
        <v>22.5</v>
      </c>
      <c r="G96" s="52">
        <v>48.581000000000003</v>
      </c>
      <c r="H96" s="125">
        <f>G96*F96/1000</f>
        <v>1.0930724999999999</v>
      </c>
      <c r="I96" s="97"/>
      <c r="J96" s="97"/>
      <c r="K96" s="97"/>
      <c r="L96" s="97"/>
      <c r="M96" s="97"/>
      <c r="N96" s="97"/>
      <c r="O96" s="97"/>
      <c r="P96" s="97"/>
      <c r="Q96" s="97"/>
      <c r="R96" s="97">
        <f>G96*22.5</f>
        <v>1093.0725</v>
      </c>
      <c r="S96" s="97">
        <v>0</v>
      </c>
      <c r="T96" s="97">
        <v>0</v>
      </c>
      <c r="U96" s="36">
        <f>SUM(R96:T96)</f>
        <v>1093.0725</v>
      </c>
    </row>
    <row r="97" spans="1:26" ht="25.5">
      <c r="A97" s="128" t="s">
        <v>182</v>
      </c>
      <c r="B97" s="127" t="s">
        <v>124</v>
      </c>
      <c r="C97" s="126" t="s">
        <v>125</v>
      </c>
      <c r="D97" s="8"/>
      <c r="E97" s="65"/>
      <c r="F97" s="52">
        <v>1</v>
      </c>
      <c r="G97" s="52">
        <v>589.84</v>
      </c>
      <c r="H97" s="125">
        <f>G97*F97/1000</f>
        <v>0.58984000000000003</v>
      </c>
      <c r="I97" s="97">
        <v>0</v>
      </c>
      <c r="J97" s="97">
        <v>0</v>
      </c>
      <c r="K97" s="97">
        <v>0</v>
      </c>
      <c r="L97" s="97">
        <v>0</v>
      </c>
      <c r="M97" s="97">
        <v>0</v>
      </c>
      <c r="N97" s="97">
        <v>0</v>
      </c>
      <c r="O97" s="97">
        <v>0</v>
      </c>
      <c r="P97" s="97">
        <f>G97</f>
        <v>589.84</v>
      </c>
      <c r="Q97" s="97">
        <f>G97</f>
        <v>589.84</v>
      </c>
      <c r="R97" s="97">
        <v>0</v>
      </c>
      <c r="S97" s="97">
        <f>G97</f>
        <v>589.84</v>
      </c>
      <c r="T97" s="97">
        <v>0</v>
      </c>
      <c r="U97" s="36">
        <f>SUM(R97:T97)</f>
        <v>589.84</v>
      </c>
    </row>
    <row r="98" spans="1:26" ht="25.5" customHeight="1">
      <c r="A98" s="150" t="s">
        <v>127</v>
      </c>
      <c r="B98" s="151" t="s">
        <v>217</v>
      </c>
      <c r="C98" s="152" t="s">
        <v>137</v>
      </c>
      <c r="D98" s="87"/>
      <c r="E98" s="52"/>
      <c r="F98" s="52">
        <v>1</v>
      </c>
      <c r="G98" s="52">
        <v>1934.94</v>
      </c>
      <c r="H98" s="125">
        <f t="shared" ref="H98" si="27">G98*F98/1000</f>
        <v>1.9349400000000001</v>
      </c>
      <c r="I98" s="36">
        <v>0</v>
      </c>
      <c r="J98" s="36">
        <v>0</v>
      </c>
      <c r="K98" s="36">
        <v>0</v>
      </c>
      <c r="L98" s="36">
        <v>0</v>
      </c>
      <c r="M98" s="36">
        <f>G98</f>
        <v>1934.94</v>
      </c>
      <c r="N98" s="97">
        <v>0</v>
      </c>
      <c r="O98" s="97">
        <v>0</v>
      </c>
      <c r="P98" s="97">
        <v>0</v>
      </c>
      <c r="Q98" s="97">
        <v>0</v>
      </c>
      <c r="R98" s="97">
        <v>0</v>
      </c>
      <c r="S98" s="97">
        <f>G98</f>
        <v>1934.94</v>
      </c>
      <c r="T98" s="97">
        <v>0</v>
      </c>
      <c r="U98" s="36">
        <f t="shared" ref="U98" si="28">SUM(R98:T98)</f>
        <v>1934.94</v>
      </c>
    </row>
    <row r="99" spans="1:26">
      <c r="A99" s="143" t="s">
        <v>189</v>
      </c>
      <c r="B99" s="144" t="s">
        <v>190</v>
      </c>
      <c r="C99" s="143" t="s">
        <v>128</v>
      </c>
      <c r="D99" s="145"/>
      <c r="E99" s="146"/>
      <c r="F99" s="142">
        <f>(15)/3</f>
        <v>5</v>
      </c>
      <c r="G99" s="142">
        <v>1120.8900000000001</v>
      </c>
      <c r="H99" s="147">
        <f>G99*F99/1000</f>
        <v>5.6044500000000008</v>
      </c>
      <c r="I99" s="97">
        <f>G99</f>
        <v>1120.8900000000001</v>
      </c>
      <c r="J99" s="97">
        <v>0</v>
      </c>
      <c r="K99" s="97">
        <f>G99*((15)/3)</f>
        <v>5604.4500000000007</v>
      </c>
      <c r="L99" s="97">
        <f>G99*((15)/3)</f>
        <v>5604.4500000000007</v>
      </c>
      <c r="M99" s="97">
        <f>G99*((3+15)/3)</f>
        <v>6725.34</v>
      </c>
      <c r="N99" s="97">
        <v>0</v>
      </c>
      <c r="O99" s="97">
        <v>0</v>
      </c>
      <c r="P99" s="97">
        <v>0</v>
      </c>
      <c r="Q99" s="97">
        <v>0</v>
      </c>
      <c r="R99" s="97">
        <v>0</v>
      </c>
      <c r="S99" s="97">
        <f>G99*(15/3)</f>
        <v>5604.4500000000007</v>
      </c>
      <c r="T99" s="97">
        <v>0</v>
      </c>
      <c r="U99" s="36">
        <f>SUM(R99:T99)</f>
        <v>5604.4500000000007</v>
      </c>
    </row>
    <row r="100" spans="1:26">
      <c r="A100" s="126" t="s">
        <v>219</v>
      </c>
      <c r="B100" s="149" t="s">
        <v>220</v>
      </c>
      <c r="C100" s="148" t="s">
        <v>125</v>
      </c>
      <c r="D100" s="8"/>
      <c r="E100" s="65"/>
      <c r="F100" s="52">
        <v>1</v>
      </c>
      <c r="G100" s="52">
        <v>86.15</v>
      </c>
      <c r="H100" s="125">
        <f t="shared" ref="H100" si="29">G100*F100/1000</f>
        <v>8.6150000000000004E-2</v>
      </c>
      <c r="I100" s="97">
        <v>0</v>
      </c>
      <c r="J100" s="97">
        <f>G100</f>
        <v>86.15</v>
      </c>
      <c r="K100" s="97">
        <v>0</v>
      </c>
      <c r="L100" s="97">
        <v>0</v>
      </c>
      <c r="M100" s="97">
        <v>0</v>
      </c>
      <c r="N100" s="97">
        <v>0</v>
      </c>
      <c r="O100" s="97">
        <v>0</v>
      </c>
      <c r="P100" s="97">
        <v>0</v>
      </c>
      <c r="Q100" s="97">
        <v>0</v>
      </c>
      <c r="R100" s="97">
        <v>0</v>
      </c>
      <c r="S100" s="97">
        <f>G100</f>
        <v>86.15</v>
      </c>
      <c r="T100" s="97">
        <v>0</v>
      </c>
      <c r="U100" s="36">
        <f t="shared" ref="U100" si="30">SUM(R100:T100)</f>
        <v>86.15</v>
      </c>
    </row>
    <row r="101" spans="1:26" ht="25.5">
      <c r="A101" s="126" t="s">
        <v>222</v>
      </c>
      <c r="B101" s="149" t="s">
        <v>224</v>
      </c>
      <c r="C101" s="148" t="s">
        <v>223</v>
      </c>
      <c r="D101" s="8"/>
      <c r="E101" s="65"/>
      <c r="F101" s="52">
        <v>1</v>
      </c>
      <c r="G101" s="52">
        <v>107624</v>
      </c>
      <c r="H101" s="125">
        <f t="shared" ref="H101" si="31">G101*F101/1000</f>
        <v>107.624</v>
      </c>
      <c r="I101" s="97">
        <v>1</v>
      </c>
      <c r="J101" s="97">
        <f>G101</f>
        <v>107624</v>
      </c>
      <c r="K101" s="97">
        <v>0</v>
      </c>
      <c r="L101" s="97">
        <v>0</v>
      </c>
      <c r="M101" s="97">
        <v>0</v>
      </c>
      <c r="N101" s="97">
        <v>0</v>
      </c>
      <c r="O101" s="97">
        <v>0</v>
      </c>
      <c r="P101" s="97">
        <v>0</v>
      </c>
      <c r="Q101" s="97">
        <v>0</v>
      </c>
      <c r="R101" s="97">
        <v>0</v>
      </c>
      <c r="S101" s="97">
        <f>G101</f>
        <v>107624</v>
      </c>
      <c r="T101" s="97">
        <v>0</v>
      </c>
      <c r="U101" s="36">
        <f t="shared" ref="U101:U102" si="32">SUM(R101:T101)</f>
        <v>107624</v>
      </c>
    </row>
    <row r="102" spans="1:26">
      <c r="A102" s="126" t="s">
        <v>127</v>
      </c>
      <c r="B102" s="127" t="s">
        <v>226</v>
      </c>
      <c r="C102" s="126" t="s">
        <v>32</v>
      </c>
      <c r="D102" s="8"/>
      <c r="E102" s="65"/>
      <c r="F102" s="52">
        <f>(29.46+37.22+74.06)-(9.504*6)</f>
        <v>83.716000000000008</v>
      </c>
      <c r="G102" s="52">
        <v>44.31</v>
      </c>
      <c r="H102" s="52">
        <f>G102*F102/1000</f>
        <v>3.7094559600000006</v>
      </c>
      <c r="I102" s="97">
        <v>0</v>
      </c>
      <c r="J102" s="97">
        <v>0</v>
      </c>
      <c r="K102" s="97">
        <v>0</v>
      </c>
      <c r="L102" s="97">
        <v>0</v>
      </c>
      <c r="M102" s="97">
        <v>0</v>
      </c>
      <c r="N102" s="97">
        <v>0</v>
      </c>
      <c r="O102" s="36">
        <v>0</v>
      </c>
      <c r="P102" s="36">
        <v>0</v>
      </c>
      <c r="Q102" s="36">
        <v>0</v>
      </c>
      <c r="R102" s="36">
        <v>0</v>
      </c>
      <c r="S102" s="36">
        <v>0</v>
      </c>
      <c r="T102" s="36">
        <f>G102*F102</f>
        <v>3709.4559600000007</v>
      </c>
      <c r="U102" s="36">
        <f t="shared" si="32"/>
        <v>3709.4559600000007</v>
      </c>
      <c r="V102"/>
      <c r="W102"/>
      <c r="X102"/>
      <c r="Y102"/>
      <c r="Z102"/>
    </row>
    <row r="103" spans="1:26" s="18" customFormat="1">
      <c r="A103" s="98"/>
      <c r="B103" s="99" t="s">
        <v>85</v>
      </c>
      <c r="C103" s="98"/>
      <c r="D103" s="98"/>
      <c r="E103" s="92"/>
      <c r="F103" s="92"/>
      <c r="G103" s="92"/>
      <c r="H103" s="44">
        <f>SUM(H89:H102)</f>
        <v>124.35551106</v>
      </c>
      <c r="I103" s="92"/>
      <c r="J103" s="92"/>
      <c r="K103" s="92"/>
      <c r="L103" s="92"/>
      <c r="M103" s="92"/>
      <c r="N103" s="92"/>
      <c r="O103" s="92"/>
      <c r="P103" s="92"/>
      <c r="Q103" s="92"/>
      <c r="R103" s="92"/>
      <c r="S103" s="92"/>
      <c r="T103" s="92"/>
      <c r="U103" s="43">
        <f>SUM(U89:U102)</f>
        <v>124355.51106</v>
      </c>
      <c r="V103" s="153"/>
      <c r="W103" s="153"/>
      <c r="X103" s="153"/>
      <c r="Y103" s="153"/>
      <c r="Z103" s="153"/>
    </row>
    <row r="104" spans="1:26">
      <c r="A104" s="95"/>
      <c r="B104" s="100"/>
      <c r="C104" s="101"/>
      <c r="D104" s="101"/>
      <c r="E104" s="52"/>
      <c r="F104" s="52"/>
      <c r="G104" s="52"/>
      <c r="H104" s="102"/>
      <c r="I104" s="36"/>
      <c r="J104" s="36"/>
      <c r="K104" s="36"/>
      <c r="L104" s="36"/>
      <c r="M104" s="36"/>
      <c r="N104" s="36"/>
      <c r="O104" s="36"/>
      <c r="P104" s="36"/>
      <c r="Q104" s="36"/>
      <c r="R104" s="36"/>
      <c r="S104" s="36"/>
      <c r="T104" s="36"/>
      <c r="U104" s="123"/>
    </row>
    <row r="105" spans="1:26" ht="12" customHeight="1">
      <c r="A105" s="137"/>
      <c r="B105" s="17" t="s">
        <v>86</v>
      </c>
      <c r="C105" s="64"/>
      <c r="D105" s="87"/>
      <c r="E105" s="52"/>
      <c r="F105" s="52"/>
      <c r="G105" s="52"/>
      <c r="H105" s="103">
        <f>H103/E106/12*1000</f>
        <v>2.6362145141185445</v>
      </c>
      <c r="I105" s="36"/>
      <c r="J105" s="36"/>
      <c r="K105" s="36"/>
      <c r="L105" s="36"/>
      <c r="M105" s="36"/>
      <c r="N105" s="36"/>
      <c r="O105" s="36"/>
      <c r="P105" s="36"/>
      <c r="Q105" s="36"/>
      <c r="R105" s="36"/>
      <c r="S105" s="36"/>
      <c r="T105" s="36"/>
      <c r="U105" s="123"/>
    </row>
    <row r="106" spans="1:26" s="18" customFormat="1">
      <c r="A106" s="82"/>
      <c r="B106" s="104" t="s">
        <v>87</v>
      </c>
      <c r="C106" s="105"/>
      <c r="D106" s="104"/>
      <c r="E106" s="141">
        <v>3931</v>
      </c>
      <c r="F106" s="106">
        <f>SUM(E106*12)</f>
        <v>47172</v>
      </c>
      <c r="G106" s="107">
        <f>H87+H105</f>
        <v>27.710892229847513</v>
      </c>
      <c r="H106" s="108">
        <f>SUM(F106*G106/1000)</f>
        <v>1307.1782082663669</v>
      </c>
      <c r="I106" s="92">
        <f t="shared" ref="I106:R106" si="33">SUM(I11:I105)</f>
        <v>106014.60266833336</v>
      </c>
      <c r="J106" s="92">
        <f t="shared" si="33"/>
        <v>180668.11136833334</v>
      </c>
      <c r="K106" s="92">
        <f t="shared" si="33"/>
        <v>119073.05077833333</v>
      </c>
      <c r="L106" s="92">
        <f t="shared" si="33"/>
        <v>81206.485978333323</v>
      </c>
      <c r="M106" s="92">
        <f t="shared" si="33"/>
        <v>235145.8256228778</v>
      </c>
      <c r="N106" s="92">
        <f t="shared" si="33"/>
        <v>67962.378927777783</v>
      </c>
      <c r="O106" s="92">
        <f t="shared" si="33"/>
        <v>67667.928927777786</v>
      </c>
      <c r="P106" s="92">
        <f t="shared" si="33"/>
        <v>68153.19892777779</v>
      </c>
      <c r="Q106" s="92">
        <f t="shared" si="33"/>
        <v>125269.2650003778</v>
      </c>
      <c r="R106" s="92">
        <f t="shared" si="33"/>
        <v>70724.73272777778</v>
      </c>
      <c r="S106" s="92">
        <f>SUM(S11:S105)</f>
        <v>191822.81467833332</v>
      </c>
      <c r="T106" s="92">
        <f>SUM(T11:T105)</f>
        <v>84269.017328333342</v>
      </c>
      <c r="U106" s="43">
        <f>U85+U103</f>
        <v>383079.96473444445</v>
      </c>
      <c r="V106" s="153"/>
      <c r="W106" s="153"/>
      <c r="X106" s="153"/>
      <c r="Y106" s="153"/>
      <c r="Z106" s="153"/>
    </row>
    <row r="107" spans="1:26">
      <c r="A107" s="67"/>
      <c r="B107" s="67"/>
      <c r="C107" s="67"/>
      <c r="D107" s="67"/>
      <c r="E107" s="109"/>
      <c r="F107" s="109"/>
      <c r="G107" s="109"/>
      <c r="H107" s="109"/>
      <c r="I107" s="109"/>
      <c r="J107" s="109"/>
      <c r="K107" s="109"/>
      <c r="L107" s="109"/>
      <c r="M107" s="67"/>
      <c r="N107" s="109"/>
      <c r="O107" s="67"/>
      <c r="P107" s="67"/>
      <c r="Q107" s="67"/>
      <c r="R107" s="67"/>
      <c r="S107" s="67"/>
      <c r="T107" s="67"/>
      <c r="U107" s="67"/>
    </row>
    <row r="108" spans="1:26">
      <c r="A108" s="67"/>
      <c r="B108" s="67"/>
      <c r="C108" s="67"/>
      <c r="D108" s="67"/>
      <c r="E108" s="109"/>
      <c r="F108" s="109"/>
      <c r="G108" s="109"/>
      <c r="H108" s="109"/>
      <c r="I108" s="109"/>
      <c r="J108" s="110"/>
      <c r="K108" s="111"/>
      <c r="L108" s="110"/>
      <c r="M108" s="109"/>
      <c r="N108" s="67"/>
      <c r="O108" s="67"/>
      <c r="P108" s="67"/>
      <c r="Q108" s="67"/>
      <c r="R108" s="67"/>
      <c r="S108" s="67"/>
      <c r="T108" s="67"/>
      <c r="U108" s="67"/>
    </row>
    <row r="109" spans="1:26" ht="45">
      <c r="A109" s="67"/>
      <c r="B109" s="112" t="s">
        <v>188</v>
      </c>
      <c r="C109" s="159">
        <v>-275430.11</v>
      </c>
      <c r="D109" s="160"/>
      <c r="E109" s="160"/>
      <c r="F109" s="161"/>
      <c r="G109" s="109"/>
      <c r="H109" s="109"/>
      <c r="I109" s="109"/>
      <c r="J109" s="110"/>
      <c r="K109" s="111"/>
      <c r="L109" s="110"/>
      <c r="M109" s="109"/>
      <c r="N109" s="67"/>
      <c r="O109" s="67"/>
      <c r="P109" s="67"/>
      <c r="Q109" s="67"/>
      <c r="R109" s="67"/>
      <c r="S109" s="67"/>
      <c r="T109" s="67"/>
      <c r="U109" s="67"/>
    </row>
    <row r="110" spans="1:26" ht="30">
      <c r="A110" s="67"/>
      <c r="B110" s="21" t="s">
        <v>192</v>
      </c>
      <c r="C110" s="163">
        <f>(94504.34*9)+(118601.44*3)</f>
        <v>1206343.3799999999</v>
      </c>
      <c r="D110" s="164"/>
      <c r="E110" s="164"/>
      <c r="F110" s="165"/>
      <c r="G110" s="109"/>
      <c r="H110" s="109"/>
      <c r="I110" s="109"/>
      <c r="J110" s="110"/>
      <c r="K110" s="111"/>
      <c r="L110" s="110"/>
      <c r="M110" s="109"/>
      <c r="N110" s="67"/>
      <c r="O110" s="67"/>
      <c r="P110" s="67"/>
      <c r="Q110" s="67"/>
      <c r="R110" s="67"/>
      <c r="S110" s="67"/>
      <c r="T110" s="67"/>
      <c r="U110" s="67"/>
    </row>
    <row r="111" spans="1:26" ht="30">
      <c r="A111" s="67"/>
      <c r="B111" s="21" t="s">
        <v>193</v>
      </c>
      <c r="C111" s="163">
        <f>SUM(U106-U103)+796604.88</f>
        <v>1055329.3336744444</v>
      </c>
      <c r="D111" s="164"/>
      <c r="E111" s="164"/>
      <c r="F111" s="165"/>
      <c r="G111" s="109"/>
      <c r="H111" s="109"/>
      <c r="I111" s="109"/>
      <c r="J111" s="110"/>
      <c r="K111" s="111"/>
      <c r="L111" s="110"/>
      <c r="M111" s="109"/>
      <c r="N111" s="67"/>
      <c r="O111" s="67"/>
      <c r="P111" s="67"/>
      <c r="Q111" s="67"/>
      <c r="R111" s="67"/>
      <c r="S111" s="67"/>
      <c r="T111" s="67"/>
      <c r="U111" s="67"/>
    </row>
    <row r="112" spans="1:26" ht="30">
      <c r="A112" s="67"/>
      <c r="B112" s="21" t="s">
        <v>194</v>
      </c>
      <c r="C112" s="163">
        <f>SUM(U103)+95153.27</f>
        <v>219508.78106000001</v>
      </c>
      <c r="D112" s="164"/>
      <c r="E112" s="164"/>
      <c r="F112" s="165"/>
      <c r="G112" s="109"/>
      <c r="H112" s="109"/>
      <c r="I112" s="109"/>
      <c r="J112" s="110"/>
      <c r="K112" s="111"/>
      <c r="L112" s="110"/>
      <c r="M112" s="109"/>
      <c r="N112" s="67"/>
      <c r="O112" s="67"/>
      <c r="P112" s="67"/>
      <c r="Q112" s="67"/>
      <c r="R112" s="67"/>
      <c r="S112" s="67"/>
      <c r="T112" s="67"/>
      <c r="U112" s="67"/>
    </row>
    <row r="113" spans="1:21" ht="18">
      <c r="A113" s="67"/>
      <c r="B113" s="118" t="s">
        <v>195</v>
      </c>
      <c r="C113" s="163">
        <f>96931.4+72267.83+92095.75+83983.95+77929.22+79219.06+84643.98+84737.6+90556.53+94713.23+112076.24+121930.39</f>
        <v>1091085.18</v>
      </c>
      <c r="D113" s="164"/>
      <c r="E113" s="164"/>
      <c r="F113" s="165"/>
      <c r="G113" s="67"/>
      <c r="H113" s="113" t="s">
        <v>92</v>
      </c>
      <c r="J113" s="114"/>
      <c r="K113" s="115"/>
      <c r="L113" s="116"/>
      <c r="M113" s="113"/>
      <c r="N113" s="113"/>
      <c r="O113" s="67"/>
      <c r="P113" s="67"/>
      <c r="Q113" s="67"/>
      <c r="R113" s="67"/>
      <c r="S113" s="67"/>
      <c r="T113" s="67"/>
      <c r="U113" s="67"/>
    </row>
    <row r="114" spans="1:21" ht="78.75" customHeight="1">
      <c r="A114" s="67"/>
      <c r="B114" s="22" t="s">
        <v>196</v>
      </c>
      <c r="C114" s="166">
        <v>610295.5</v>
      </c>
      <c r="D114" s="167"/>
      <c r="E114" s="167"/>
      <c r="F114" s="168"/>
      <c r="G114" s="67"/>
      <c r="H114" s="67"/>
      <c r="I114" s="67"/>
      <c r="J114" s="67"/>
      <c r="K114" s="67"/>
      <c r="L114" s="67"/>
      <c r="M114" s="67"/>
      <c r="N114" s="67"/>
      <c r="O114" s="67"/>
      <c r="P114" s="67"/>
      <c r="Q114" s="67"/>
      <c r="R114" s="67"/>
      <c r="S114" s="67"/>
      <c r="T114" s="67"/>
      <c r="U114" s="67"/>
    </row>
    <row r="115" spans="1:21" ht="45">
      <c r="A115" s="67"/>
      <c r="B115" s="117" t="s">
        <v>197</v>
      </c>
      <c r="C115" s="162">
        <f>SUM(C111+C112-C110)+C109</f>
        <v>-206935.37526555557</v>
      </c>
      <c r="D115" s="160"/>
      <c r="E115" s="160"/>
      <c r="F115" s="161"/>
      <c r="G115" s="67"/>
      <c r="H115" s="67"/>
      <c r="I115" s="67"/>
      <c r="J115" s="67"/>
      <c r="K115" s="67"/>
      <c r="L115" s="67"/>
      <c r="M115" s="67"/>
      <c r="N115" s="67"/>
      <c r="O115" s="67"/>
      <c r="P115" s="67"/>
      <c r="Q115" s="67"/>
      <c r="R115" s="67"/>
      <c r="S115" s="67"/>
      <c r="T115" s="67"/>
      <c r="U115" s="67"/>
    </row>
    <row r="117" spans="1:21">
      <c r="J117" s="3"/>
      <c r="K117" s="4"/>
      <c r="L117" s="4"/>
      <c r="M117" s="2"/>
    </row>
    <row r="118" spans="1:21">
      <c r="G118" s="5"/>
      <c r="H118" s="5"/>
    </row>
    <row r="119" spans="1:21">
      <c r="G119" s="6"/>
    </row>
  </sheetData>
  <mergeCells count="11">
    <mergeCell ref="C115:F115"/>
    <mergeCell ref="C110:F110"/>
    <mergeCell ref="C111:F111"/>
    <mergeCell ref="C112:F112"/>
    <mergeCell ref="C113:F113"/>
    <mergeCell ref="C114:F114"/>
    <mergeCell ref="B3:L3"/>
    <mergeCell ref="B4:L4"/>
    <mergeCell ref="B5:L5"/>
    <mergeCell ref="B6:L6"/>
    <mergeCell ref="C109:F109"/>
  </mergeCells>
  <pageMargins left="0.70866141732283472" right="0.31496062992125984" top="0.15748031496062992" bottom="0.19685039370078741" header="0.15748031496062992" footer="0.15748031496062992"/>
  <pageSetup paperSize="9" scale="40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Косм.,8</vt:lpstr>
      <vt:lpstr>'Косм.,8'!Область_печати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Партнёр</dc:creator>
  <cp:lastModifiedBy>user</cp:lastModifiedBy>
  <cp:lastPrinted>2018-03-19T08:35:59Z</cp:lastPrinted>
  <dcterms:created xsi:type="dcterms:W3CDTF">2014-02-05T12:20:20Z</dcterms:created>
  <dcterms:modified xsi:type="dcterms:W3CDTF">2018-03-27T08:00:23Z</dcterms:modified>
</cp:coreProperties>
</file>