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'Шахт.,7'!$A$1:$U$122</definedName>
  </definedNames>
  <calcPr calcId="124519"/>
</workbook>
</file>

<file path=xl/calcChain.xml><?xml version="1.0" encoding="utf-8"?>
<calcChain xmlns="http://schemas.openxmlformats.org/spreadsheetml/2006/main">
  <c r="U110" i="1"/>
  <c r="N106"/>
  <c r="H110"/>
  <c r="U109"/>
  <c r="T109"/>
  <c r="S109"/>
  <c r="N109"/>
  <c r="H109"/>
  <c r="U108"/>
  <c r="O108"/>
  <c r="H108"/>
  <c r="U107"/>
  <c r="N107"/>
  <c r="H107"/>
  <c r="O106"/>
  <c r="U106" s="1"/>
  <c r="S106"/>
  <c r="H106"/>
  <c r="N93"/>
  <c r="U105"/>
  <c r="S105"/>
  <c r="H105"/>
  <c r="U104"/>
  <c r="R104"/>
  <c r="H104"/>
  <c r="N96"/>
  <c r="Q64" l="1"/>
  <c r="U103"/>
  <c r="Q103"/>
  <c r="H103"/>
  <c r="R93"/>
  <c r="R64"/>
  <c r="R63"/>
  <c r="N63"/>
  <c r="Q63"/>
  <c r="O63"/>
  <c r="P63"/>
  <c r="S63"/>
  <c r="T63"/>
  <c r="P98"/>
  <c r="U102"/>
  <c r="N102"/>
  <c r="H102"/>
  <c r="N72"/>
  <c r="N100"/>
  <c r="U101"/>
  <c r="P101"/>
  <c r="O101"/>
  <c r="S101"/>
  <c r="H101"/>
  <c r="U100"/>
  <c r="P100"/>
  <c r="H100"/>
  <c r="R94"/>
  <c r="Q94"/>
  <c r="R89"/>
  <c r="P89"/>
  <c r="Q89"/>
  <c r="S89"/>
  <c r="N98"/>
  <c r="R98"/>
  <c r="S98"/>
  <c r="T98"/>
  <c r="U99"/>
  <c r="S99"/>
  <c r="O99"/>
  <c r="H99"/>
  <c r="S92"/>
  <c r="O92"/>
  <c r="I91"/>
  <c r="T91"/>
  <c r="S91"/>
  <c r="R91"/>
  <c r="Q91"/>
  <c r="P91"/>
  <c r="O91"/>
  <c r="N91"/>
  <c r="T113"/>
  <c r="S113"/>
  <c r="T81"/>
  <c r="S81"/>
  <c r="T79"/>
  <c r="S79"/>
  <c r="T61"/>
  <c r="S61"/>
  <c r="T56"/>
  <c r="S56"/>
  <c r="T48"/>
  <c r="T41"/>
  <c r="S41"/>
  <c r="T40"/>
  <c r="S40"/>
  <c r="T39"/>
  <c r="S39"/>
  <c r="T38"/>
  <c r="S38"/>
  <c r="T36"/>
  <c r="S36"/>
  <c r="T35"/>
  <c r="S35"/>
  <c r="T34"/>
  <c r="S34"/>
  <c r="T31"/>
  <c r="S31"/>
  <c r="T28"/>
  <c r="S28"/>
  <c r="T20"/>
  <c r="S20"/>
  <c r="T19"/>
  <c r="S19"/>
  <c r="T16"/>
  <c r="S16"/>
  <c r="T15"/>
  <c r="S15"/>
  <c r="T13"/>
  <c r="S13"/>
  <c r="T12"/>
  <c r="S12"/>
  <c r="T11"/>
  <c r="S11"/>
  <c r="R113"/>
  <c r="Q113"/>
  <c r="P113"/>
  <c r="O113"/>
  <c r="N113"/>
  <c r="R81"/>
  <c r="P81"/>
  <c r="Q81"/>
  <c r="O81"/>
  <c r="N81"/>
  <c r="R79"/>
  <c r="Q79"/>
  <c r="P79"/>
  <c r="O79"/>
  <c r="N79"/>
  <c r="N78"/>
  <c r="Q70"/>
  <c r="R61"/>
  <c r="Q61"/>
  <c r="P61"/>
  <c r="O61"/>
  <c r="N61"/>
  <c r="Q52"/>
  <c r="Q51"/>
  <c r="Q50"/>
  <c r="Q49"/>
  <c r="Q48"/>
  <c r="R47"/>
  <c r="R46"/>
  <c r="R45"/>
  <c r="R44"/>
  <c r="R31"/>
  <c r="Q31"/>
  <c r="P31"/>
  <c r="O31"/>
  <c r="N31"/>
  <c r="R28"/>
  <c r="Q28"/>
  <c r="P28"/>
  <c r="O28"/>
  <c r="N28"/>
  <c r="R27"/>
  <c r="Q27"/>
  <c r="P27"/>
  <c r="O27"/>
  <c r="N27"/>
  <c r="R26"/>
  <c r="Q26"/>
  <c r="P26"/>
  <c r="O26"/>
  <c r="N26"/>
  <c r="M25"/>
  <c r="R24"/>
  <c r="Q24"/>
  <c r="P24"/>
  <c r="O24"/>
  <c r="N24"/>
  <c r="R23"/>
  <c r="Q23"/>
  <c r="P23"/>
  <c r="O23"/>
  <c r="N23"/>
  <c r="R20"/>
  <c r="Q20"/>
  <c r="P20"/>
  <c r="O20"/>
  <c r="N20"/>
  <c r="M20"/>
  <c r="L20"/>
  <c r="K20"/>
  <c r="J20"/>
  <c r="I20"/>
  <c r="R19"/>
  <c r="Q19"/>
  <c r="P19"/>
  <c r="O19"/>
  <c r="N19"/>
  <c r="M19"/>
  <c r="L19"/>
  <c r="K19"/>
  <c r="J19"/>
  <c r="I19"/>
  <c r="N18"/>
  <c r="N17"/>
  <c r="R16"/>
  <c r="Q16"/>
  <c r="P16"/>
  <c r="O16"/>
  <c r="N16"/>
  <c r="R15"/>
  <c r="Q15"/>
  <c r="P15"/>
  <c r="O15"/>
  <c r="N15"/>
  <c r="M14"/>
  <c r="R13"/>
  <c r="Q13"/>
  <c r="P13"/>
  <c r="O13"/>
  <c r="N13"/>
  <c r="R12"/>
  <c r="Q12"/>
  <c r="P12"/>
  <c r="O12"/>
  <c r="N12"/>
  <c r="R11"/>
  <c r="Q11"/>
  <c r="P11"/>
  <c r="O11"/>
  <c r="N11"/>
  <c r="M81"/>
  <c r="M79"/>
  <c r="M69"/>
  <c r="M68"/>
  <c r="M67"/>
  <c r="M66"/>
  <c r="M65"/>
  <c r="M61"/>
  <c r="I57"/>
  <c r="M52"/>
  <c r="M48"/>
  <c r="M31"/>
  <c r="M28"/>
  <c r="M27"/>
  <c r="F27"/>
  <c r="M26"/>
  <c r="M24"/>
  <c r="M23"/>
  <c r="M16"/>
  <c r="M15"/>
  <c r="M13"/>
  <c r="M113" s="1"/>
  <c r="M12"/>
  <c r="M11"/>
  <c r="U98"/>
  <c r="L98"/>
  <c r="H98"/>
  <c r="L94"/>
  <c r="L91"/>
  <c r="L113"/>
  <c r="L81"/>
  <c r="L79"/>
  <c r="L61"/>
  <c r="L56"/>
  <c r="L47"/>
  <c r="L46"/>
  <c r="L45"/>
  <c r="L44"/>
  <c r="L41"/>
  <c r="L40"/>
  <c r="L39"/>
  <c r="L38"/>
  <c r="L36"/>
  <c r="L35"/>
  <c r="L34"/>
  <c r="L31"/>
  <c r="L28"/>
  <c r="L16"/>
  <c r="L15"/>
  <c r="L13"/>
  <c r="L12"/>
  <c r="L11"/>
  <c r="K37"/>
  <c r="K113"/>
  <c r="U97"/>
  <c r="K97"/>
  <c r="H97"/>
  <c r="U96"/>
  <c r="K96"/>
  <c r="H96"/>
  <c r="K60"/>
  <c r="U95"/>
  <c r="K95"/>
  <c r="H95"/>
  <c r="K72"/>
  <c r="K94"/>
  <c r="U94" s="1"/>
  <c r="H94"/>
  <c r="K91"/>
  <c r="K89"/>
  <c r="K63"/>
  <c r="K41"/>
  <c r="K35"/>
  <c r="K34"/>
  <c r="F78" l="1"/>
  <c r="U78"/>
  <c r="H78"/>
  <c r="J93" l="1"/>
  <c r="J63"/>
  <c r="J89"/>
  <c r="J79"/>
  <c r="F79"/>
  <c r="K79" s="1"/>
  <c r="H58"/>
  <c r="F58"/>
  <c r="J51"/>
  <c r="J41"/>
  <c r="J35"/>
  <c r="J34"/>
  <c r="U93"/>
  <c r="I93"/>
  <c r="H93"/>
  <c r="I92"/>
  <c r="U92" s="1"/>
  <c r="H92"/>
  <c r="U91"/>
  <c r="H91"/>
  <c r="I90"/>
  <c r="U90" s="1"/>
  <c r="H90"/>
  <c r="U89"/>
  <c r="I89"/>
  <c r="I63"/>
  <c r="U76"/>
  <c r="U74"/>
  <c r="U73"/>
  <c r="U72"/>
  <c r="U70"/>
  <c r="U69"/>
  <c r="U68"/>
  <c r="U67"/>
  <c r="U66"/>
  <c r="U65"/>
  <c r="U64"/>
  <c r="U63"/>
  <c r="U60"/>
  <c r="U53"/>
  <c r="U52"/>
  <c r="U51"/>
  <c r="U47"/>
  <c r="U46"/>
  <c r="U45"/>
  <c r="U44"/>
  <c r="U23"/>
  <c r="U24"/>
  <c r="U25"/>
  <c r="U26"/>
  <c r="U27"/>
  <c r="U29"/>
  <c r="U30"/>
  <c r="U19"/>
  <c r="U20"/>
  <c r="U18"/>
  <c r="U17"/>
  <c r="U14"/>
  <c r="I41"/>
  <c r="U41" s="1"/>
  <c r="F52"/>
  <c r="U57"/>
  <c r="I35"/>
  <c r="U35" s="1"/>
  <c r="I34"/>
  <c r="U34" s="1"/>
  <c r="I37"/>
  <c r="U37" s="1"/>
  <c r="J58" l="1"/>
  <c r="H89"/>
  <c r="H57"/>
  <c r="F61"/>
  <c r="F56"/>
  <c r="H53"/>
  <c r="F50"/>
  <c r="H35"/>
  <c r="F36"/>
  <c r="F26"/>
  <c r="F20"/>
  <c r="F19"/>
  <c r="H61"/>
  <c r="H60"/>
  <c r="I36" l="1"/>
  <c r="K36"/>
  <c r="J36"/>
  <c r="H50"/>
  <c r="J50"/>
  <c r="U50" s="1"/>
  <c r="I56"/>
  <c r="U56" s="1"/>
  <c r="K56"/>
  <c r="J56"/>
  <c r="I61"/>
  <c r="K61"/>
  <c r="J61"/>
  <c r="U58"/>
  <c r="F45"/>
  <c r="F39"/>
  <c r="H26"/>
  <c r="F16"/>
  <c r="I16" l="1"/>
  <c r="K16"/>
  <c r="J16"/>
  <c r="U61"/>
  <c r="U36"/>
  <c r="I39"/>
  <c r="U39" s="1"/>
  <c r="K39"/>
  <c r="J39"/>
  <c r="H37"/>
  <c r="U16" l="1"/>
  <c r="F15"/>
  <c r="H36"/>
  <c r="H74"/>
  <c r="I15" l="1"/>
  <c r="K15"/>
  <c r="J15"/>
  <c r="H73"/>
  <c r="U15" l="1"/>
  <c r="F14"/>
  <c r="F17"/>
  <c r="F18"/>
  <c r="F113" l="1"/>
  <c r="H112"/>
  <c r="E81"/>
  <c r="H85" s="1"/>
  <c r="I79"/>
  <c r="U79" s="1"/>
  <c r="H76"/>
  <c r="U77"/>
  <c r="H72"/>
  <c r="H70"/>
  <c r="F69"/>
  <c r="H69" s="1"/>
  <c r="F68"/>
  <c r="H68" s="1"/>
  <c r="F67"/>
  <c r="H67" s="1"/>
  <c r="F66"/>
  <c r="H66" s="1"/>
  <c r="F65"/>
  <c r="H65" s="1"/>
  <c r="H64"/>
  <c r="H63"/>
  <c r="H56"/>
  <c r="H52"/>
  <c r="H51"/>
  <c r="F49"/>
  <c r="F48"/>
  <c r="F47"/>
  <c r="H47" s="1"/>
  <c r="F46"/>
  <c r="H46" s="1"/>
  <c r="H45"/>
  <c r="F44"/>
  <c r="H44" s="1"/>
  <c r="H41"/>
  <c r="F40"/>
  <c r="H39"/>
  <c r="F38"/>
  <c r="H34"/>
  <c r="F31"/>
  <c r="H30"/>
  <c r="H29"/>
  <c r="F28"/>
  <c r="H27"/>
  <c r="F25"/>
  <c r="H25" s="1"/>
  <c r="F24"/>
  <c r="H24" s="1"/>
  <c r="F23"/>
  <c r="H23" s="1"/>
  <c r="H20"/>
  <c r="H18"/>
  <c r="H17"/>
  <c r="H14"/>
  <c r="F13"/>
  <c r="F12"/>
  <c r="F11"/>
  <c r="I11" l="1"/>
  <c r="K11"/>
  <c r="J11"/>
  <c r="K31"/>
  <c r="J31"/>
  <c r="I12"/>
  <c r="K12"/>
  <c r="J12"/>
  <c r="I28"/>
  <c r="K28"/>
  <c r="J28"/>
  <c r="H49"/>
  <c r="J49"/>
  <c r="U49" s="1"/>
  <c r="I13"/>
  <c r="K13"/>
  <c r="J13"/>
  <c r="K38"/>
  <c r="J38"/>
  <c r="K40"/>
  <c r="J40"/>
  <c r="I48"/>
  <c r="J48"/>
  <c r="H31"/>
  <c r="I31"/>
  <c r="U31" s="1"/>
  <c r="H38"/>
  <c r="I38"/>
  <c r="H40"/>
  <c r="I40"/>
  <c r="H79"/>
  <c r="H80" s="1"/>
  <c r="U80"/>
  <c r="H28"/>
  <c r="H32" s="1"/>
  <c r="H48"/>
  <c r="H54" s="1"/>
  <c r="H11"/>
  <c r="H12"/>
  <c r="H16"/>
  <c r="H13"/>
  <c r="H15"/>
  <c r="F81"/>
  <c r="H19"/>
  <c r="H42"/>
  <c r="H77"/>
  <c r="U40" l="1"/>
  <c r="U38"/>
  <c r="U42" s="1"/>
  <c r="U48"/>
  <c r="U54" s="1"/>
  <c r="U28"/>
  <c r="U11"/>
  <c r="I81"/>
  <c r="K81"/>
  <c r="J81"/>
  <c r="J113" s="1"/>
  <c r="U13"/>
  <c r="U12"/>
  <c r="H81"/>
  <c r="H82" s="1"/>
  <c r="C119"/>
  <c r="H21"/>
  <c r="U32"/>
  <c r="U81" l="1"/>
  <c r="U82" s="1"/>
  <c r="U21"/>
  <c r="I113"/>
  <c r="H83"/>
  <c r="H86" s="1"/>
  <c r="G113" s="1"/>
  <c r="H113" s="1"/>
  <c r="U83" l="1"/>
  <c r="U113" s="1"/>
  <c r="C122" s="1"/>
  <c r="C118" l="1"/>
</calcChain>
</file>

<file path=xl/sharedStrings.xml><?xml version="1.0" encoding="utf-8"?>
<sst xmlns="http://schemas.openxmlformats.org/spreadsheetml/2006/main" count="333" uniqueCount="250">
  <si>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</si>
  <si>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</si>
  <si>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</si>
  <si>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</si>
  <si>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</si>
  <si>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</si>
  <si>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</si>
  <si>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</si>
  <si>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</si>
  <si>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</si>
  <si>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</si>
  <si>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</si>
  <si>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</si>
  <si>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</si>
  <si>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</si>
  <si>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</si>
  <si>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</si>
  <si>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</si>
  <si>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</si>
  <si>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</si>
  <si>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</si>
  <si>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</si>
  <si>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</si>
  <si>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</si>
  <si>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</si>
  <si>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</si>
  <si>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</si>
  <si>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</si>
  <si>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</si>
  <si>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</si>
  <si>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</si>
  <si>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</si>
  <si>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</si>
  <si>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</si>
  <si>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</si>
  <si>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</si>
  <si>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</si>
  <si>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</si>
  <si>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</si>
  <si>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</si>
  <si>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</si>
  <si>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</si>
  <si>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</si>
  <si>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</si>
  <si>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</si>
  <si>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</si>
  <si>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</si>
  <si>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</si>
  <si>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</si>
  <si>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</si>
  <si>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</si>
  <si>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</si>
  <si>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</si>
  <si>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</si>
  <si>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</si>
  <si>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</si>
  <si>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</si>
  <si>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</si>
  <si>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</si>
  <si>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</si>
  <si>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</si>
  <si>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</si>
  <si>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</si>
  <si>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</si>
  <si>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</si>
  <si>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</si>
  <si>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</si>
  <si>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</si>
  <si>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</si>
  <si>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54-035</t>
  </si>
  <si>
    <t>Перекидывания снега и скола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</si>
  <si>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</si>
  <si>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</si>
  <si>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</si>
  <si>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</si>
  <si>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</si>
  <si>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</si>
  <si>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</si>
  <si>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</si>
  <si>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</si>
  <si>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</si>
  <si>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</si>
  <si>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</si>
  <si>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</si>
  <si>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</si>
  <si>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</si>
  <si>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</si>
  <si>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</si>
  <si>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</si>
  <si>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</si>
  <si>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</si>
  <si>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</si>
  <si>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</si>
  <si>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</si>
  <si>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</si>
  <si>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</si>
  <si>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</si>
  <si>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</si>
  <si>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</si>
  <si>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</si>
  <si>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</si>
  <si>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</si>
  <si>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</si>
  <si>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</si>
  <si>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 xml:space="preserve">Электротехнические измерения 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</si>
  <si>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</si>
  <si>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</si>
  <si>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</si>
  <si>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</si>
  <si>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</si>
  <si>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м2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</si>
  <si>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</si>
  <si>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</si>
  <si>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</si>
  <si>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</si>
  <si>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</si>
  <si>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</si>
  <si>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</si>
  <si>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</si>
  <si>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</si>
  <si>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</si>
  <si>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</si>
  <si>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</si>
  <si>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</si>
  <si>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</si>
  <si>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</si>
  <si>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</si>
  <si>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</si>
  <si>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</si>
  <si>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</si>
  <si>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</si>
  <si>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</si>
  <si>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</si>
  <si>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</si>
  <si>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</si>
  <si>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</si>
  <si>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</si>
  <si>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</si>
  <si>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</si>
  <si>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</si>
  <si>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</si>
  <si>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</si>
  <si>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</si>
  <si>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</si>
  <si>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</si>
  <si>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</si>
  <si>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</si>
  <si>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</si>
  <si>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</si>
  <si>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</si>
  <si>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Сдвигание снега в дни снегопада ( крыльца, тротуары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</si>
  <si>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</si>
  <si>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</si>
  <si>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</si>
  <si>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</si>
  <si>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</si>
  <si>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</si>
  <si>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</si>
  <si>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Вывоз снега с придомовой территории</t>
  </si>
  <si>
    <t>1 раз в месяц</t>
  </si>
  <si>
    <t>ТЭР 55-003</t>
  </si>
  <si>
    <t>Очистка урн от мусора</t>
  </si>
  <si>
    <t>50 раз за сезон</t>
  </si>
  <si>
    <t>Дератизация</t>
  </si>
  <si>
    <t xml:space="preserve">1 раз в месяц  </t>
  </si>
  <si>
    <t>25 раз за сезон</t>
  </si>
  <si>
    <t>ТЭР 42-002</t>
  </si>
  <si>
    <t>Осмотр рулонной  кровли</t>
  </si>
  <si>
    <t>1 раз в 3 года</t>
  </si>
  <si>
    <t xml:space="preserve"> Очистка края кровли от слежавшегося снега со сбрасыванием сосулек (козырьки)</t>
  </si>
  <si>
    <t>Очистка  от мусора</t>
  </si>
  <si>
    <t>ТЭР 31-066</t>
  </si>
  <si>
    <t>Очистка внутреннего водостока</t>
  </si>
  <si>
    <t>водосток</t>
  </si>
  <si>
    <t>прим. ТЭР 54-041</t>
  </si>
  <si>
    <t>Очистка водостоков от наледи</t>
  </si>
  <si>
    <t>4 раза в год</t>
  </si>
  <si>
    <t>Ремонт групповых щитков на лестничной клетке без ремонта автоматов</t>
  </si>
  <si>
    <t>ТЭР 33-030</t>
  </si>
  <si>
    <t>1 шт</t>
  </si>
  <si>
    <t>ТЭР 32-027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</si>
  <si>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</si>
  <si>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</si>
  <si>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</si>
  <si>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</si>
  <si>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</si>
  <si>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</si>
  <si>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</si>
  <si>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</si>
  <si>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</si>
  <si>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</si>
  <si>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</si>
  <si>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</si>
  <si>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3 раза в год</t>
  </si>
  <si>
    <t>Ремонт силового предохранительного шкафа (без стоимости материалов)</t>
  </si>
  <si>
    <t>ТЭР 33-032</t>
  </si>
  <si>
    <t>Снятие показаний эл.счетчика коммунального назначения</t>
  </si>
  <si>
    <t>ТЭР 33-037</t>
  </si>
  <si>
    <t>калькуляция</t>
  </si>
  <si>
    <t>Ремонт и регулировка доводчика (со стоимостью доводчика)</t>
  </si>
  <si>
    <t>1шт.</t>
  </si>
  <si>
    <t>Смена арматуры - вентилей и клапанов обратных муфтовых диаметром до 20 мм ( со стоим. материалов)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</si>
  <si>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Строительная,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</si>
  <si>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6 подъездов</t>
  </si>
  <si>
    <t>Стоимость (руб.)</t>
  </si>
  <si>
    <t>договор</t>
  </si>
  <si>
    <t>ТО внутридомового газ.оборудования</t>
  </si>
  <si>
    <t>10 м</t>
  </si>
  <si>
    <t>Подключение и отключение сварочного аппарата</t>
  </si>
  <si>
    <t>ТЭР 33-060</t>
  </si>
  <si>
    <t>Смена выключателей</t>
  </si>
  <si>
    <t>ТЭР 33-025</t>
  </si>
  <si>
    <t>Смена дверных приборов /замки навесные)</t>
  </si>
  <si>
    <t>ТЭР 15-051</t>
  </si>
  <si>
    <t>Смена дверных приборов - ручки-скобы</t>
  </si>
  <si>
    <t>прим. ТЭР 15-015</t>
  </si>
  <si>
    <t>место</t>
  </si>
  <si>
    <t>ТЭР 32-098</t>
  </si>
  <si>
    <t>Выполне ние       май</t>
  </si>
  <si>
    <t>С учетом показателя инфляции     ( К=1,064)</t>
  </si>
  <si>
    <t>Начислено за содержание и текущий ремонт за 2015  г.</t>
  </si>
  <si>
    <t>Выполнено работ по содержанию за      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</si>
  <si>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</si>
  <si>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</si>
  <si>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</si>
  <si>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</si>
  <si>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Ремонт и регулировка доводчика (без стоимости доводчика)</t>
  </si>
  <si>
    <t>Ремонт внутренних трубопроводов и стояков д=до 50 мм (хомуты)</t>
  </si>
  <si>
    <t>Внеплановый осмотр элекгросетей, арматуры и электрооборудования на чердаках и подвалах</t>
  </si>
  <si>
    <t>Внеплановый осмотр электросетей, арматуры и электрооборудования на лестничных клетках</t>
  </si>
  <si>
    <t>Q2-2-1-3-3</t>
  </si>
  <si>
    <t>Мелкий ремонт электропроводки</t>
  </si>
  <si>
    <t>1 м</t>
  </si>
  <si>
    <t>Смена арматуры - вентилей и клапанов обратных муфтовых диаметром до 32 мм</t>
  </si>
  <si>
    <t>ТЭР 32-028</t>
  </si>
  <si>
    <t>Смена стекол в деревянных переплетах при площади стекла до 1,0 м2</t>
  </si>
  <si>
    <t>10 м2</t>
  </si>
  <si>
    <t>ТЭР 15-009</t>
  </si>
  <si>
    <t>прим. ТЭР 11-013</t>
  </si>
  <si>
    <t>Заделка подвальных окон фанерой (продухи)</t>
  </si>
  <si>
    <t>смета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</si>
  <si>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</si>
  <si>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</si>
  <si>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прим. 2-2-1-2-7</t>
  </si>
  <si>
    <t>Установка заглушек диаметром трубопроводов до 100 мм</t>
  </si>
  <si>
    <t>заглушка</t>
  </si>
  <si>
    <t>ТЭР 31-012</t>
  </si>
  <si>
    <t>2-2-2-2-30</t>
  </si>
  <si>
    <t>Смена трубопроводов на металл-полимерные трубы д=20 (кв.28,24,9,80,84,88,92,96,9,13,17)</t>
  </si>
  <si>
    <t>Заделка стыков соединений стояков внутренних водостоков (герметизация ливневой трубы)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</si>
</sst>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" fontId="14" fillId="4" borderId="2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0" borderId="12" xfId="0" applyFont="1" applyBorder="1"/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9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8" fillId="12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18" fillId="12" borderId="3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26"/>
  <sheetViews>
    <sheetView tabSelected="1" view="pageBreakPreview" topLeftCell="G1" zoomScaleNormal="75" zoomScaleSheetLayoutView="100" workbookViewId="0">
      <pane ySplit="7" topLeftCell="A104" activePane="bottomLeft" state="frozen"/>
      <selection activeCell="B1" sqref="B1"/>
      <selection pane="bottomLeft" activeCell="V112" sqref="V112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140625" customWidth="1"/>
    <col min="10" max="10" width="10" customWidth="1"/>
    <col min="11" max="12" width="9.85546875" customWidth="1"/>
    <col min="13" max="13" width="10.85546875" customWidth="1"/>
    <col min="14" max="15" width="9.85546875" customWidth="1"/>
    <col min="16" max="16" width="10.42578125" customWidth="1"/>
    <col min="17" max="18" width="10.140625" customWidth="1"/>
    <col min="19" max="19" width="9.85546875" customWidth="1"/>
    <col min="20" max="20" width="10.28515625" customWidth="1"/>
    <col min="21" max="21" width="11.85546875" customWidth="1"/>
  </cols>
  <sheetData>
    <row r="1" spans="1:21" ht="14.25" customHeight="1">
      <c r="A1" s="129"/>
    </row>
    <row r="3" spans="1:21" ht="18">
      <c r="A3" s="139"/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7"/>
      <c r="N3" s="77"/>
      <c r="O3" s="77"/>
      <c r="P3" s="77"/>
      <c r="Q3" s="77"/>
      <c r="R3" s="77"/>
      <c r="S3" s="77"/>
      <c r="T3" s="77"/>
      <c r="U3" s="77"/>
    </row>
    <row r="4" spans="1:21" ht="35.25" customHeight="1">
      <c r="A4" s="77"/>
      <c r="B4" s="169" t="s">
        <v>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77"/>
      <c r="N4" s="77"/>
      <c r="O4" s="77"/>
      <c r="P4" s="77"/>
      <c r="Q4" s="77"/>
      <c r="R4" s="77"/>
      <c r="S4" s="77"/>
      <c r="T4" s="77"/>
      <c r="U4" s="77"/>
    </row>
    <row r="5" spans="1:21" ht="18">
      <c r="A5" s="77"/>
      <c r="B5" s="169" t="s">
        <v>202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77"/>
      <c r="N5" s="77"/>
      <c r="O5" s="77"/>
      <c r="P5" s="77"/>
      <c r="Q5" s="77"/>
      <c r="R5" s="77"/>
      <c r="S5" s="77"/>
      <c r="T5" s="77"/>
      <c r="U5" s="77"/>
    </row>
    <row r="6" spans="1:21" ht="15">
      <c r="A6" s="77"/>
      <c r="B6" s="170" t="s">
        <v>203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77"/>
      <c r="N6" s="77"/>
      <c r="O6" s="77"/>
      <c r="P6" s="77"/>
      <c r="Q6" s="77"/>
      <c r="R6" s="77"/>
      <c r="S6" s="77"/>
      <c r="T6" s="77"/>
      <c r="U6" s="77"/>
    </row>
    <row r="7" spans="1:21" ht="48" customHeight="1">
      <c r="A7" s="31" t="s">
        <v>2</v>
      </c>
      <c r="B7" s="31" t="s">
        <v>3</v>
      </c>
      <c r="C7" s="31" t="s">
        <v>4</v>
      </c>
      <c r="D7" s="31" t="s">
        <v>5</v>
      </c>
      <c r="E7" s="31" t="s">
        <v>6</v>
      </c>
      <c r="F7" s="31" t="s">
        <v>7</v>
      </c>
      <c r="G7" s="31" t="s">
        <v>8</v>
      </c>
      <c r="H7" s="32" t="s">
        <v>9</v>
      </c>
      <c r="I7" s="30" t="s">
        <v>181</v>
      </c>
      <c r="J7" s="30" t="s">
        <v>182</v>
      </c>
      <c r="K7" s="30" t="s">
        <v>183</v>
      </c>
      <c r="L7" s="30" t="s">
        <v>184</v>
      </c>
      <c r="M7" s="30" t="s">
        <v>218</v>
      </c>
      <c r="N7" s="30" t="s">
        <v>185</v>
      </c>
      <c r="O7" s="30" t="s">
        <v>186</v>
      </c>
      <c r="P7" s="30" t="s">
        <v>187</v>
      </c>
      <c r="Q7" s="30" t="s">
        <v>188</v>
      </c>
      <c r="R7" s="30" t="s">
        <v>189</v>
      </c>
      <c r="S7" s="30" t="s">
        <v>190</v>
      </c>
      <c r="T7" s="30" t="s">
        <v>191</v>
      </c>
      <c r="U7" s="30" t="s">
        <v>204</v>
      </c>
    </row>
    <row r="8" spans="1:21">
      <c r="A8" s="33">
        <v>1</v>
      </c>
      <c r="B8" s="7">
        <v>2</v>
      </c>
      <c r="C8" s="33">
        <v>3</v>
      </c>
      <c r="D8" s="7">
        <v>4</v>
      </c>
      <c r="E8" s="7">
        <v>5</v>
      </c>
      <c r="F8" s="33">
        <v>6</v>
      </c>
      <c r="G8" s="33">
        <v>7</v>
      </c>
      <c r="H8" s="140">
        <v>8</v>
      </c>
      <c r="I8" s="141">
        <v>10</v>
      </c>
      <c r="J8" s="141">
        <v>11</v>
      </c>
      <c r="K8" s="141">
        <v>12</v>
      </c>
      <c r="L8" s="141">
        <v>13</v>
      </c>
      <c r="M8" s="142">
        <v>14</v>
      </c>
      <c r="N8" s="141">
        <v>15</v>
      </c>
      <c r="O8" s="141">
        <v>16</v>
      </c>
      <c r="P8" s="141">
        <v>17</v>
      </c>
      <c r="Q8" s="141">
        <v>18</v>
      </c>
      <c r="R8" s="141">
        <v>19</v>
      </c>
      <c r="S8" s="141">
        <v>20</v>
      </c>
      <c r="T8" s="141">
        <v>21</v>
      </c>
      <c r="U8" s="141">
        <v>22</v>
      </c>
    </row>
    <row r="9" spans="1:21" ht="38.25">
      <c r="A9" s="33"/>
      <c r="B9" s="9" t="s">
        <v>10</v>
      </c>
      <c r="C9" s="33"/>
      <c r="D9" s="10"/>
      <c r="E9" s="10"/>
      <c r="F9" s="33"/>
      <c r="G9" s="33"/>
      <c r="H9" s="34"/>
      <c r="I9" s="35"/>
      <c r="J9" s="35"/>
      <c r="K9" s="35"/>
      <c r="L9" s="35"/>
      <c r="M9" s="36"/>
      <c r="N9" s="37"/>
      <c r="O9" s="37"/>
      <c r="P9" s="37"/>
      <c r="Q9" s="37"/>
      <c r="R9" s="37"/>
      <c r="S9" s="37"/>
      <c r="T9" s="37"/>
      <c r="U9" s="37"/>
    </row>
    <row r="10" spans="1:21">
      <c r="A10" s="33"/>
      <c r="B10" s="9" t="s">
        <v>11</v>
      </c>
      <c r="C10" s="33"/>
      <c r="D10" s="10"/>
      <c r="E10" s="10"/>
      <c r="F10" s="33"/>
      <c r="G10" s="33"/>
      <c r="H10" s="34"/>
      <c r="I10" s="35"/>
      <c r="J10" s="35"/>
      <c r="K10" s="35"/>
      <c r="L10" s="35"/>
      <c r="M10" s="36"/>
      <c r="N10" s="37"/>
      <c r="O10" s="37"/>
      <c r="P10" s="37"/>
      <c r="Q10" s="37"/>
      <c r="R10" s="37"/>
      <c r="S10" s="37"/>
      <c r="T10" s="37"/>
      <c r="U10" s="37"/>
    </row>
    <row r="11" spans="1:21" ht="25.5">
      <c r="A11" s="33" t="s">
        <v>12</v>
      </c>
      <c r="B11" s="10" t="s">
        <v>13</v>
      </c>
      <c r="C11" s="33" t="s">
        <v>14</v>
      </c>
      <c r="D11" s="10" t="s">
        <v>15</v>
      </c>
      <c r="E11" s="38">
        <v>208.08</v>
      </c>
      <c r="F11" s="39">
        <f>SUM(E11*156/100)</f>
        <v>324.60480000000001</v>
      </c>
      <c r="G11" s="39">
        <v>175.38</v>
      </c>
      <c r="H11" s="40">
        <f t="shared" ref="H11:H20" si="0">SUM(F11*G11/1000)</f>
        <v>56.929189823999998</v>
      </c>
      <c r="I11" s="41">
        <f>F11/12*G11</f>
        <v>4744.0991519999998</v>
      </c>
      <c r="J11" s="41">
        <f>F11/12*G11</f>
        <v>4744.0991519999998</v>
      </c>
      <c r="K11" s="41">
        <f>F11/12*G11</f>
        <v>4744.0991519999998</v>
      </c>
      <c r="L11" s="41">
        <f>F11/12*G11</f>
        <v>4744.0991519999998</v>
      </c>
      <c r="M11" s="41">
        <f>F11/12*G11</f>
        <v>4744.0991519999998</v>
      </c>
      <c r="N11" s="41">
        <f>F11/12*G11</f>
        <v>4744.0991519999998</v>
      </c>
      <c r="O11" s="41">
        <f>F11/12*G11</f>
        <v>4744.0991519999998</v>
      </c>
      <c r="P11" s="41">
        <f>F11/12*G11</f>
        <v>4744.0991519999998</v>
      </c>
      <c r="Q11" s="41">
        <f>F11/12*G11</f>
        <v>4744.0991519999998</v>
      </c>
      <c r="R11" s="41">
        <f>F11/12*G11</f>
        <v>4744.0991519999998</v>
      </c>
      <c r="S11" s="41">
        <f>F11/12*G11</f>
        <v>4744.0991519999998</v>
      </c>
      <c r="T11" s="41">
        <f>F11/12*G11</f>
        <v>4744.0991519999998</v>
      </c>
      <c r="U11" s="41">
        <f t="shared" ref="U11:U20" si="1">SUM(I11:T11)</f>
        <v>56929.189824000008</v>
      </c>
    </row>
    <row r="12" spans="1:21" ht="25.5">
      <c r="A12" s="33" t="s">
        <v>12</v>
      </c>
      <c r="B12" s="10" t="s">
        <v>16</v>
      </c>
      <c r="C12" s="33" t="s">
        <v>14</v>
      </c>
      <c r="D12" s="10" t="s">
        <v>17</v>
      </c>
      <c r="E12" s="38">
        <v>832.32</v>
      </c>
      <c r="F12" s="39">
        <f>SUM(E12*104/100)</f>
        <v>865.61279999999999</v>
      </c>
      <c r="G12" s="39">
        <v>175.38</v>
      </c>
      <c r="H12" s="40">
        <f t="shared" si="0"/>
        <v>151.81117286399999</v>
      </c>
      <c r="I12" s="41">
        <f>F12/12*G12</f>
        <v>12650.931071999999</v>
      </c>
      <c r="J12" s="41">
        <f>F12/12*G12</f>
        <v>12650.931071999999</v>
      </c>
      <c r="K12" s="41">
        <f>F12/12*G12</f>
        <v>12650.931071999999</v>
      </c>
      <c r="L12" s="41">
        <f>F12/12*G12</f>
        <v>12650.931071999999</v>
      </c>
      <c r="M12" s="41">
        <f>F12/12*G12</f>
        <v>12650.931071999999</v>
      </c>
      <c r="N12" s="41">
        <f>F12/12*G12</f>
        <v>12650.931071999999</v>
      </c>
      <c r="O12" s="41">
        <f>F12/12*G12</f>
        <v>12650.931071999999</v>
      </c>
      <c r="P12" s="41">
        <f>F12/12*G12</f>
        <v>12650.931071999999</v>
      </c>
      <c r="Q12" s="41">
        <f>F12/12*G12</f>
        <v>12650.931071999999</v>
      </c>
      <c r="R12" s="41">
        <f>F12/12*G12</f>
        <v>12650.931071999999</v>
      </c>
      <c r="S12" s="41">
        <f>F12/12*G12</f>
        <v>12650.931071999999</v>
      </c>
      <c r="T12" s="41">
        <f>F12/12*G12</f>
        <v>12650.931071999999</v>
      </c>
      <c r="U12" s="41">
        <f t="shared" si="1"/>
        <v>151811.17286400002</v>
      </c>
    </row>
    <row r="13" spans="1:21" ht="25.5">
      <c r="A13" s="33" t="s">
        <v>18</v>
      </c>
      <c r="B13" s="10" t="s">
        <v>19</v>
      </c>
      <c r="C13" s="33" t="s">
        <v>14</v>
      </c>
      <c r="D13" s="10" t="s">
        <v>20</v>
      </c>
      <c r="E13" s="38">
        <v>1040.4000000000001</v>
      </c>
      <c r="F13" s="39">
        <f>SUM(E13*24/100)</f>
        <v>249.69600000000003</v>
      </c>
      <c r="G13" s="39">
        <v>504.5</v>
      </c>
      <c r="H13" s="40">
        <f t="shared" si="0"/>
        <v>125.97163200000001</v>
      </c>
      <c r="I13" s="41">
        <f>F13/12*G13</f>
        <v>10497.636000000002</v>
      </c>
      <c r="J13" s="41">
        <f>F13/12*G13</f>
        <v>10497.636000000002</v>
      </c>
      <c r="K13" s="41">
        <f>F13/12*G13</f>
        <v>10497.636000000002</v>
      </c>
      <c r="L13" s="41">
        <f>F13/12*G13</f>
        <v>10497.636000000002</v>
      </c>
      <c r="M13" s="41">
        <f>F13/12*G13</f>
        <v>10497.636000000002</v>
      </c>
      <c r="N13" s="41">
        <f>F13/12*G13</f>
        <v>10497.636000000002</v>
      </c>
      <c r="O13" s="41">
        <f>F13/12*G13</f>
        <v>10497.636000000002</v>
      </c>
      <c r="P13" s="41">
        <f>F13/12*G13</f>
        <v>10497.636000000002</v>
      </c>
      <c r="Q13" s="41">
        <f>F13/12*G13</f>
        <v>10497.636000000002</v>
      </c>
      <c r="R13" s="41">
        <f>F13/12*G13</f>
        <v>10497.636000000002</v>
      </c>
      <c r="S13" s="41">
        <f>F13/12*G13</f>
        <v>10497.636000000002</v>
      </c>
      <c r="T13" s="41">
        <f>F13/12*G13</f>
        <v>10497.636000000002</v>
      </c>
      <c r="U13" s="41">
        <f t="shared" si="1"/>
        <v>125971.632</v>
      </c>
    </row>
    <row r="14" spans="1:21">
      <c r="A14" s="33" t="s">
        <v>21</v>
      </c>
      <c r="B14" s="10" t="s">
        <v>22</v>
      </c>
      <c r="C14" s="33" t="s">
        <v>23</v>
      </c>
      <c r="D14" s="10" t="s">
        <v>149</v>
      </c>
      <c r="E14" s="38">
        <v>48</v>
      </c>
      <c r="F14" s="39">
        <f>SUM(E14/10)</f>
        <v>4.8</v>
      </c>
      <c r="G14" s="39">
        <v>170.16</v>
      </c>
      <c r="H14" s="40">
        <f t="shared" si="0"/>
        <v>0.81676799999999994</v>
      </c>
      <c r="I14" s="41">
        <v>0</v>
      </c>
      <c r="J14" s="41">
        <v>0</v>
      </c>
      <c r="K14" s="41">
        <v>0</v>
      </c>
      <c r="L14" s="41">
        <v>0</v>
      </c>
      <c r="M14" s="41">
        <f>F14*G14</f>
        <v>816.76799999999992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f t="shared" si="1"/>
        <v>816.76799999999992</v>
      </c>
    </row>
    <row r="15" spans="1:21">
      <c r="A15" s="33" t="s">
        <v>24</v>
      </c>
      <c r="B15" s="10" t="s">
        <v>25</v>
      </c>
      <c r="C15" s="33" t="s">
        <v>14</v>
      </c>
      <c r="D15" s="10" t="s">
        <v>157</v>
      </c>
      <c r="E15" s="38">
        <v>30.6</v>
      </c>
      <c r="F15" s="39">
        <f>SUM(E15*12/100)</f>
        <v>3.6720000000000006</v>
      </c>
      <c r="G15" s="39">
        <v>217.88</v>
      </c>
      <c r="H15" s="40">
        <f t="shared" si="0"/>
        <v>0.8000553600000001</v>
      </c>
      <c r="I15" s="41">
        <f>F15/12*G15</f>
        <v>66.67128000000001</v>
      </c>
      <c r="J15" s="41">
        <f>F15/12*G15</f>
        <v>66.67128000000001</v>
      </c>
      <c r="K15" s="41">
        <f>F15/12*G15</f>
        <v>66.67128000000001</v>
      </c>
      <c r="L15" s="41">
        <f>F15/12*G15</f>
        <v>66.67128000000001</v>
      </c>
      <c r="M15" s="41">
        <f>F15/12*G15</f>
        <v>66.67128000000001</v>
      </c>
      <c r="N15" s="41">
        <f>F15/12*G15</f>
        <v>66.67128000000001</v>
      </c>
      <c r="O15" s="41">
        <f>F15/12*G15</f>
        <v>66.67128000000001</v>
      </c>
      <c r="P15" s="41">
        <f>F15/12*G15</f>
        <v>66.67128000000001</v>
      </c>
      <c r="Q15" s="41">
        <f>F15/12*G15</f>
        <v>66.67128000000001</v>
      </c>
      <c r="R15" s="41">
        <f>F15/12*G15</f>
        <v>66.67128000000001</v>
      </c>
      <c r="S15" s="41">
        <f>F15/12*G15</f>
        <v>66.67128000000001</v>
      </c>
      <c r="T15" s="41">
        <f>F15/12*G15</f>
        <v>66.67128000000001</v>
      </c>
      <c r="U15" s="41">
        <f t="shared" si="1"/>
        <v>800.05536000000018</v>
      </c>
    </row>
    <row r="16" spans="1:21">
      <c r="A16" s="33" t="s">
        <v>26</v>
      </c>
      <c r="B16" s="10" t="s">
        <v>27</v>
      </c>
      <c r="C16" s="33" t="s">
        <v>14</v>
      </c>
      <c r="D16" s="10" t="s">
        <v>159</v>
      </c>
      <c r="E16" s="38">
        <v>10.06</v>
      </c>
      <c r="F16" s="39">
        <f>SUM(E16*12/100)</f>
        <v>1.2072000000000001</v>
      </c>
      <c r="G16" s="39">
        <v>216.12</v>
      </c>
      <c r="H16" s="40">
        <f t="shared" si="0"/>
        <v>0.26090006400000004</v>
      </c>
      <c r="I16" s="41">
        <f>F16/12*G16</f>
        <v>21.741672000000001</v>
      </c>
      <c r="J16" s="41">
        <f>F16/12*G16</f>
        <v>21.741672000000001</v>
      </c>
      <c r="K16" s="41">
        <f>F16/12*G16</f>
        <v>21.741672000000001</v>
      </c>
      <c r="L16" s="41">
        <f>F16/12*G16</f>
        <v>21.741672000000001</v>
      </c>
      <c r="M16" s="41">
        <f>F16/12*G16</f>
        <v>21.741672000000001</v>
      </c>
      <c r="N16" s="41">
        <f>F16/12*G16</f>
        <v>21.741672000000001</v>
      </c>
      <c r="O16" s="41">
        <f>F16/12*G16</f>
        <v>21.741672000000001</v>
      </c>
      <c r="P16" s="41">
        <f>F16/12*G16</f>
        <v>21.741672000000001</v>
      </c>
      <c r="Q16" s="41">
        <f>F16/12*G16</f>
        <v>21.741672000000001</v>
      </c>
      <c r="R16" s="41">
        <f>F16/12*G16</f>
        <v>21.741672000000001</v>
      </c>
      <c r="S16" s="41">
        <f>F16/12*G16</f>
        <v>21.741672000000001</v>
      </c>
      <c r="T16" s="41">
        <f>F16/12*G16</f>
        <v>21.741672000000001</v>
      </c>
      <c r="U16" s="41">
        <f t="shared" si="1"/>
        <v>260.90006399999999</v>
      </c>
    </row>
    <row r="17" spans="1:21">
      <c r="A17" s="33" t="s">
        <v>28</v>
      </c>
      <c r="B17" s="10" t="s">
        <v>29</v>
      </c>
      <c r="C17" s="33" t="s">
        <v>30</v>
      </c>
      <c r="D17" s="10" t="s">
        <v>149</v>
      </c>
      <c r="E17" s="38">
        <v>769.2</v>
      </c>
      <c r="F17" s="39">
        <f>SUM(E17/100)</f>
        <v>7.6920000000000002</v>
      </c>
      <c r="G17" s="39">
        <v>269.26</v>
      </c>
      <c r="H17" s="40">
        <f t="shared" si="0"/>
        <v>2.07114792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f>F17*G17</f>
        <v>2071.1479199999999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f t="shared" si="1"/>
        <v>2071.1479199999999</v>
      </c>
    </row>
    <row r="18" spans="1:21">
      <c r="A18" s="33" t="s">
        <v>31</v>
      </c>
      <c r="B18" s="10" t="s">
        <v>32</v>
      </c>
      <c r="C18" s="33" t="s">
        <v>30</v>
      </c>
      <c r="D18" s="10" t="s">
        <v>149</v>
      </c>
      <c r="E18" s="43">
        <v>35.28</v>
      </c>
      <c r="F18" s="39">
        <f>SUM(E18/100)</f>
        <v>0.3528</v>
      </c>
      <c r="G18" s="39">
        <v>44.29</v>
      </c>
      <c r="H18" s="40">
        <f t="shared" si="0"/>
        <v>1.5625512000000001E-2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f>F18*G18</f>
        <v>15.625512000000001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f t="shared" si="1"/>
        <v>15.625512000000001</v>
      </c>
    </row>
    <row r="19" spans="1:21">
      <c r="A19" s="33" t="s">
        <v>33</v>
      </c>
      <c r="B19" s="10" t="s">
        <v>34</v>
      </c>
      <c r="C19" s="33" t="s">
        <v>30</v>
      </c>
      <c r="D19" s="10" t="s">
        <v>159</v>
      </c>
      <c r="E19" s="38">
        <v>10.8</v>
      </c>
      <c r="F19" s="39">
        <f>E19*12/100</f>
        <v>1.2960000000000003</v>
      </c>
      <c r="G19" s="39">
        <v>389.72</v>
      </c>
      <c r="H19" s="40">
        <f t="shared" si="0"/>
        <v>0.50507712000000016</v>
      </c>
      <c r="I19" s="41">
        <f>F19/12*G19</f>
        <v>42.089760000000012</v>
      </c>
      <c r="J19" s="41">
        <f>F19/12*G19</f>
        <v>42.089760000000012</v>
      </c>
      <c r="K19" s="41">
        <f>F19/12*G19</f>
        <v>42.089760000000012</v>
      </c>
      <c r="L19" s="41">
        <f>F19/12*G19</f>
        <v>42.089760000000012</v>
      </c>
      <c r="M19" s="41">
        <f>F19/12*G19</f>
        <v>42.089760000000012</v>
      </c>
      <c r="N19" s="41">
        <f>F19/12*G19</f>
        <v>42.089760000000012</v>
      </c>
      <c r="O19" s="41">
        <f>F19/12*G19</f>
        <v>42.089760000000012</v>
      </c>
      <c r="P19" s="41">
        <f>F19/12*G19</f>
        <v>42.089760000000012</v>
      </c>
      <c r="Q19" s="41">
        <f>F19/12*G19</f>
        <v>42.089760000000012</v>
      </c>
      <c r="R19" s="41">
        <f>F19/12*G19</f>
        <v>42.089760000000012</v>
      </c>
      <c r="S19" s="41">
        <f>F19/12*G19</f>
        <v>42.089760000000012</v>
      </c>
      <c r="T19" s="41">
        <f>F19/12*G19</f>
        <v>42.089760000000012</v>
      </c>
      <c r="U19" s="41">
        <f t="shared" si="1"/>
        <v>505.07712000000015</v>
      </c>
    </row>
    <row r="20" spans="1:21">
      <c r="A20" s="33" t="s">
        <v>35</v>
      </c>
      <c r="B20" s="10" t="s">
        <v>36</v>
      </c>
      <c r="C20" s="33" t="s">
        <v>30</v>
      </c>
      <c r="D20" s="10" t="s">
        <v>164</v>
      </c>
      <c r="E20" s="38">
        <v>21.6</v>
      </c>
      <c r="F20" s="39">
        <f>SUM(E20*12/100)</f>
        <v>2.5920000000000005</v>
      </c>
      <c r="G20" s="39">
        <v>520.79999999999995</v>
      </c>
      <c r="H20" s="40">
        <f t="shared" si="0"/>
        <v>1.3499136</v>
      </c>
      <c r="I20" s="41">
        <f>F20/12*G20</f>
        <v>112.49280000000002</v>
      </c>
      <c r="J20" s="41">
        <f>F20/12*G20</f>
        <v>112.49280000000002</v>
      </c>
      <c r="K20" s="41">
        <f>F20/12*G20</f>
        <v>112.49280000000002</v>
      </c>
      <c r="L20" s="41">
        <f>F20/12*G20</f>
        <v>112.49280000000002</v>
      </c>
      <c r="M20" s="41">
        <f>F20/12*G20</f>
        <v>112.49280000000002</v>
      </c>
      <c r="N20" s="41">
        <f>F20/12*G20</f>
        <v>112.49280000000002</v>
      </c>
      <c r="O20" s="41">
        <f>F20/12*G20</f>
        <v>112.49280000000002</v>
      </c>
      <c r="P20" s="41">
        <f>F20/12*G20</f>
        <v>112.49280000000002</v>
      </c>
      <c r="Q20" s="41">
        <f>F20/12*G20</f>
        <v>112.49280000000002</v>
      </c>
      <c r="R20" s="41">
        <f>F20/12*G20</f>
        <v>112.49280000000002</v>
      </c>
      <c r="S20" s="41">
        <f>F20/12*G20</f>
        <v>112.49280000000002</v>
      </c>
      <c r="T20" s="41">
        <f>F20/12*G20</f>
        <v>112.49280000000002</v>
      </c>
      <c r="U20" s="41">
        <f t="shared" si="1"/>
        <v>1349.9136000000001</v>
      </c>
    </row>
    <row r="21" spans="1:21" s="18" customFormat="1">
      <c r="A21" s="44"/>
      <c r="B21" s="19" t="s">
        <v>37</v>
      </c>
      <c r="C21" s="45"/>
      <c r="D21" s="19"/>
      <c r="E21" s="46"/>
      <c r="F21" s="47"/>
      <c r="G21" s="47"/>
      <c r="H21" s="48">
        <f>SUM(H11:H20)</f>
        <v>340.53148226399998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>
        <f>SUM(U11:U20)</f>
        <v>340531.48226399999</v>
      </c>
    </row>
    <row r="22" spans="1:21">
      <c r="A22" s="33"/>
      <c r="B22" s="11" t="s">
        <v>38</v>
      </c>
      <c r="C22" s="33"/>
      <c r="D22" s="10"/>
      <c r="E22" s="38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ht="25.5" customHeight="1">
      <c r="A23" s="33" t="s">
        <v>39</v>
      </c>
      <c r="B23" s="10" t="s">
        <v>40</v>
      </c>
      <c r="C23" s="33" t="s">
        <v>41</v>
      </c>
      <c r="D23" s="10" t="s">
        <v>42</v>
      </c>
      <c r="E23" s="39">
        <v>1168.05</v>
      </c>
      <c r="F23" s="39">
        <f>SUM(E23*52/1000)</f>
        <v>60.738599999999998</v>
      </c>
      <c r="G23" s="39">
        <v>155.88999999999999</v>
      </c>
      <c r="H23" s="40">
        <f t="shared" ref="H23:H31" si="2">SUM(F23*G23/1000)</f>
        <v>9.4685403539999982</v>
      </c>
      <c r="I23" s="41">
        <v>0</v>
      </c>
      <c r="J23" s="41">
        <v>0</v>
      </c>
      <c r="K23" s="41">
        <v>0</v>
      </c>
      <c r="L23" s="41">
        <v>0</v>
      </c>
      <c r="M23" s="41">
        <f>F23/6*G23</f>
        <v>1578.0900589999997</v>
      </c>
      <c r="N23" s="41">
        <f>F23/6*G23</f>
        <v>1578.0900589999997</v>
      </c>
      <c r="O23" s="41">
        <f>F23/6*G23</f>
        <v>1578.0900589999997</v>
      </c>
      <c r="P23" s="41">
        <f>F23/6*G23</f>
        <v>1578.0900589999997</v>
      </c>
      <c r="Q23" s="41">
        <f>F23/6*G23</f>
        <v>1578.0900589999997</v>
      </c>
      <c r="R23" s="41">
        <f>F23/6*G23</f>
        <v>1578.0900589999997</v>
      </c>
      <c r="S23" s="41">
        <v>0</v>
      </c>
      <c r="T23" s="41">
        <v>0</v>
      </c>
      <c r="U23" s="41">
        <f t="shared" ref="U23:U31" si="3">SUM(I23:T23)</f>
        <v>9468.5403539999988</v>
      </c>
    </row>
    <row r="24" spans="1:21" ht="38.25" customHeight="1">
      <c r="A24" s="33" t="s">
        <v>43</v>
      </c>
      <c r="B24" s="10" t="s">
        <v>44</v>
      </c>
      <c r="C24" s="33" t="s">
        <v>45</v>
      </c>
      <c r="D24" s="10" t="s">
        <v>46</v>
      </c>
      <c r="E24" s="39">
        <v>1039.2</v>
      </c>
      <c r="F24" s="39">
        <f>SUM(E24*78/1000)</f>
        <v>81.057600000000008</v>
      </c>
      <c r="G24" s="39">
        <v>258.63</v>
      </c>
      <c r="H24" s="40">
        <f t="shared" si="2"/>
        <v>20.963927088000002</v>
      </c>
      <c r="I24" s="41">
        <v>0</v>
      </c>
      <c r="J24" s="41">
        <v>0</v>
      </c>
      <c r="K24" s="41">
        <v>0</v>
      </c>
      <c r="L24" s="41">
        <v>0</v>
      </c>
      <c r="M24" s="41">
        <f>F24/6*G24</f>
        <v>3493.9878480000002</v>
      </c>
      <c r="N24" s="41">
        <f>F24/6*G24</f>
        <v>3493.9878480000002</v>
      </c>
      <c r="O24" s="41">
        <f>F24/6*G24</f>
        <v>3493.9878480000002</v>
      </c>
      <c r="P24" s="41">
        <f>F24/6*G24</f>
        <v>3493.9878480000002</v>
      </c>
      <c r="Q24" s="41">
        <f>F24/6*G24</f>
        <v>3493.9878480000002</v>
      </c>
      <c r="R24" s="41">
        <f>F24/6*G24</f>
        <v>3493.9878480000002</v>
      </c>
      <c r="S24" s="41">
        <v>0</v>
      </c>
      <c r="T24" s="41">
        <v>0</v>
      </c>
      <c r="U24" s="41">
        <f t="shared" si="3"/>
        <v>20963.927088</v>
      </c>
    </row>
    <row r="25" spans="1:21">
      <c r="A25" s="33" t="s">
        <v>47</v>
      </c>
      <c r="B25" s="10" t="s">
        <v>48</v>
      </c>
      <c r="C25" s="33" t="s">
        <v>45</v>
      </c>
      <c r="D25" s="10" t="s">
        <v>49</v>
      </c>
      <c r="E25" s="39">
        <v>584.03</v>
      </c>
      <c r="F25" s="39">
        <f>SUM(E25/1000)</f>
        <v>0.58402999999999994</v>
      </c>
      <c r="G25" s="39">
        <v>3020.33</v>
      </c>
      <c r="H25" s="40">
        <f t="shared" si="2"/>
        <v>1.7639633298999997</v>
      </c>
      <c r="I25" s="41">
        <v>0</v>
      </c>
      <c r="J25" s="41">
        <v>0</v>
      </c>
      <c r="K25" s="41">
        <v>0</v>
      </c>
      <c r="L25" s="41">
        <v>0</v>
      </c>
      <c r="M25" s="41">
        <f>F25*G25</f>
        <v>1763.9633298999997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f t="shared" si="3"/>
        <v>1763.9633298999997</v>
      </c>
    </row>
    <row r="26" spans="1:21">
      <c r="A26" s="33" t="s">
        <v>160</v>
      </c>
      <c r="B26" s="10" t="s">
        <v>161</v>
      </c>
      <c r="C26" s="33" t="s">
        <v>100</v>
      </c>
      <c r="D26" s="10" t="s">
        <v>53</v>
      </c>
      <c r="E26" s="39">
        <v>6</v>
      </c>
      <c r="F26" s="39">
        <f>E26*155/100</f>
        <v>9.3000000000000007</v>
      </c>
      <c r="G26" s="39">
        <v>1302.02</v>
      </c>
      <c r="H26" s="40">
        <f>G26*F26/1000</f>
        <v>12.108786</v>
      </c>
      <c r="I26" s="41">
        <v>0</v>
      </c>
      <c r="J26" s="41">
        <v>0</v>
      </c>
      <c r="K26" s="41">
        <v>0</v>
      </c>
      <c r="L26" s="41">
        <v>0</v>
      </c>
      <c r="M26" s="41">
        <f>F26/6*G26</f>
        <v>2018.1310000000001</v>
      </c>
      <c r="N26" s="41">
        <f>F26/6*G26</f>
        <v>2018.1310000000001</v>
      </c>
      <c r="O26" s="41">
        <f>F26/6*G26</f>
        <v>2018.1310000000001</v>
      </c>
      <c r="P26" s="41">
        <f>F26/6*G26</f>
        <v>2018.1310000000001</v>
      </c>
      <c r="Q26" s="41">
        <f>F26/6*G26</f>
        <v>2018.1310000000001</v>
      </c>
      <c r="R26" s="41">
        <f>F26/6*G26</f>
        <v>2018.1310000000001</v>
      </c>
      <c r="S26" s="41">
        <v>0</v>
      </c>
      <c r="T26" s="41">
        <v>0</v>
      </c>
      <c r="U26" s="41">
        <f t="shared" si="3"/>
        <v>12108.786</v>
      </c>
    </row>
    <row r="27" spans="1:21">
      <c r="A27" s="33" t="s">
        <v>50</v>
      </c>
      <c r="B27" s="10" t="s">
        <v>51</v>
      </c>
      <c r="C27" s="33" t="s">
        <v>52</v>
      </c>
      <c r="D27" s="10" t="s">
        <v>53</v>
      </c>
      <c r="E27" s="51">
        <v>0.33333333333333331</v>
      </c>
      <c r="F27" s="39">
        <f>155/3</f>
        <v>51.666666666666664</v>
      </c>
      <c r="G27" s="39">
        <v>56.69</v>
      </c>
      <c r="H27" s="40">
        <f>SUM(G27*155/3/1000)</f>
        <v>2.9289833333333331</v>
      </c>
      <c r="I27" s="41">
        <v>0</v>
      </c>
      <c r="J27" s="41">
        <v>0</v>
      </c>
      <c r="K27" s="41">
        <v>0</v>
      </c>
      <c r="L27" s="41">
        <v>0</v>
      </c>
      <c r="M27" s="41">
        <f>F27/6*G27</f>
        <v>488.16388888888883</v>
      </c>
      <c r="N27" s="41">
        <f>F27/6*G27</f>
        <v>488.16388888888883</v>
      </c>
      <c r="O27" s="41">
        <f>F27/6*G27</f>
        <v>488.16388888888883</v>
      </c>
      <c r="P27" s="41">
        <f>F27/6*G27</f>
        <v>488.16388888888883</v>
      </c>
      <c r="Q27" s="41">
        <f>F27/6*G27</f>
        <v>488.16388888888883</v>
      </c>
      <c r="R27" s="41">
        <f>F27/6*G27</f>
        <v>488.16388888888883</v>
      </c>
      <c r="S27" s="41">
        <v>0</v>
      </c>
      <c r="T27" s="41">
        <v>0</v>
      </c>
      <c r="U27" s="41">
        <f t="shared" si="3"/>
        <v>2928.9833333333331</v>
      </c>
    </row>
    <row r="28" spans="1:21" ht="12.75" customHeight="1">
      <c r="A28" s="33" t="s">
        <v>54</v>
      </c>
      <c r="B28" s="10" t="s">
        <v>55</v>
      </c>
      <c r="C28" s="33" t="s">
        <v>56</v>
      </c>
      <c r="D28" s="10" t="s">
        <v>57</v>
      </c>
      <c r="E28" s="52">
        <v>0.1</v>
      </c>
      <c r="F28" s="39">
        <f>SUM(E28*365)</f>
        <v>36.5</v>
      </c>
      <c r="G28" s="39">
        <v>147.03</v>
      </c>
      <c r="H28" s="40">
        <f t="shared" si="2"/>
        <v>5.3665950000000002</v>
      </c>
      <c r="I28" s="41">
        <f>F28/12*G28</f>
        <v>447.21625</v>
      </c>
      <c r="J28" s="41">
        <f>F28/12*G28</f>
        <v>447.21625</v>
      </c>
      <c r="K28" s="41">
        <f>F28/12*G28</f>
        <v>447.21625</v>
      </c>
      <c r="L28" s="41">
        <f>F28/12*G28</f>
        <v>447.21625</v>
      </c>
      <c r="M28" s="41">
        <f>F28/12*G28</f>
        <v>447.21625</v>
      </c>
      <c r="N28" s="41">
        <f>F28/12*G28</f>
        <v>447.21625</v>
      </c>
      <c r="O28" s="41">
        <f>F28/12*G28</f>
        <v>447.21625</v>
      </c>
      <c r="P28" s="41">
        <f>F28/12*G28</f>
        <v>447.21625</v>
      </c>
      <c r="Q28" s="41">
        <f>F28/12*G28</f>
        <v>447.21625</v>
      </c>
      <c r="R28" s="41">
        <f>F28/12*G28</f>
        <v>447.21625</v>
      </c>
      <c r="S28" s="41">
        <f>F28/12*G28</f>
        <v>447.21625</v>
      </c>
      <c r="T28" s="41">
        <f>F28/12*G28</f>
        <v>447.21625</v>
      </c>
      <c r="U28" s="41">
        <f t="shared" si="3"/>
        <v>5366.5950000000012</v>
      </c>
    </row>
    <row r="29" spans="1:21" ht="12.75" customHeight="1">
      <c r="A29" s="33" t="s">
        <v>59</v>
      </c>
      <c r="B29" s="10" t="s">
        <v>60</v>
      </c>
      <c r="C29" s="33" t="s">
        <v>56</v>
      </c>
      <c r="D29" s="10" t="s">
        <v>58</v>
      </c>
      <c r="E29" s="38"/>
      <c r="F29" s="39">
        <v>4</v>
      </c>
      <c r="G29" s="39">
        <v>180.15</v>
      </c>
      <c r="H29" s="40">
        <f t="shared" si="2"/>
        <v>0.72060000000000002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f t="shared" si="3"/>
        <v>0</v>
      </c>
    </row>
    <row r="30" spans="1:21" ht="13.5" customHeight="1">
      <c r="A30" s="33" t="s">
        <v>61</v>
      </c>
      <c r="B30" s="10" t="s">
        <v>62</v>
      </c>
      <c r="C30" s="33" t="s">
        <v>63</v>
      </c>
      <c r="D30" s="10" t="s">
        <v>58</v>
      </c>
      <c r="E30" s="38"/>
      <c r="F30" s="39">
        <v>3</v>
      </c>
      <c r="G30" s="39">
        <v>1136.33</v>
      </c>
      <c r="H30" s="40">
        <f t="shared" si="2"/>
        <v>3.4089899999999997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f t="shared" si="3"/>
        <v>0</v>
      </c>
    </row>
    <row r="31" spans="1:21">
      <c r="A31" s="33"/>
      <c r="B31" s="53" t="s">
        <v>64</v>
      </c>
      <c r="C31" s="33" t="s">
        <v>65</v>
      </c>
      <c r="D31" s="53" t="s">
        <v>66</v>
      </c>
      <c r="E31" s="38">
        <v>6980.3</v>
      </c>
      <c r="F31" s="39">
        <f>SUM(E31*12)</f>
        <v>83763.600000000006</v>
      </c>
      <c r="G31" s="39">
        <v>4.4000000000000004</v>
      </c>
      <c r="H31" s="40">
        <f t="shared" si="2"/>
        <v>368.55984000000007</v>
      </c>
      <c r="I31" s="41">
        <f>F31/12*G31</f>
        <v>30713.320000000003</v>
      </c>
      <c r="J31" s="41">
        <f>F31/12*G31</f>
        <v>30713.320000000003</v>
      </c>
      <c r="K31" s="41">
        <f>F31/12*G31</f>
        <v>30713.320000000003</v>
      </c>
      <c r="L31" s="41">
        <f>F31/12*G31</f>
        <v>30713.320000000003</v>
      </c>
      <c r="M31" s="41">
        <f>F31/12*G31</f>
        <v>30713.320000000003</v>
      </c>
      <c r="N31" s="41">
        <f>F31/12*G31</f>
        <v>30713.320000000003</v>
      </c>
      <c r="O31" s="41">
        <f>F31/12*G31</f>
        <v>30713.320000000003</v>
      </c>
      <c r="P31" s="41">
        <f>F31/12*G31</f>
        <v>30713.320000000003</v>
      </c>
      <c r="Q31" s="41">
        <f>F31/12*G31</f>
        <v>30713.320000000003</v>
      </c>
      <c r="R31" s="41">
        <f>F31/12*G31</f>
        <v>30713.320000000003</v>
      </c>
      <c r="S31" s="41">
        <f>F31/12*G31</f>
        <v>30713.320000000003</v>
      </c>
      <c r="T31" s="41">
        <f>F31/12*G31</f>
        <v>30713.320000000003</v>
      </c>
      <c r="U31" s="41">
        <f t="shared" si="3"/>
        <v>368559.84</v>
      </c>
    </row>
    <row r="32" spans="1:21" s="18" customFormat="1">
      <c r="A32" s="44"/>
      <c r="B32" s="19" t="s">
        <v>37</v>
      </c>
      <c r="C32" s="45"/>
      <c r="D32" s="19"/>
      <c r="E32" s="46"/>
      <c r="F32" s="47"/>
      <c r="G32" s="47"/>
      <c r="H32" s="54">
        <f>SUM(H23:H31)</f>
        <v>425.29022510523339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>
        <f>SUM(U23:U31)</f>
        <v>421160.63510523335</v>
      </c>
    </row>
    <row r="33" spans="1:21">
      <c r="A33" s="33"/>
      <c r="B33" s="11" t="s">
        <v>67</v>
      </c>
      <c r="C33" s="33"/>
      <c r="D33" s="10"/>
      <c r="E33" s="38"/>
      <c r="F33" s="39"/>
      <c r="G33" s="39"/>
      <c r="H33" s="40" t="s">
        <v>66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25.5">
      <c r="A34" s="33" t="s">
        <v>61</v>
      </c>
      <c r="B34" s="12" t="s">
        <v>68</v>
      </c>
      <c r="C34" s="33" t="s">
        <v>63</v>
      </c>
      <c r="D34" s="10"/>
      <c r="E34" s="38"/>
      <c r="F34" s="39">
        <v>10</v>
      </c>
      <c r="G34" s="39">
        <v>1527.22</v>
      </c>
      <c r="H34" s="40">
        <f t="shared" ref="H34:H41" si="4">SUM(F34*G34/1000)</f>
        <v>15.272200000000002</v>
      </c>
      <c r="I34" s="41">
        <f>F34/6*G34</f>
        <v>2545.3666666666668</v>
      </c>
      <c r="J34" s="41">
        <f>F34/6*G34</f>
        <v>2545.3666666666668</v>
      </c>
      <c r="K34" s="41">
        <f>F34/6*G34</f>
        <v>2545.3666666666668</v>
      </c>
      <c r="L34" s="41">
        <f>F34/6*G34</f>
        <v>2545.3666666666668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f>F34/6*G34</f>
        <v>2545.3666666666668</v>
      </c>
      <c r="T34" s="41">
        <f>F34/6*G34</f>
        <v>2545.3666666666668</v>
      </c>
      <c r="U34" s="41">
        <f t="shared" ref="U34:U41" si="5">SUM(I34:T34)</f>
        <v>15272.2</v>
      </c>
    </row>
    <row r="35" spans="1:21">
      <c r="A35" s="33" t="s">
        <v>69</v>
      </c>
      <c r="B35" s="10" t="s">
        <v>70</v>
      </c>
      <c r="C35" s="33" t="s">
        <v>56</v>
      </c>
      <c r="D35" s="10"/>
      <c r="E35" s="38"/>
      <c r="F35" s="55">
        <v>10</v>
      </c>
      <c r="G35" s="39">
        <v>77.94</v>
      </c>
      <c r="H35" s="40">
        <f>G35*F35/1000</f>
        <v>0.77939999999999998</v>
      </c>
      <c r="I35" s="41">
        <f>F35/6*G35</f>
        <v>129.9</v>
      </c>
      <c r="J35" s="41">
        <f>F35/6*G35</f>
        <v>129.9</v>
      </c>
      <c r="K35" s="41">
        <f>F35/6*G35</f>
        <v>129.9</v>
      </c>
      <c r="L35" s="41">
        <f>F35/6*G35</f>
        <v>129.9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f>F35/6*G35</f>
        <v>129.9</v>
      </c>
      <c r="T35" s="41">
        <f>F35/6*G35</f>
        <v>129.9</v>
      </c>
      <c r="U35" s="41">
        <f t="shared" si="5"/>
        <v>779.4</v>
      </c>
    </row>
    <row r="36" spans="1:21" ht="25.5">
      <c r="A36" s="56" t="s">
        <v>71</v>
      </c>
      <c r="B36" s="12" t="s">
        <v>150</v>
      </c>
      <c r="C36" s="56" t="s">
        <v>72</v>
      </c>
      <c r="D36" s="10" t="s">
        <v>165</v>
      </c>
      <c r="E36" s="38">
        <v>1039.2</v>
      </c>
      <c r="F36" s="55">
        <f>E36*25/1000</f>
        <v>25.98</v>
      </c>
      <c r="G36" s="39">
        <v>2102.71</v>
      </c>
      <c r="H36" s="40">
        <f>G36*F36/1000</f>
        <v>54.628405800000003</v>
      </c>
      <c r="I36" s="41">
        <f>F36/6*G36</f>
        <v>9104.7343000000001</v>
      </c>
      <c r="J36" s="41">
        <f>F36/6*G36</f>
        <v>9104.7343000000001</v>
      </c>
      <c r="K36" s="41">
        <f>F36/6*G36</f>
        <v>9104.7343000000001</v>
      </c>
      <c r="L36" s="41">
        <f>F36/6*G36</f>
        <v>9104.7343000000001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f>F36/6*G36</f>
        <v>9104.7343000000001</v>
      </c>
      <c r="T36" s="41">
        <f>F36/6*G36</f>
        <v>9104.7343000000001</v>
      </c>
      <c r="U36" s="41">
        <f t="shared" si="5"/>
        <v>54628.405799999993</v>
      </c>
    </row>
    <row r="37" spans="1:21">
      <c r="A37" s="33" t="s">
        <v>61</v>
      </c>
      <c r="B37" s="10" t="s">
        <v>158</v>
      </c>
      <c r="C37" s="33" t="s">
        <v>111</v>
      </c>
      <c r="D37" s="10" t="s">
        <v>58</v>
      </c>
      <c r="E37" s="38"/>
      <c r="F37" s="55">
        <v>50</v>
      </c>
      <c r="G37" s="39">
        <v>213.2</v>
      </c>
      <c r="H37" s="40">
        <f>G37*F37/1000</f>
        <v>10.66</v>
      </c>
      <c r="I37" s="41">
        <f>0</f>
        <v>0</v>
      </c>
      <c r="J37" s="41">
        <v>0</v>
      </c>
      <c r="K37" s="41">
        <f>0</f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f t="shared" si="5"/>
        <v>0</v>
      </c>
    </row>
    <row r="38" spans="1:21" ht="24.75" customHeight="1">
      <c r="A38" s="33" t="s">
        <v>73</v>
      </c>
      <c r="B38" s="10" t="s">
        <v>74</v>
      </c>
      <c r="C38" s="33" t="s">
        <v>72</v>
      </c>
      <c r="D38" s="10" t="s">
        <v>75</v>
      </c>
      <c r="E38" s="39">
        <v>153</v>
      </c>
      <c r="F38" s="55">
        <f>SUM(E38*155/1000)</f>
        <v>23.715</v>
      </c>
      <c r="G38" s="39">
        <v>350.75</v>
      </c>
      <c r="H38" s="40">
        <f t="shared" si="4"/>
        <v>8.3180362499999987</v>
      </c>
      <c r="I38" s="41">
        <f>F38/6*G38</f>
        <v>1386.339375</v>
      </c>
      <c r="J38" s="41">
        <f>F38/6*G38</f>
        <v>1386.339375</v>
      </c>
      <c r="K38" s="41">
        <f>F38/6*G38</f>
        <v>1386.339375</v>
      </c>
      <c r="L38" s="41">
        <f>F38/6*G38</f>
        <v>1386.339375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f>F38/6*G38</f>
        <v>1386.339375</v>
      </c>
      <c r="T38" s="41">
        <f>F38/6*G38</f>
        <v>1386.339375</v>
      </c>
      <c r="U38" s="41">
        <f t="shared" si="5"/>
        <v>8318.0362499999992</v>
      </c>
    </row>
    <row r="39" spans="1:21" ht="51" customHeight="1">
      <c r="A39" s="33" t="s">
        <v>76</v>
      </c>
      <c r="B39" s="10" t="s">
        <v>77</v>
      </c>
      <c r="C39" s="33" t="s">
        <v>45</v>
      </c>
      <c r="D39" s="10" t="s">
        <v>162</v>
      </c>
      <c r="E39" s="39">
        <v>24</v>
      </c>
      <c r="F39" s="55">
        <f>SUM(E39*50/1000)</f>
        <v>1.2</v>
      </c>
      <c r="G39" s="39">
        <v>5803.28</v>
      </c>
      <c r="H39" s="40">
        <f t="shared" si="4"/>
        <v>6.9639359999999995</v>
      </c>
      <c r="I39" s="41">
        <f>F39/6*G39</f>
        <v>1160.6559999999999</v>
      </c>
      <c r="J39" s="41">
        <f>F39/6*G39</f>
        <v>1160.6559999999999</v>
      </c>
      <c r="K39" s="41">
        <f>F39/6*G39</f>
        <v>1160.6559999999999</v>
      </c>
      <c r="L39" s="41">
        <f>F39/6*G39</f>
        <v>1160.6559999999999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f>F39/6*G39</f>
        <v>1160.6559999999999</v>
      </c>
      <c r="T39" s="41">
        <f>F39/6*G39</f>
        <v>1160.6559999999999</v>
      </c>
      <c r="U39" s="41">
        <f t="shared" si="5"/>
        <v>6963.9359999999997</v>
      </c>
    </row>
    <row r="40" spans="1:21" ht="27" customHeight="1">
      <c r="A40" s="33" t="s">
        <v>78</v>
      </c>
      <c r="B40" s="10" t="s">
        <v>79</v>
      </c>
      <c r="C40" s="33" t="s">
        <v>45</v>
      </c>
      <c r="D40" s="10" t="s">
        <v>80</v>
      </c>
      <c r="E40" s="39">
        <v>153</v>
      </c>
      <c r="F40" s="55">
        <f>SUM(E40*45/1000)</f>
        <v>6.8849999999999998</v>
      </c>
      <c r="G40" s="39">
        <v>428.7</v>
      </c>
      <c r="H40" s="40">
        <f t="shared" si="4"/>
        <v>2.9515994999999999</v>
      </c>
      <c r="I40" s="41">
        <f>F40/6*G40</f>
        <v>491.93324999999999</v>
      </c>
      <c r="J40" s="41">
        <f>F40/6*G40</f>
        <v>491.93324999999999</v>
      </c>
      <c r="K40" s="41">
        <f>F40/6*G40</f>
        <v>491.93324999999999</v>
      </c>
      <c r="L40" s="41">
        <f>F40/6*G40</f>
        <v>491.93324999999999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f>F40/6*G40</f>
        <v>491.93324999999999</v>
      </c>
      <c r="T40" s="41">
        <f>F40/6*G40</f>
        <v>491.93324999999999</v>
      </c>
      <c r="U40" s="41">
        <f t="shared" si="5"/>
        <v>2951.5994999999998</v>
      </c>
    </row>
    <row r="41" spans="1:21" s="1" customFormat="1">
      <c r="A41" s="56"/>
      <c r="B41" s="12" t="s">
        <v>81</v>
      </c>
      <c r="C41" s="56" t="s">
        <v>56</v>
      </c>
      <c r="D41" s="12"/>
      <c r="E41" s="52"/>
      <c r="F41" s="55">
        <v>0.9</v>
      </c>
      <c r="G41" s="55">
        <v>798</v>
      </c>
      <c r="H41" s="40">
        <f t="shared" si="4"/>
        <v>0.71820000000000006</v>
      </c>
      <c r="I41" s="57">
        <f>F41/6*G41</f>
        <v>119.69999999999999</v>
      </c>
      <c r="J41" s="57">
        <f>F41/6*G41</f>
        <v>119.69999999999999</v>
      </c>
      <c r="K41" s="57">
        <f>F41/6*G41</f>
        <v>119.69999999999999</v>
      </c>
      <c r="L41" s="57">
        <f>F41/6*G41</f>
        <v>119.69999999999999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f>F41/6*G41</f>
        <v>119.69999999999999</v>
      </c>
      <c r="T41" s="57">
        <f>F41/6*G41</f>
        <v>119.69999999999999</v>
      </c>
      <c r="U41" s="41">
        <f t="shared" si="5"/>
        <v>718.2</v>
      </c>
    </row>
    <row r="42" spans="1:21" s="18" customFormat="1">
      <c r="A42" s="44"/>
      <c r="B42" s="19" t="s">
        <v>37</v>
      </c>
      <c r="C42" s="45"/>
      <c r="D42" s="19"/>
      <c r="E42" s="46"/>
      <c r="F42" s="47" t="s">
        <v>66</v>
      </c>
      <c r="G42" s="47"/>
      <c r="H42" s="54">
        <f>SUM(H34:H41)</f>
        <v>100.29177755000001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>
        <f>SUM(U34:U41)</f>
        <v>89631.777549999999</v>
      </c>
    </row>
    <row r="43" spans="1:21">
      <c r="A43" s="33"/>
      <c r="B43" s="13" t="s">
        <v>82</v>
      </c>
      <c r="C43" s="33"/>
      <c r="D43" s="10"/>
      <c r="E43" s="38"/>
      <c r="F43" s="39"/>
      <c r="G43" s="39"/>
      <c r="H43" s="40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1:21">
      <c r="A44" s="33" t="s">
        <v>166</v>
      </c>
      <c r="B44" s="10" t="s">
        <v>167</v>
      </c>
      <c r="C44" s="33" t="s">
        <v>45</v>
      </c>
      <c r="D44" s="10" t="s">
        <v>83</v>
      </c>
      <c r="E44" s="38">
        <v>1895</v>
      </c>
      <c r="F44" s="39">
        <f>SUM(E44*2/1000)</f>
        <v>3.79</v>
      </c>
      <c r="G44" s="58">
        <v>849.49</v>
      </c>
      <c r="H44" s="40">
        <f t="shared" ref="H44:H52" si="6">SUM(F44*G44/1000)</f>
        <v>3.2195671000000003</v>
      </c>
      <c r="I44" s="41">
        <v>0</v>
      </c>
      <c r="J44" s="41">
        <v>0</v>
      </c>
      <c r="K44" s="41">
        <v>0</v>
      </c>
      <c r="L44" s="41">
        <f>F44/2*G44</f>
        <v>1609.7835500000001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f>F44/2*G44</f>
        <v>1609.7835500000001</v>
      </c>
      <c r="S44" s="41">
        <v>0</v>
      </c>
      <c r="T44" s="41">
        <v>0</v>
      </c>
      <c r="U44" s="41">
        <f t="shared" ref="U44:U53" si="7">SUM(I44:T44)</f>
        <v>3219.5671000000002</v>
      </c>
    </row>
    <row r="45" spans="1:21">
      <c r="A45" s="33" t="s">
        <v>84</v>
      </c>
      <c r="B45" s="10" t="s">
        <v>85</v>
      </c>
      <c r="C45" s="33" t="s">
        <v>45</v>
      </c>
      <c r="D45" s="10" t="s">
        <v>83</v>
      </c>
      <c r="E45" s="38">
        <v>118.2</v>
      </c>
      <c r="F45" s="39">
        <f>E45*2/1000</f>
        <v>0.2364</v>
      </c>
      <c r="G45" s="58">
        <v>579.48</v>
      </c>
      <c r="H45" s="40">
        <f t="shared" si="6"/>
        <v>0.13698907199999999</v>
      </c>
      <c r="I45" s="41">
        <v>0</v>
      </c>
      <c r="J45" s="41">
        <v>0</v>
      </c>
      <c r="K45" s="41">
        <v>0</v>
      </c>
      <c r="L45" s="41">
        <f>F45/2*G45</f>
        <v>68.494535999999997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f>F45/2*G45</f>
        <v>68.494535999999997</v>
      </c>
      <c r="S45" s="41">
        <v>0</v>
      </c>
      <c r="T45" s="41">
        <v>0</v>
      </c>
      <c r="U45" s="41">
        <f t="shared" si="7"/>
        <v>136.98907199999999</v>
      </c>
    </row>
    <row r="46" spans="1:21" ht="25.5">
      <c r="A46" s="33" t="s">
        <v>86</v>
      </c>
      <c r="B46" s="10" t="s">
        <v>87</v>
      </c>
      <c r="C46" s="33" t="s">
        <v>45</v>
      </c>
      <c r="D46" s="10" t="s">
        <v>83</v>
      </c>
      <c r="E46" s="38">
        <v>4675</v>
      </c>
      <c r="F46" s="39">
        <f>SUM(E46*2/1000)</f>
        <v>9.35</v>
      </c>
      <c r="G46" s="58">
        <v>579.48</v>
      </c>
      <c r="H46" s="40">
        <f t="shared" si="6"/>
        <v>5.4181379999999999</v>
      </c>
      <c r="I46" s="41">
        <v>0</v>
      </c>
      <c r="J46" s="41">
        <v>0</v>
      </c>
      <c r="K46" s="41">
        <v>0</v>
      </c>
      <c r="L46" s="41">
        <f>F46/2*G46</f>
        <v>2709.069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f>F46/2*G46</f>
        <v>2709.069</v>
      </c>
      <c r="S46" s="41">
        <v>0</v>
      </c>
      <c r="T46" s="41">
        <v>0</v>
      </c>
      <c r="U46" s="41">
        <f t="shared" si="7"/>
        <v>5418.1379999999999</v>
      </c>
    </row>
    <row r="47" spans="1:21">
      <c r="A47" s="33" t="s">
        <v>88</v>
      </c>
      <c r="B47" s="10" t="s">
        <v>89</v>
      </c>
      <c r="C47" s="33" t="s">
        <v>45</v>
      </c>
      <c r="D47" s="10" t="s">
        <v>83</v>
      </c>
      <c r="E47" s="38">
        <v>4675</v>
      </c>
      <c r="F47" s="39">
        <f>SUM(E47*2/1000)</f>
        <v>9.35</v>
      </c>
      <c r="G47" s="58">
        <v>606.77</v>
      </c>
      <c r="H47" s="40">
        <f t="shared" si="6"/>
        <v>5.6732994999999988</v>
      </c>
      <c r="I47" s="41">
        <v>0</v>
      </c>
      <c r="J47" s="41">
        <v>0</v>
      </c>
      <c r="K47" s="41">
        <v>0</v>
      </c>
      <c r="L47" s="41">
        <f>F47/2*G47</f>
        <v>2836.6497499999996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f>F47/2*G47</f>
        <v>2836.6497499999996</v>
      </c>
      <c r="S47" s="41">
        <v>0</v>
      </c>
      <c r="T47" s="41">
        <v>0</v>
      </c>
      <c r="U47" s="41">
        <f t="shared" si="7"/>
        <v>5673.2994999999992</v>
      </c>
    </row>
    <row r="48" spans="1:21" ht="25.5">
      <c r="A48" s="33" t="s">
        <v>90</v>
      </c>
      <c r="B48" s="10" t="s">
        <v>91</v>
      </c>
      <c r="C48" s="33" t="s">
        <v>45</v>
      </c>
      <c r="D48" s="10" t="s">
        <v>92</v>
      </c>
      <c r="E48" s="38">
        <v>3988</v>
      </c>
      <c r="F48" s="39">
        <f>SUM(E48*5/1000)</f>
        <v>19.940000000000001</v>
      </c>
      <c r="G48" s="58">
        <v>1142.7</v>
      </c>
      <c r="H48" s="40">
        <f t="shared" si="6"/>
        <v>22.785438000000003</v>
      </c>
      <c r="I48" s="41">
        <f>F48/5*G48</f>
        <v>4557.0876000000007</v>
      </c>
      <c r="J48" s="41">
        <f>F48/5*G48</f>
        <v>4557.0876000000007</v>
      </c>
      <c r="K48" s="41">
        <v>0</v>
      </c>
      <c r="L48" s="41">
        <v>0</v>
      </c>
      <c r="M48" s="41">
        <f>F48/5*G48</f>
        <v>4557.0876000000007</v>
      </c>
      <c r="N48" s="41">
        <v>0</v>
      </c>
      <c r="O48" s="41">
        <v>0</v>
      </c>
      <c r="P48" s="41">
        <v>0</v>
      </c>
      <c r="Q48" s="41">
        <f>F48/5*G48</f>
        <v>4557.0876000000007</v>
      </c>
      <c r="R48" s="41">
        <v>0</v>
      </c>
      <c r="S48" s="41">
        <v>0</v>
      </c>
      <c r="T48" s="41">
        <f>F48/5*G48</f>
        <v>4557.0876000000007</v>
      </c>
      <c r="U48" s="41">
        <f t="shared" si="7"/>
        <v>22785.438000000002</v>
      </c>
    </row>
    <row r="49" spans="1:21" ht="39.6" customHeight="1">
      <c r="A49" s="33" t="s">
        <v>93</v>
      </c>
      <c r="B49" s="10" t="s">
        <v>94</v>
      </c>
      <c r="C49" s="33" t="s">
        <v>45</v>
      </c>
      <c r="D49" s="10" t="s">
        <v>83</v>
      </c>
      <c r="E49" s="38">
        <v>3988</v>
      </c>
      <c r="F49" s="39">
        <f>SUM(E49*2/1000)</f>
        <v>7.976</v>
      </c>
      <c r="G49" s="58">
        <v>1213.55</v>
      </c>
      <c r="H49" s="40">
        <f t="shared" si="6"/>
        <v>9.6792748</v>
      </c>
      <c r="I49" s="41">
        <v>0</v>
      </c>
      <c r="J49" s="41">
        <f>F49/2*G49</f>
        <v>4839.6373999999996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f>F49/2*G49</f>
        <v>4839.6373999999996</v>
      </c>
      <c r="R49" s="41">
        <v>0</v>
      </c>
      <c r="S49" s="41">
        <v>0</v>
      </c>
      <c r="T49" s="41">
        <v>0</v>
      </c>
      <c r="U49" s="41">
        <f t="shared" si="7"/>
        <v>9679.2747999999992</v>
      </c>
    </row>
    <row r="50" spans="1:21" ht="28.9" customHeight="1">
      <c r="A50" s="33" t="s">
        <v>95</v>
      </c>
      <c r="B50" s="10" t="s">
        <v>96</v>
      </c>
      <c r="C50" s="33" t="s">
        <v>97</v>
      </c>
      <c r="D50" s="10" t="s">
        <v>83</v>
      </c>
      <c r="E50" s="38">
        <v>30</v>
      </c>
      <c r="F50" s="39">
        <f>SUM(E50*2/100)</f>
        <v>0.6</v>
      </c>
      <c r="G50" s="58">
        <v>2730.49</v>
      </c>
      <c r="H50" s="40">
        <f>SUM(F50*G50/1000)</f>
        <v>1.6382939999999999</v>
      </c>
      <c r="I50" s="41">
        <v>0</v>
      </c>
      <c r="J50" s="41">
        <f>F50/2*G50</f>
        <v>819.14699999999993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f>F50/2*G50</f>
        <v>819.14699999999993</v>
      </c>
      <c r="R50" s="41">
        <v>0</v>
      </c>
      <c r="S50" s="41">
        <v>0</v>
      </c>
      <c r="T50" s="41">
        <v>0</v>
      </c>
      <c r="U50" s="41">
        <f t="shared" si="7"/>
        <v>1638.2939999999999</v>
      </c>
    </row>
    <row r="51" spans="1:21">
      <c r="A51" s="33" t="s">
        <v>98</v>
      </c>
      <c r="B51" s="10" t="s">
        <v>99</v>
      </c>
      <c r="C51" s="33" t="s">
        <v>100</v>
      </c>
      <c r="D51" s="10" t="s">
        <v>83</v>
      </c>
      <c r="E51" s="38">
        <v>1</v>
      </c>
      <c r="F51" s="39">
        <v>0.02</v>
      </c>
      <c r="G51" s="58">
        <v>5652.13</v>
      </c>
      <c r="H51" s="40">
        <f t="shared" si="6"/>
        <v>0.11304260000000001</v>
      </c>
      <c r="I51" s="41">
        <v>0</v>
      </c>
      <c r="J51" s="41">
        <f>F51/2*G51</f>
        <v>56.521300000000004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f>F51/2*G51</f>
        <v>56.521300000000004</v>
      </c>
      <c r="R51" s="41">
        <v>0</v>
      </c>
      <c r="S51" s="41">
        <v>0</v>
      </c>
      <c r="T51" s="41">
        <v>0</v>
      </c>
      <c r="U51" s="41">
        <f t="shared" si="7"/>
        <v>113.04260000000001</v>
      </c>
    </row>
    <row r="52" spans="1:21" ht="13.5" customHeight="1">
      <c r="A52" s="33" t="s">
        <v>102</v>
      </c>
      <c r="B52" s="10" t="s">
        <v>103</v>
      </c>
      <c r="C52" s="33" t="s">
        <v>101</v>
      </c>
      <c r="D52" s="10" t="s">
        <v>193</v>
      </c>
      <c r="E52" s="38">
        <v>236</v>
      </c>
      <c r="F52" s="39">
        <f>SUM(E52)*3</f>
        <v>708</v>
      </c>
      <c r="G52" s="59">
        <v>65.67</v>
      </c>
      <c r="H52" s="40">
        <f t="shared" si="6"/>
        <v>46.49436</v>
      </c>
      <c r="I52" s="41">
        <v>0</v>
      </c>
      <c r="J52" s="41">
        <v>0</v>
      </c>
      <c r="K52" s="41">
        <v>0</v>
      </c>
      <c r="L52" s="41">
        <v>0</v>
      </c>
      <c r="M52" s="41">
        <f>E52*G52</f>
        <v>15498.12</v>
      </c>
      <c r="N52" s="41">
        <v>0</v>
      </c>
      <c r="O52" s="41">
        <v>0</v>
      </c>
      <c r="P52" s="41">
        <v>0</v>
      </c>
      <c r="Q52" s="41">
        <f>E52*G52</f>
        <v>15498.12</v>
      </c>
      <c r="R52" s="41">
        <v>0</v>
      </c>
      <c r="S52" s="41">
        <v>0</v>
      </c>
      <c r="T52" s="41">
        <v>0</v>
      </c>
      <c r="U52" s="41">
        <f t="shared" si="7"/>
        <v>30996.240000000002</v>
      </c>
    </row>
    <row r="53" spans="1:21" s="1" customFormat="1">
      <c r="A53" s="62"/>
      <c r="B53" s="12" t="s">
        <v>104</v>
      </c>
      <c r="C53" s="56"/>
      <c r="D53" s="10" t="s">
        <v>168</v>
      </c>
      <c r="E53" s="52"/>
      <c r="F53" s="55"/>
      <c r="G53" s="55">
        <v>5750</v>
      </c>
      <c r="H53" s="61">
        <f>G53/1000</f>
        <v>5.75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f t="shared" si="7"/>
        <v>0</v>
      </c>
    </row>
    <row r="54" spans="1:21" s="20" customFormat="1">
      <c r="A54" s="60"/>
      <c r="B54" s="19" t="s">
        <v>37</v>
      </c>
      <c r="C54" s="63"/>
      <c r="D54" s="19"/>
      <c r="E54" s="64"/>
      <c r="F54" s="65"/>
      <c r="G54" s="65"/>
      <c r="H54" s="54">
        <f>SUM(H44:H52)</f>
        <v>95.158403071999999</v>
      </c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>
        <f>SUM(U44:U52)</f>
        <v>79660.283072000006</v>
      </c>
    </row>
    <row r="55" spans="1:21">
      <c r="A55" s="33"/>
      <c r="B55" s="11" t="s">
        <v>105</v>
      </c>
      <c r="C55" s="33"/>
      <c r="D55" s="10"/>
      <c r="E55" s="38"/>
      <c r="F55" s="39"/>
      <c r="G55" s="39"/>
      <c r="H55" s="40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spans="1:21" ht="31.5" customHeight="1">
      <c r="A56" s="33" t="s">
        <v>107</v>
      </c>
      <c r="B56" s="10" t="s">
        <v>169</v>
      </c>
      <c r="C56" s="33" t="s">
        <v>14</v>
      </c>
      <c r="D56" s="10" t="s">
        <v>106</v>
      </c>
      <c r="E56" s="38">
        <v>30</v>
      </c>
      <c r="F56" s="39">
        <f>SUM(E56*6/100)</f>
        <v>1.8</v>
      </c>
      <c r="G56" s="58">
        <v>1547.28</v>
      </c>
      <c r="H56" s="40">
        <f>SUM(F56*G56/1000)</f>
        <v>2.785104</v>
      </c>
      <c r="I56" s="41">
        <f>F56/6*G56</f>
        <v>464.18399999999997</v>
      </c>
      <c r="J56" s="41">
        <f>F56/6*G56</f>
        <v>464.18399999999997</v>
      </c>
      <c r="K56" s="41">
        <f>F56/6*G56</f>
        <v>464.18399999999997</v>
      </c>
      <c r="L56" s="41">
        <f>F56/6*G56</f>
        <v>464.18399999999997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f>F56/6*G56</f>
        <v>464.18399999999997</v>
      </c>
      <c r="T56" s="41">
        <f>F56/6*G56</f>
        <v>464.18399999999997</v>
      </c>
      <c r="U56" s="41">
        <f>SUM(I56:T56)</f>
        <v>2785.1040000000003</v>
      </c>
    </row>
    <row r="57" spans="1:21" ht="12.75" customHeight="1">
      <c r="A57" s="67" t="s">
        <v>171</v>
      </c>
      <c r="B57" s="23" t="s">
        <v>172</v>
      </c>
      <c r="C57" s="67" t="s">
        <v>173</v>
      </c>
      <c r="D57" s="23" t="s">
        <v>83</v>
      </c>
      <c r="E57" s="68">
        <v>6</v>
      </c>
      <c r="F57" s="69">
        <v>12</v>
      </c>
      <c r="G57" s="58">
        <v>180.78</v>
      </c>
      <c r="H57" s="70">
        <f>G57*F57/1000</f>
        <v>2.1693600000000002</v>
      </c>
      <c r="I57" s="41">
        <f>F57/2*G57</f>
        <v>1084.68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f>SUM(I57:T57)</f>
        <v>1084.68</v>
      </c>
    </row>
    <row r="58" spans="1:21" ht="12.75" customHeight="1">
      <c r="A58" s="71" t="s">
        <v>174</v>
      </c>
      <c r="B58" s="23" t="s">
        <v>175</v>
      </c>
      <c r="C58" s="67" t="s">
        <v>30</v>
      </c>
      <c r="D58" s="23" t="s">
        <v>176</v>
      </c>
      <c r="E58" s="68">
        <v>6</v>
      </c>
      <c r="F58" s="69">
        <f>E58*4/100</f>
        <v>0.24</v>
      </c>
      <c r="G58" s="58">
        <v>1547.28</v>
      </c>
      <c r="H58" s="70">
        <f>G58*F58/1000</f>
        <v>0.37134719999999999</v>
      </c>
      <c r="I58" s="41">
        <v>0</v>
      </c>
      <c r="J58" s="41">
        <f>F58/6*G58</f>
        <v>61.891199999999998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f>SUM(I58:T58)</f>
        <v>61.891199999999998</v>
      </c>
    </row>
    <row r="59" spans="1:21" ht="12.75" customHeight="1">
      <c r="A59" s="67"/>
      <c r="B59" s="24" t="s">
        <v>108</v>
      </c>
      <c r="C59" s="67"/>
      <c r="D59" s="23"/>
      <c r="E59" s="68"/>
      <c r="F59" s="69"/>
      <c r="G59" s="58"/>
      <c r="H59" s="70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1" ht="12.75" customHeight="1">
      <c r="A60" s="67" t="s">
        <v>109</v>
      </c>
      <c r="B60" s="23" t="s">
        <v>170</v>
      </c>
      <c r="C60" s="67" t="s">
        <v>30</v>
      </c>
      <c r="D60" s="23" t="s">
        <v>49</v>
      </c>
      <c r="E60" s="68">
        <v>997</v>
      </c>
      <c r="F60" s="69">
        <v>9.9700000000000006</v>
      </c>
      <c r="G60" s="58">
        <v>793.61</v>
      </c>
      <c r="H60" s="70">
        <f>F60*G60/1000</f>
        <v>7.9122917000000008</v>
      </c>
      <c r="I60" s="41">
        <v>0</v>
      </c>
      <c r="J60" s="41">
        <v>0</v>
      </c>
      <c r="K60" s="41">
        <f>F60*G60</f>
        <v>7912.2917000000007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f>SUM(I60:T60)</f>
        <v>7912.2917000000007</v>
      </c>
    </row>
    <row r="61" spans="1:21" ht="12.75" customHeight="1">
      <c r="A61" s="67"/>
      <c r="B61" s="23" t="s">
        <v>163</v>
      </c>
      <c r="C61" s="67" t="s">
        <v>110</v>
      </c>
      <c r="D61" s="23" t="s">
        <v>159</v>
      </c>
      <c r="E61" s="68">
        <v>394</v>
      </c>
      <c r="F61" s="72">
        <f>E61*12</f>
        <v>4728</v>
      </c>
      <c r="G61" s="73">
        <v>2.6</v>
      </c>
      <c r="H61" s="69">
        <f>F61*G61/1000</f>
        <v>12.292800000000002</v>
      </c>
      <c r="I61" s="41">
        <f>F61/12*G61</f>
        <v>1024.4000000000001</v>
      </c>
      <c r="J61" s="41">
        <f>F61/12*G61</f>
        <v>1024.4000000000001</v>
      </c>
      <c r="K61" s="41">
        <f>F61/12*G61</f>
        <v>1024.4000000000001</v>
      </c>
      <c r="L61" s="41">
        <f>F61/12*G61</f>
        <v>1024.4000000000001</v>
      </c>
      <c r="M61" s="41">
        <f>F61/12*G61</f>
        <v>1024.4000000000001</v>
      </c>
      <c r="N61" s="41">
        <f>F61/12*G61</f>
        <v>1024.4000000000001</v>
      </c>
      <c r="O61" s="41">
        <f>F61/12*G61</f>
        <v>1024.4000000000001</v>
      </c>
      <c r="P61" s="41">
        <f>F61/12*G61</f>
        <v>1024.4000000000001</v>
      </c>
      <c r="Q61" s="41">
        <f>F61/12*G61</f>
        <v>1024.4000000000001</v>
      </c>
      <c r="R61" s="41">
        <f>F61/12*G61</f>
        <v>1024.4000000000001</v>
      </c>
      <c r="S61" s="41">
        <f>F61/12*G61</f>
        <v>1024.4000000000001</v>
      </c>
      <c r="T61" s="41">
        <f>F61/12*G61</f>
        <v>1024.4000000000001</v>
      </c>
      <c r="U61" s="41">
        <f>SUM(I61:T61)</f>
        <v>12292.799999999997</v>
      </c>
    </row>
    <row r="62" spans="1:21">
      <c r="A62" s="67"/>
      <c r="B62" s="14" t="s">
        <v>112</v>
      </c>
      <c r="C62" s="67"/>
      <c r="D62" s="23"/>
      <c r="E62" s="68"/>
      <c r="F62" s="72"/>
      <c r="G62" s="72"/>
      <c r="H62" s="69" t="s">
        <v>66</v>
      </c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  <row r="63" spans="1:21" ht="20.25" customHeight="1">
      <c r="A63" s="74" t="s">
        <v>113</v>
      </c>
      <c r="B63" s="15" t="s">
        <v>114</v>
      </c>
      <c r="C63" s="74" t="s">
        <v>101</v>
      </c>
      <c r="D63" s="8" t="s">
        <v>58</v>
      </c>
      <c r="E63" s="75">
        <v>15</v>
      </c>
      <c r="F63" s="39">
        <v>15</v>
      </c>
      <c r="G63" s="58">
        <v>222.4</v>
      </c>
      <c r="H63" s="137">
        <f t="shared" ref="H63:H76" si="8">SUM(F63*G63/1000)</f>
        <v>3.3359999999999999</v>
      </c>
      <c r="I63" s="41">
        <f>G63</f>
        <v>222.4</v>
      </c>
      <c r="J63" s="41">
        <f>G63</f>
        <v>222.4</v>
      </c>
      <c r="K63" s="41">
        <f>G63</f>
        <v>222.4</v>
      </c>
      <c r="L63" s="41">
        <v>0</v>
      </c>
      <c r="M63" s="41">
        <v>0</v>
      </c>
      <c r="N63" s="41">
        <f>G63*5</f>
        <v>1112</v>
      </c>
      <c r="O63" s="41">
        <f>G63*2</f>
        <v>444.8</v>
      </c>
      <c r="P63" s="41">
        <f>G63*7</f>
        <v>1556.8</v>
      </c>
      <c r="Q63" s="41">
        <f>G63*5</f>
        <v>1112</v>
      </c>
      <c r="R63" s="41">
        <f>G63*2</f>
        <v>444.8</v>
      </c>
      <c r="S63" s="41">
        <f>G63*4</f>
        <v>889.6</v>
      </c>
      <c r="T63" s="41">
        <f>G63*9</f>
        <v>2001.6000000000001</v>
      </c>
      <c r="U63" s="41">
        <f t="shared" ref="U63:U70" si="9">SUM(I63:T63)</f>
        <v>8228.8000000000011</v>
      </c>
    </row>
    <row r="64" spans="1:21" ht="12.75" customHeight="1">
      <c r="A64" s="74" t="s">
        <v>115</v>
      </c>
      <c r="B64" s="15" t="s">
        <v>116</v>
      </c>
      <c r="C64" s="74" t="s">
        <v>101</v>
      </c>
      <c r="D64" s="8" t="s">
        <v>58</v>
      </c>
      <c r="E64" s="75">
        <v>10</v>
      </c>
      <c r="F64" s="39">
        <v>10</v>
      </c>
      <c r="G64" s="58">
        <v>76.25</v>
      </c>
      <c r="H64" s="137">
        <f t="shared" si="8"/>
        <v>0.76249999999999996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f>G64*4</f>
        <v>305</v>
      </c>
      <c r="R64" s="41">
        <f>G64*5</f>
        <v>381.25</v>
      </c>
      <c r="S64" s="41">
        <v>0</v>
      </c>
      <c r="T64" s="41">
        <v>0</v>
      </c>
      <c r="U64" s="41">
        <f t="shared" si="9"/>
        <v>686.25</v>
      </c>
    </row>
    <row r="65" spans="1:21" s="1" customFormat="1">
      <c r="A65" s="76" t="s">
        <v>117</v>
      </c>
      <c r="B65" s="15" t="s">
        <v>118</v>
      </c>
      <c r="C65" s="76" t="s">
        <v>119</v>
      </c>
      <c r="D65" s="8" t="s">
        <v>49</v>
      </c>
      <c r="E65" s="38">
        <v>28608</v>
      </c>
      <c r="F65" s="59">
        <f>SUM(E65/100)</f>
        <v>286.08</v>
      </c>
      <c r="G65" s="58">
        <v>199.77</v>
      </c>
      <c r="H65" s="137">
        <f t="shared" si="8"/>
        <v>57.150201600000003</v>
      </c>
      <c r="I65" s="57">
        <v>0</v>
      </c>
      <c r="J65" s="57">
        <v>0</v>
      </c>
      <c r="K65" s="57">
        <v>0</v>
      </c>
      <c r="L65" s="57">
        <v>0</v>
      </c>
      <c r="M65" s="57">
        <f>F65*G65</f>
        <v>57150.2016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41">
        <f t="shared" si="9"/>
        <v>57150.2016</v>
      </c>
    </row>
    <row r="66" spans="1:21" ht="25.5">
      <c r="A66" s="74" t="s">
        <v>120</v>
      </c>
      <c r="B66" s="15" t="s">
        <v>121</v>
      </c>
      <c r="C66" s="74" t="s">
        <v>122</v>
      </c>
      <c r="D66" s="8"/>
      <c r="E66" s="38">
        <v>28608</v>
      </c>
      <c r="F66" s="58">
        <f>SUM(E66/1000)</f>
        <v>28.608000000000001</v>
      </c>
      <c r="G66" s="58">
        <v>155.57</v>
      </c>
      <c r="H66" s="137">
        <f t="shared" si="8"/>
        <v>4.4505465599999994</v>
      </c>
      <c r="I66" s="41">
        <v>0</v>
      </c>
      <c r="J66" s="41">
        <v>0</v>
      </c>
      <c r="K66" s="41">
        <v>0</v>
      </c>
      <c r="L66" s="41">
        <v>0</v>
      </c>
      <c r="M66" s="41">
        <f>F66*G66</f>
        <v>4450.5465599999998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f t="shared" si="9"/>
        <v>4450.5465599999998</v>
      </c>
    </row>
    <row r="67" spans="1:21">
      <c r="A67" s="74" t="s">
        <v>123</v>
      </c>
      <c r="B67" s="15" t="s">
        <v>124</v>
      </c>
      <c r="C67" s="74" t="s">
        <v>125</v>
      </c>
      <c r="D67" s="8" t="s">
        <v>49</v>
      </c>
      <c r="E67" s="38">
        <v>4550</v>
      </c>
      <c r="F67" s="58">
        <f>SUM(E67/100)</f>
        <v>45.5</v>
      </c>
      <c r="G67" s="58">
        <v>2074.63</v>
      </c>
      <c r="H67" s="137">
        <f t="shared" si="8"/>
        <v>94.395665000000008</v>
      </c>
      <c r="I67" s="41">
        <v>0</v>
      </c>
      <c r="J67" s="41">
        <v>0</v>
      </c>
      <c r="K67" s="41">
        <v>0</v>
      </c>
      <c r="L67" s="41">
        <v>0</v>
      </c>
      <c r="M67" s="41">
        <f>F67*G67</f>
        <v>94395.665000000008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f t="shared" si="9"/>
        <v>94395.665000000008</v>
      </c>
    </row>
    <row r="68" spans="1:21">
      <c r="A68" s="74"/>
      <c r="B68" s="16" t="s">
        <v>151</v>
      </c>
      <c r="C68" s="74" t="s">
        <v>56</v>
      </c>
      <c r="D68" s="8"/>
      <c r="E68" s="38">
        <v>23.4</v>
      </c>
      <c r="F68" s="58">
        <f>SUM(E68)</f>
        <v>23.4</v>
      </c>
      <c r="G68" s="58">
        <v>42.67</v>
      </c>
      <c r="H68" s="137">
        <f t="shared" si="8"/>
        <v>0.99847799999999998</v>
      </c>
      <c r="I68" s="41">
        <v>0</v>
      </c>
      <c r="J68" s="41">
        <v>0</v>
      </c>
      <c r="K68" s="41">
        <v>0</v>
      </c>
      <c r="L68" s="41">
        <v>0</v>
      </c>
      <c r="M68" s="41">
        <f>F68*G68</f>
        <v>998.47799999999995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f t="shared" si="9"/>
        <v>998.47799999999995</v>
      </c>
    </row>
    <row r="69" spans="1:21" ht="25.5">
      <c r="A69" s="77"/>
      <c r="B69" s="16" t="s">
        <v>152</v>
      </c>
      <c r="C69" s="74" t="s">
        <v>56</v>
      </c>
      <c r="D69" s="8"/>
      <c r="E69" s="38">
        <v>23.4</v>
      </c>
      <c r="F69" s="58">
        <f>SUM(E69)</f>
        <v>23.4</v>
      </c>
      <c r="G69" s="58">
        <v>39.81</v>
      </c>
      <c r="H69" s="137">
        <f t="shared" si="8"/>
        <v>0.93155399999999999</v>
      </c>
      <c r="I69" s="41">
        <v>0</v>
      </c>
      <c r="J69" s="41">
        <v>0</v>
      </c>
      <c r="K69" s="41">
        <v>0</v>
      </c>
      <c r="L69" s="41">
        <v>0</v>
      </c>
      <c r="M69" s="41">
        <f>F69*G69</f>
        <v>931.55399999999997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f t="shared" si="9"/>
        <v>931.55399999999997</v>
      </c>
    </row>
    <row r="70" spans="1:21">
      <c r="A70" s="74" t="s">
        <v>126</v>
      </c>
      <c r="B70" s="8" t="s">
        <v>127</v>
      </c>
      <c r="C70" s="74" t="s">
        <v>128</v>
      </c>
      <c r="D70" s="8" t="s">
        <v>49</v>
      </c>
      <c r="E70" s="75">
        <v>5</v>
      </c>
      <c r="F70" s="39">
        <v>5</v>
      </c>
      <c r="G70" s="58">
        <v>49.88</v>
      </c>
      <c r="H70" s="137">
        <f t="shared" si="8"/>
        <v>0.24940000000000001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f>F70*G70</f>
        <v>249.4</v>
      </c>
      <c r="R70" s="41">
        <v>0</v>
      </c>
      <c r="S70" s="41">
        <v>0</v>
      </c>
      <c r="T70" s="41">
        <v>0</v>
      </c>
      <c r="U70" s="41">
        <f t="shared" si="9"/>
        <v>249.4</v>
      </c>
    </row>
    <row r="71" spans="1:21">
      <c r="A71" s="77"/>
      <c r="B71" s="17" t="s">
        <v>129</v>
      </c>
      <c r="C71" s="74"/>
      <c r="D71" s="8"/>
      <c r="E71" s="75"/>
      <c r="F71" s="58"/>
      <c r="G71" s="58"/>
      <c r="H71" s="137" t="s">
        <v>66</v>
      </c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</row>
    <row r="72" spans="1:21">
      <c r="A72" s="74" t="s">
        <v>130</v>
      </c>
      <c r="B72" s="8" t="s">
        <v>131</v>
      </c>
      <c r="C72" s="74" t="s">
        <v>132</v>
      </c>
      <c r="D72" s="8"/>
      <c r="E72" s="75">
        <v>10</v>
      </c>
      <c r="F72" s="58">
        <v>1</v>
      </c>
      <c r="G72" s="58">
        <v>501.62</v>
      </c>
      <c r="H72" s="137">
        <f t="shared" si="8"/>
        <v>0.50161999999999995</v>
      </c>
      <c r="I72" s="41">
        <v>0</v>
      </c>
      <c r="J72" s="41">
        <v>0</v>
      </c>
      <c r="K72" s="41">
        <f>G72*6</f>
        <v>3009.7200000000003</v>
      </c>
      <c r="L72" s="41">
        <v>0</v>
      </c>
      <c r="M72" s="41">
        <v>0</v>
      </c>
      <c r="N72" s="41">
        <f>G72*0.2</f>
        <v>100.32400000000001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f>SUM(I72:T72)</f>
        <v>3110.0440000000003</v>
      </c>
    </row>
    <row r="73" spans="1:21">
      <c r="A73" s="74" t="s">
        <v>153</v>
      </c>
      <c r="B73" s="8" t="s">
        <v>154</v>
      </c>
      <c r="C73" s="74" t="s">
        <v>52</v>
      </c>
      <c r="D73" s="8"/>
      <c r="E73" s="75">
        <v>3</v>
      </c>
      <c r="F73" s="73">
        <v>3</v>
      </c>
      <c r="G73" s="58">
        <v>852.99</v>
      </c>
      <c r="H73" s="137">
        <f>F73*G73/1000</f>
        <v>2.5589700000000004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f>SUM(I73:T73)</f>
        <v>0</v>
      </c>
    </row>
    <row r="74" spans="1:21">
      <c r="A74" s="74" t="s">
        <v>133</v>
      </c>
      <c r="B74" s="8" t="s">
        <v>156</v>
      </c>
      <c r="C74" s="74" t="s">
        <v>52</v>
      </c>
      <c r="D74" s="8"/>
      <c r="E74" s="75">
        <v>1</v>
      </c>
      <c r="F74" s="58">
        <v>1</v>
      </c>
      <c r="G74" s="58">
        <v>358.51</v>
      </c>
      <c r="H74" s="137">
        <f>G74*F74/1000</f>
        <v>0.35851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f>SUM(I74:T74)</f>
        <v>0</v>
      </c>
    </row>
    <row r="75" spans="1:21">
      <c r="A75" s="77"/>
      <c r="B75" s="78" t="s">
        <v>134</v>
      </c>
      <c r="C75" s="74"/>
      <c r="D75" s="8"/>
      <c r="E75" s="75"/>
      <c r="F75" s="58"/>
      <c r="G75" s="58" t="s">
        <v>66</v>
      </c>
      <c r="H75" s="137" t="s">
        <v>66</v>
      </c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</row>
    <row r="76" spans="1:21" s="1" customFormat="1">
      <c r="A76" s="76" t="s">
        <v>135</v>
      </c>
      <c r="B76" s="79" t="s">
        <v>136</v>
      </c>
      <c r="C76" s="76" t="s">
        <v>125</v>
      </c>
      <c r="D76" s="15"/>
      <c r="E76" s="80"/>
      <c r="F76" s="59">
        <v>1.2</v>
      </c>
      <c r="G76" s="59">
        <v>2759.44</v>
      </c>
      <c r="H76" s="137">
        <f t="shared" si="8"/>
        <v>3.311328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41">
        <f>SUM(I76:T76)</f>
        <v>0</v>
      </c>
    </row>
    <row r="77" spans="1:21" s="20" customFormat="1">
      <c r="A77" s="81"/>
      <c r="B77" s="19" t="s">
        <v>37</v>
      </c>
      <c r="C77" s="82"/>
      <c r="D77" s="83"/>
      <c r="E77" s="84"/>
      <c r="F77" s="66"/>
      <c r="G77" s="66"/>
      <c r="H77" s="85">
        <f>SUM(H56:H76)</f>
        <v>194.53567606000001</v>
      </c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>
        <f>SUM(U56:U76)</f>
        <v>194337.70606000003</v>
      </c>
    </row>
    <row r="78" spans="1:21">
      <c r="A78" s="147" t="s">
        <v>205</v>
      </c>
      <c r="B78" s="10" t="s">
        <v>206</v>
      </c>
      <c r="C78" s="87" t="s">
        <v>207</v>
      </c>
      <c r="D78" s="88"/>
      <c r="E78" s="148"/>
      <c r="F78" s="89">
        <f>151/10</f>
        <v>15.1</v>
      </c>
      <c r="G78" s="90">
        <v>9</v>
      </c>
      <c r="H78" s="137">
        <f>G78*F78/1000</f>
        <v>0.13589999999999999</v>
      </c>
      <c r="I78" s="41">
        <v>0</v>
      </c>
      <c r="J78" s="41">
        <v>0</v>
      </c>
      <c r="K78" s="41">
        <v>0</v>
      </c>
      <c r="L78" s="41">
        <v>0</v>
      </c>
      <c r="M78" s="42">
        <v>0</v>
      </c>
      <c r="N78" s="41">
        <f>F78*G78</f>
        <v>135.9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f>SUM(I78:T78)</f>
        <v>135.9</v>
      </c>
    </row>
    <row r="79" spans="1:21" ht="12.75" customHeight="1">
      <c r="A79" s="74"/>
      <c r="B79" s="86" t="s">
        <v>137</v>
      </c>
      <c r="C79" s="74" t="s">
        <v>138</v>
      </c>
      <c r="D79" s="91"/>
      <c r="E79" s="58">
        <v>6980.3</v>
      </c>
      <c r="F79" s="58">
        <f>SUM(E79*12)</f>
        <v>83763.600000000006</v>
      </c>
      <c r="G79" s="92">
        <v>2.1</v>
      </c>
      <c r="H79" s="137">
        <f>SUM(F79*G79/1000)</f>
        <v>175.90356000000003</v>
      </c>
      <c r="I79" s="41">
        <f>F79/12*G79</f>
        <v>14658.630000000001</v>
      </c>
      <c r="J79" s="41">
        <f>F79/12*G79</f>
        <v>14658.630000000001</v>
      </c>
      <c r="K79" s="41">
        <f>F79/12*G79</f>
        <v>14658.630000000001</v>
      </c>
      <c r="L79" s="41">
        <f>F79/12*G79</f>
        <v>14658.630000000001</v>
      </c>
      <c r="M79" s="41">
        <f>F79/12*G79</f>
        <v>14658.630000000001</v>
      </c>
      <c r="N79" s="41">
        <f>F79/12*G79</f>
        <v>14658.630000000001</v>
      </c>
      <c r="O79" s="41">
        <f>F79/12*G79</f>
        <v>14658.630000000001</v>
      </c>
      <c r="P79" s="41">
        <f>F79/12*G79</f>
        <v>14658.630000000001</v>
      </c>
      <c r="Q79" s="41">
        <f>F79/12*G79</f>
        <v>14658.630000000001</v>
      </c>
      <c r="R79" s="41">
        <f>F79/12*G79</f>
        <v>14658.630000000001</v>
      </c>
      <c r="S79" s="41">
        <f>F79/12*G79</f>
        <v>14658.630000000001</v>
      </c>
      <c r="T79" s="41">
        <f>F79/12*G79</f>
        <v>14658.630000000001</v>
      </c>
      <c r="U79" s="41">
        <f>SUM(I79:T79)</f>
        <v>175903.56000000003</v>
      </c>
    </row>
    <row r="80" spans="1:21" s="18" customFormat="1">
      <c r="A80" s="93"/>
      <c r="B80" s="19" t="s">
        <v>37</v>
      </c>
      <c r="C80" s="94"/>
      <c r="D80" s="95"/>
      <c r="E80" s="96"/>
      <c r="F80" s="49"/>
      <c r="G80" s="97"/>
      <c r="H80" s="50">
        <f>SUM(H78:H79)</f>
        <v>176.03946000000002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>
        <f>SUM(U78:U79)</f>
        <v>176039.46000000002</v>
      </c>
    </row>
    <row r="81" spans="1:27" ht="29.25" customHeight="1">
      <c r="A81" s="77"/>
      <c r="B81" s="8" t="s">
        <v>139</v>
      </c>
      <c r="C81" s="74"/>
      <c r="D81" s="98"/>
      <c r="E81" s="38">
        <f>E79</f>
        <v>6980.3</v>
      </c>
      <c r="F81" s="58">
        <f>E81*12</f>
        <v>83763.600000000006</v>
      </c>
      <c r="G81" s="58">
        <v>1.63</v>
      </c>
      <c r="H81" s="137">
        <f>F81*G81/1000</f>
        <v>136.53466800000001</v>
      </c>
      <c r="I81" s="41">
        <f>F81/12*G81</f>
        <v>11377.888999999999</v>
      </c>
      <c r="J81" s="41">
        <f>F81/12*G81</f>
        <v>11377.888999999999</v>
      </c>
      <c r="K81" s="41">
        <f>F81/12*G81</f>
        <v>11377.888999999999</v>
      </c>
      <c r="L81" s="41">
        <f>F81/12*G81</f>
        <v>11377.888999999999</v>
      </c>
      <c r="M81" s="41">
        <f>F81/12*G81</f>
        <v>11377.888999999999</v>
      </c>
      <c r="N81" s="41">
        <f>F81/12*G81</f>
        <v>11377.888999999999</v>
      </c>
      <c r="O81" s="41">
        <f>F81/12*G81</f>
        <v>11377.888999999999</v>
      </c>
      <c r="P81" s="41">
        <f>F81/12*G81</f>
        <v>11377.888999999999</v>
      </c>
      <c r="Q81" s="41">
        <f>F81/12*G81</f>
        <v>11377.888999999999</v>
      </c>
      <c r="R81" s="41">
        <f>F81/12*G81</f>
        <v>11377.888999999999</v>
      </c>
      <c r="S81" s="41">
        <f>F81/12*G81</f>
        <v>11377.888999999999</v>
      </c>
      <c r="T81" s="41">
        <f>F81/12*G81</f>
        <v>11377.888999999999</v>
      </c>
      <c r="U81" s="41">
        <f>SUM(I81:T81)</f>
        <v>136534.66799999998</v>
      </c>
    </row>
    <row r="82" spans="1:27" s="18" customFormat="1">
      <c r="A82" s="93"/>
      <c r="B82" s="99" t="s">
        <v>140</v>
      </c>
      <c r="C82" s="100"/>
      <c r="D82" s="99"/>
      <c r="E82" s="49"/>
      <c r="F82" s="49"/>
      <c r="G82" s="49"/>
      <c r="H82" s="85">
        <f>H81</f>
        <v>136.53466800000001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143">
        <f>U81</f>
        <v>136534.66799999998</v>
      </c>
    </row>
    <row r="83" spans="1:27" s="18" customFormat="1">
      <c r="A83" s="93"/>
      <c r="B83" s="99" t="s">
        <v>141</v>
      </c>
      <c r="C83" s="101"/>
      <c r="D83" s="102"/>
      <c r="E83" s="103"/>
      <c r="F83" s="103"/>
      <c r="G83" s="103"/>
      <c r="H83" s="85">
        <f>SUM(H82+H80+H77+H54+H42+H32+H21)</f>
        <v>1468.3816920512334</v>
      </c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43">
        <f>SUM(U82+U80+U77+U54+U42+U32+U21)*1.064</f>
        <v>1529921.3568225123</v>
      </c>
      <c r="X83" s="167"/>
      <c r="Y83" s="167"/>
      <c r="Z83" s="167"/>
      <c r="AA83" s="167"/>
    </row>
    <row r="84" spans="1:27" s="135" customFormat="1" ht="48.75" customHeight="1">
      <c r="A84" s="133"/>
      <c r="B84" s="78"/>
      <c r="C84" s="74"/>
      <c r="D84" s="98"/>
      <c r="E84" s="58"/>
      <c r="F84" s="58"/>
      <c r="G84" s="58"/>
      <c r="H84" s="134"/>
      <c r="I84" s="58"/>
      <c r="J84" s="58"/>
      <c r="K84" s="58"/>
      <c r="L84" s="58"/>
      <c r="M84" s="58"/>
      <c r="N84" s="58"/>
      <c r="O84" s="58"/>
      <c r="P84" s="58"/>
      <c r="Q84" s="58"/>
      <c r="R84" s="153"/>
      <c r="S84" s="153"/>
      <c r="T84" s="153"/>
      <c r="U84" s="154" t="s">
        <v>219</v>
      </c>
    </row>
    <row r="85" spans="1:27">
      <c r="A85" s="136"/>
      <c r="B85" s="98" t="s">
        <v>142</v>
      </c>
      <c r="C85" s="74"/>
      <c r="D85" s="98"/>
      <c r="E85" s="58"/>
      <c r="F85" s="58"/>
      <c r="G85" s="58" t="s">
        <v>143</v>
      </c>
      <c r="H85" s="104">
        <f>E81</f>
        <v>6980.3</v>
      </c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</row>
    <row r="86" spans="1:27" s="18" customFormat="1">
      <c r="A86" s="93"/>
      <c r="B86" s="102" t="s">
        <v>144</v>
      </c>
      <c r="C86" s="101"/>
      <c r="D86" s="102"/>
      <c r="E86" s="103"/>
      <c r="F86" s="103"/>
      <c r="G86" s="103"/>
      <c r="H86" s="105">
        <f>SUM(H83/H85/12*1000)</f>
        <v>17.530069052085075</v>
      </c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44"/>
    </row>
    <row r="87" spans="1:27">
      <c r="A87" s="106"/>
      <c r="B87" s="98"/>
      <c r="C87" s="74"/>
      <c r="D87" s="98"/>
      <c r="E87" s="58"/>
      <c r="F87" s="58"/>
      <c r="G87" s="58"/>
      <c r="H87" s="107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145"/>
    </row>
    <row r="88" spans="1:27">
      <c r="A88" s="77"/>
      <c r="B88" s="78" t="s">
        <v>145</v>
      </c>
      <c r="C88" s="74"/>
      <c r="D88" s="98"/>
      <c r="E88" s="58"/>
      <c r="F88" s="58"/>
      <c r="G88" s="58"/>
      <c r="H88" s="58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</row>
    <row r="89" spans="1:27" ht="25.5">
      <c r="A89" s="25" t="s">
        <v>178</v>
      </c>
      <c r="B89" s="26" t="s">
        <v>177</v>
      </c>
      <c r="C89" s="27" t="s">
        <v>101</v>
      </c>
      <c r="D89" s="8"/>
      <c r="E89" s="75"/>
      <c r="F89" s="58">
        <v>8</v>
      </c>
      <c r="G89" s="58">
        <v>72.290000000000006</v>
      </c>
      <c r="H89" s="137">
        <f t="shared" ref="H89" si="10">G89*F89/1000</f>
        <v>0.57832000000000006</v>
      </c>
      <c r="I89" s="41">
        <f>G89*1</f>
        <v>72.290000000000006</v>
      </c>
      <c r="J89" s="41">
        <f>G89</f>
        <v>72.290000000000006</v>
      </c>
      <c r="K89" s="41">
        <f>G89*2</f>
        <v>144.58000000000001</v>
      </c>
      <c r="L89" s="41">
        <v>0</v>
      </c>
      <c r="M89" s="41">
        <v>0</v>
      </c>
      <c r="N89" s="41">
        <v>0</v>
      </c>
      <c r="O89" s="41">
        <v>0</v>
      </c>
      <c r="P89" s="41">
        <f>G89</f>
        <v>72.290000000000006</v>
      </c>
      <c r="Q89" s="41">
        <f>G89</f>
        <v>72.290000000000006</v>
      </c>
      <c r="R89" s="41">
        <f>G89</f>
        <v>72.290000000000006</v>
      </c>
      <c r="S89" s="41">
        <f>G89</f>
        <v>72.290000000000006</v>
      </c>
      <c r="T89" s="41">
        <v>0</v>
      </c>
      <c r="U89" s="41">
        <f t="shared" ref="U89:U97" si="11">SUM(I89:T89)</f>
        <v>578.32000000000005</v>
      </c>
    </row>
    <row r="90" spans="1:27" ht="25.5">
      <c r="A90" s="25" t="s">
        <v>195</v>
      </c>
      <c r="B90" s="26" t="s">
        <v>194</v>
      </c>
      <c r="C90" s="27" t="s">
        <v>101</v>
      </c>
      <c r="D90" s="8"/>
      <c r="E90" s="75"/>
      <c r="F90" s="58">
        <v>1</v>
      </c>
      <c r="G90" s="58">
        <v>1992.08</v>
      </c>
      <c r="H90" s="137">
        <f t="shared" ref="H90:H109" si="12">G90*F90/1000</f>
        <v>1.9920799999999999</v>
      </c>
      <c r="I90" s="41">
        <f>G90</f>
        <v>1992.08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f t="shared" si="11"/>
        <v>1992.08</v>
      </c>
    </row>
    <row r="91" spans="1:27" ht="25.5">
      <c r="A91" s="29" t="s">
        <v>197</v>
      </c>
      <c r="B91" s="28" t="s">
        <v>196</v>
      </c>
      <c r="C91" s="29" t="s">
        <v>101</v>
      </c>
      <c r="D91" s="8"/>
      <c r="E91" s="75"/>
      <c r="F91" s="58">
        <v>1200</v>
      </c>
      <c r="G91" s="58">
        <v>46.33</v>
      </c>
      <c r="H91" s="137">
        <f t="shared" si="12"/>
        <v>55.595999999999997</v>
      </c>
      <c r="I91" s="41">
        <f>G91*120</f>
        <v>5559.5999999999995</v>
      </c>
      <c r="J91" s="41">
        <v>0</v>
      </c>
      <c r="K91" s="41">
        <f>G91*120</f>
        <v>5559.5999999999995</v>
      </c>
      <c r="L91" s="41">
        <f>G91*120</f>
        <v>5559.5999999999995</v>
      </c>
      <c r="M91" s="41">
        <v>0</v>
      </c>
      <c r="N91" s="41">
        <f>G91*120</f>
        <v>5559.5999999999995</v>
      </c>
      <c r="O91" s="41">
        <f>G91*120</f>
        <v>5559.5999999999995</v>
      </c>
      <c r="P91" s="41">
        <f>G91*120</f>
        <v>5559.5999999999995</v>
      </c>
      <c r="Q91" s="41">
        <f>G91*120</f>
        <v>5559.5999999999995</v>
      </c>
      <c r="R91" s="41">
        <f>G91*120</f>
        <v>5559.5999999999995</v>
      </c>
      <c r="S91" s="41">
        <f>G91*120</f>
        <v>5559.5999999999995</v>
      </c>
      <c r="T91" s="41">
        <f>G91*120</f>
        <v>5559.5999999999995</v>
      </c>
      <c r="U91" s="41">
        <f t="shared" si="11"/>
        <v>55595.999999999993</v>
      </c>
    </row>
    <row r="92" spans="1:27" ht="25.5">
      <c r="A92" s="130" t="s">
        <v>198</v>
      </c>
      <c r="B92" s="131" t="s">
        <v>199</v>
      </c>
      <c r="C92" s="132" t="s">
        <v>200</v>
      </c>
      <c r="D92" s="8"/>
      <c r="E92" s="75"/>
      <c r="F92" s="58">
        <v>3</v>
      </c>
      <c r="G92" s="58">
        <v>1678.06</v>
      </c>
      <c r="H92" s="137">
        <f t="shared" si="12"/>
        <v>5.0341800000000001</v>
      </c>
      <c r="I92" s="41">
        <f>G92</f>
        <v>1678.06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f>G92</f>
        <v>1678.06</v>
      </c>
      <c r="P92" s="41">
        <v>0</v>
      </c>
      <c r="Q92" s="41">
        <v>0</v>
      </c>
      <c r="R92" s="41">
        <v>0</v>
      </c>
      <c r="S92" s="41">
        <f>G92</f>
        <v>1678.06</v>
      </c>
      <c r="T92" s="41">
        <v>0</v>
      </c>
      <c r="U92" s="41">
        <f t="shared" si="11"/>
        <v>5034.18</v>
      </c>
    </row>
    <row r="93" spans="1:27" ht="38.25">
      <c r="A93" s="25" t="s">
        <v>180</v>
      </c>
      <c r="B93" s="26" t="s">
        <v>201</v>
      </c>
      <c r="C93" s="27" t="s">
        <v>179</v>
      </c>
      <c r="D93" s="8"/>
      <c r="E93" s="75"/>
      <c r="F93" s="58">
        <v>8</v>
      </c>
      <c r="G93" s="58">
        <v>521.67999999999995</v>
      </c>
      <c r="H93" s="137">
        <f t="shared" si="12"/>
        <v>4.1734399999999994</v>
      </c>
      <c r="I93" s="41">
        <f>G93*3</f>
        <v>1565.04</v>
      </c>
      <c r="J93" s="41">
        <f>G93</f>
        <v>521.67999999999995</v>
      </c>
      <c r="K93" s="41">
        <v>0</v>
      </c>
      <c r="L93" s="41">
        <v>0</v>
      </c>
      <c r="M93" s="41">
        <v>0</v>
      </c>
      <c r="N93" s="41">
        <f>G93*3</f>
        <v>1565.04</v>
      </c>
      <c r="O93" s="41">
        <v>0</v>
      </c>
      <c r="P93" s="41">
        <v>0</v>
      </c>
      <c r="Q93" s="41">
        <v>0</v>
      </c>
      <c r="R93" s="41">
        <f>G93</f>
        <v>521.67999999999995</v>
      </c>
      <c r="S93" s="41">
        <v>0</v>
      </c>
      <c r="T93" s="41">
        <v>0</v>
      </c>
      <c r="U93" s="41">
        <f t="shared" si="11"/>
        <v>4173.4399999999996</v>
      </c>
    </row>
    <row r="94" spans="1:27" ht="25.5">
      <c r="A94" s="27" t="s">
        <v>209</v>
      </c>
      <c r="B94" s="26" t="s">
        <v>208</v>
      </c>
      <c r="C94" s="27" t="s">
        <v>101</v>
      </c>
      <c r="D94" s="8"/>
      <c r="E94" s="75"/>
      <c r="F94" s="58">
        <v>4</v>
      </c>
      <c r="G94" s="58">
        <v>164.67</v>
      </c>
      <c r="H94" s="137">
        <f t="shared" si="12"/>
        <v>0.65867999999999993</v>
      </c>
      <c r="I94" s="41">
        <v>0</v>
      </c>
      <c r="J94" s="41">
        <v>0</v>
      </c>
      <c r="K94" s="41">
        <f>G94</f>
        <v>164.67</v>
      </c>
      <c r="L94" s="41">
        <f>G94</f>
        <v>164.67</v>
      </c>
      <c r="M94" s="41">
        <v>0</v>
      </c>
      <c r="N94" s="41">
        <v>0</v>
      </c>
      <c r="O94" s="41">
        <v>0</v>
      </c>
      <c r="P94" s="41">
        <v>0</v>
      </c>
      <c r="Q94" s="41">
        <f>G94</f>
        <v>164.67</v>
      </c>
      <c r="R94" s="41">
        <f>G94</f>
        <v>164.67</v>
      </c>
      <c r="S94" s="41">
        <v>0</v>
      </c>
      <c r="T94" s="41">
        <v>0</v>
      </c>
      <c r="U94" s="41">
        <f t="shared" si="11"/>
        <v>658.68</v>
      </c>
    </row>
    <row r="95" spans="1:27">
      <c r="A95" s="149" t="s">
        <v>211</v>
      </c>
      <c r="B95" s="28" t="s">
        <v>210</v>
      </c>
      <c r="C95" s="29" t="s">
        <v>101</v>
      </c>
      <c r="D95" s="8"/>
      <c r="E95" s="75"/>
      <c r="F95" s="58">
        <v>2</v>
      </c>
      <c r="G95" s="58">
        <v>162.52000000000001</v>
      </c>
      <c r="H95" s="137">
        <f t="shared" si="12"/>
        <v>0.32504</v>
      </c>
      <c r="I95" s="41">
        <v>0</v>
      </c>
      <c r="J95" s="41">
        <v>0</v>
      </c>
      <c r="K95" s="41">
        <f>G95*2</f>
        <v>325.04000000000002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f t="shared" si="11"/>
        <v>325.04000000000002</v>
      </c>
    </row>
    <row r="96" spans="1:27">
      <c r="A96" s="150" t="s">
        <v>213</v>
      </c>
      <c r="B96" s="151" t="s">
        <v>212</v>
      </c>
      <c r="C96" s="27" t="s">
        <v>101</v>
      </c>
      <c r="D96" s="8"/>
      <c r="E96" s="75"/>
      <c r="F96" s="58">
        <v>13</v>
      </c>
      <c r="G96" s="58">
        <v>277.95</v>
      </c>
      <c r="H96" s="137">
        <f t="shared" si="12"/>
        <v>3.6133500000000001</v>
      </c>
      <c r="I96" s="41">
        <v>0</v>
      </c>
      <c r="J96" s="41">
        <v>0</v>
      </c>
      <c r="K96" s="41">
        <f>G96*12</f>
        <v>3335.3999999999996</v>
      </c>
      <c r="L96" s="41">
        <v>0</v>
      </c>
      <c r="M96" s="41">
        <v>0</v>
      </c>
      <c r="N96" s="41">
        <f>G96</f>
        <v>277.95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f t="shared" si="11"/>
        <v>3613.3499999999995</v>
      </c>
    </row>
    <row r="97" spans="1:21" ht="25.5">
      <c r="A97" s="150" t="s">
        <v>215</v>
      </c>
      <c r="B97" s="151" t="s">
        <v>214</v>
      </c>
      <c r="C97" s="25" t="s">
        <v>101</v>
      </c>
      <c r="D97" s="8"/>
      <c r="E97" s="75"/>
      <c r="F97" s="58">
        <v>2</v>
      </c>
      <c r="G97" s="58">
        <v>141.22999999999999</v>
      </c>
      <c r="H97" s="137">
        <f t="shared" si="12"/>
        <v>0.28245999999999999</v>
      </c>
      <c r="I97" s="41">
        <v>0</v>
      </c>
      <c r="J97" s="41">
        <v>0</v>
      </c>
      <c r="K97" s="41">
        <f>G97*2</f>
        <v>282.45999999999998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f t="shared" si="11"/>
        <v>282.45999999999998</v>
      </c>
    </row>
    <row r="98" spans="1:21" ht="25.5">
      <c r="A98" s="27" t="s">
        <v>217</v>
      </c>
      <c r="B98" s="26" t="s">
        <v>227</v>
      </c>
      <c r="C98" s="27" t="s">
        <v>216</v>
      </c>
      <c r="D98" s="8"/>
      <c r="E98" s="75"/>
      <c r="F98" s="58">
        <v>10</v>
      </c>
      <c r="G98" s="58">
        <v>169.85</v>
      </c>
      <c r="H98" s="152">
        <f t="shared" si="12"/>
        <v>1.6984999999999999</v>
      </c>
      <c r="I98" s="41">
        <v>0</v>
      </c>
      <c r="J98" s="41">
        <v>0</v>
      </c>
      <c r="K98" s="41">
        <v>0</v>
      </c>
      <c r="L98" s="41">
        <f>G98</f>
        <v>169.85</v>
      </c>
      <c r="M98" s="41">
        <v>0</v>
      </c>
      <c r="N98" s="41">
        <f>G98*3</f>
        <v>509.54999999999995</v>
      </c>
      <c r="O98" s="41">
        <v>0</v>
      </c>
      <c r="P98" s="41">
        <f>G98*2</f>
        <v>339.7</v>
      </c>
      <c r="Q98" s="41">
        <v>0</v>
      </c>
      <c r="R98" s="41">
        <f>G98</f>
        <v>169.85</v>
      </c>
      <c r="S98" s="41">
        <f>G98*2</f>
        <v>339.7</v>
      </c>
      <c r="T98" s="41">
        <f>G98</f>
        <v>169.85</v>
      </c>
      <c r="U98" s="41">
        <f t="shared" ref="U98:U109" si="13">SUM(I98:T98)</f>
        <v>1698.4999999999998</v>
      </c>
    </row>
    <row r="99" spans="1:21" ht="25.5">
      <c r="A99" s="130" t="s">
        <v>198</v>
      </c>
      <c r="B99" s="131" t="s">
        <v>226</v>
      </c>
      <c r="C99" s="132" t="s">
        <v>200</v>
      </c>
      <c r="D99" s="8"/>
      <c r="E99" s="75"/>
      <c r="F99" s="58">
        <v>2</v>
      </c>
      <c r="G99" s="58">
        <v>350.1</v>
      </c>
      <c r="H99" s="152">
        <f t="shared" si="12"/>
        <v>0.70020000000000004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41">
        <f>G99</f>
        <v>350.1</v>
      </c>
      <c r="P99" s="41">
        <v>0</v>
      </c>
      <c r="Q99" s="41">
        <v>0</v>
      </c>
      <c r="R99" s="41">
        <v>0</v>
      </c>
      <c r="S99" s="41">
        <f>G99</f>
        <v>350.1</v>
      </c>
      <c r="T99" s="41">
        <v>0</v>
      </c>
      <c r="U99" s="41">
        <f t="shared" si="13"/>
        <v>700.2</v>
      </c>
    </row>
    <row r="100" spans="1:21" ht="38.25">
      <c r="A100" s="29" t="s">
        <v>93</v>
      </c>
      <c r="B100" s="28" t="s">
        <v>228</v>
      </c>
      <c r="C100" s="29" t="s">
        <v>72</v>
      </c>
      <c r="D100" s="8"/>
      <c r="E100" s="75"/>
      <c r="F100" s="58">
        <v>0.02</v>
      </c>
      <c r="G100" s="58">
        <v>1380.31</v>
      </c>
      <c r="H100" s="152">
        <f t="shared" si="12"/>
        <v>2.7606200000000001E-2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f>G100*0.01</f>
        <v>13.803100000000001</v>
      </c>
      <c r="O100" s="41">
        <v>0</v>
      </c>
      <c r="P100" s="41">
        <f>G100*0.01</f>
        <v>13.803100000000001</v>
      </c>
      <c r="Q100" s="41">
        <v>0</v>
      </c>
      <c r="R100" s="41">
        <v>0</v>
      </c>
      <c r="S100" s="41">
        <v>0</v>
      </c>
      <c r="T100" s="41">
        <v>0</v>
      </c>
      <c r="U100" s="41">
        <f t="shared" si="13"/>
        <v>27.606200000000001</v>
      </c>
    </row>
    <row r="101" spans="1:21" ht="30.75" customHeight="1">
      <c r="A101" s="29" t="s">
        <v>95</v>
      </c>
      <c r="B101" s="28" t="s">
        <v>229</v>
      </c>
      <c r="C101" s="29" t="s">
        <v>97</v>
      </c>
      <c r="D101" s="8"/>
      <c r="E101" s="75"/>
      <c r="F101" s="58">
        <v>0.03</v>
      </c>
      <c r="G101" s="58">
        <v>3105.72</v>
      </c>
      <c r="H101" s="152">
        <f t="shared" si="12"/>
        <v>9.3171599999999979E-2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f>G101*0.01</f>
        <v>31.057199999999998</v>
      </c>
      <c r="P101" s="41">
        <f>G101*0.01</f>
        <v>31.057199999999998</v>
      </c>
      <c r="Q101" s="41">
        <v>0</v>
      </c>
      <c r="R101" s="41">
        <v>0</v>
      </c>
      <c r="S101" s="41">
        <f>G101*0.01</f>
        <v>31.057199999999998</v>
      </c>
      <c r="T101" s="41">
        <v>0</v>
      </c>
      <c r="U101" s="41">
        <f t="shared" si="13"/>
        <v>93.171599999999998</v>
      </c>
    </row>
    <row r="102" spans="1:21" ht="24" customHeight="1">
      <c r="A102" s="29" t="s">
        <v>230</v>
      </c>
      <c r="B102" s="28" t="s">
        <v>231</v>
      </c>
      <c r="C102" s="149" t="s">
        <v>232</v>
      </c>
      <c r="D102" s="8"/>
      <c r="E102" s="75"/>
      <c r="F102" s="58">
        <v>1</v>
      </c>
      <c r="G102" s="58">
        <v>16.45</v>
      </c>
      <c r="H102" s="152">
        <f t="shared" si="12"/>
        <v>1.6449999999999999E-2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f>G102</f>
        <v>16.45</v>
      </c>
      <c r="O102" s="41">
        <v>0</v>
      </c>
      <c r="P102" s="41">
        <v>0</v>
      </c>
      <c r="Q102" s="41">
        <v>0</v>
      </c>
      <c r="R102" s="41">
        <v>0</v>
      </c>
      <c r="S102" s="41">
        <v>0</v>
      </c>
      <c r="T102" s="41">
        <v>0</v>
      </c>
      <c r="U102" s="41">
        <f t="shared" si="13"/>
        <v>16.45</v>
      </c>
    </row>
    <row r="103" spans="1:21" ht="27.75" customHeight="1">
      <c r="A103" s="25" t="s">
        <v>234</v>
      </c>
      <c r="B103" s="26" t="s">
        <v>233</v>
      </c>
      <c r="C103" s="27" t="s">
        <v>179</v>
      </c>
      <c r="D103" s="8"/>
      <c r="E103" s="75"/>
      <c r="F103" s="58">
        <v>1</v>
      </c>
      <c r="G103" s="58">
        <v>696.86</v>
      </c>
      <c r="H103" s="152">
        <f t="shared" si="12"/>
        <v>0.69686000000000003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f>G103</f>
        <v>696.86</v>
      </c>
      <c r="R103" s="41">
        <v>0</v>
      </c>
      <c r="S103" s="41">
        <v>0</v>
      </c>
      <c r="T103" s="41">
        <v>0</v>
      </c>
      <c r="U103" s="41">
        <f t="shared" si="13"/>
        <v>696.86</v>
      </c>
    </row>
    <row r="104" spans="1:21" ht="27.75" customHeight="1">
      <c r="A104" s="150" t="s">
        <v>237</v>
      </c>
      <c r="B104" s="26" t="s">
        <v>235</v>
      </c>
      <c r="C104" s="25" t="s">
        <v>236</v>
      </c>
      <c r="D104" s="8"/>
      <c r="E104" s="75"/>
      <c r="F104" s="58">
        <v>2.1899999999999999E-2</v>
      </c>
      <c r="G104" s="58">
        <v>8150.19</v>
      </c>
      <c r="H104" s="152">
        <f t="shared" si="12"/>
        <v>0.17848916100000001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f>G104*0.0219</f>
        <v>178.489161</v>
      </c>
      <c r="S104" s="41">
        <v>0</v>
      </c>
      <c r="T104" s="41">
        <v>0</v>
      </c>
      <c r="U104" s="41">
        <f t="shared" si="13"/>
        <v>178.489161</v>
      </c>
    </row>
    <row r="105" spans="1:21" ht="27.75" customHeight="1">
      <c r="A105" s="150" t="s">
        <v>238</v>
      </c>
      <c r="B105" s="155" t="s">
        <v>239</v>
      </c>
      <c r="C105" s="156" t="s">
        <v>23</v>
      </c>
      <c r="D105" s="8"/>
      <c r="E105" s="75"/>
      <c r="F105" s="58">
        <v>0.32</v>
      </c>
      <c r="G105" s="58">
        <v>2846.41</v>
      </c>
      <c r="H105" s="152">
        <f t="shared" si="12"/>
        <v>0.91085119999999997</v>
      </c>
      <c r="I105" s="41"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f>G105*0.32</f>
        <v>910.85119999999995</v>
      </c>
      <c r="T105" s="41">
        <v>0</v>
      </c>
      <c r="U105" s="41">
        <f t="shared" si="13"/>
        <v>910.85119999999995</v>
      </c>
    </row>
    <row r="106" spans="1:21" ht="27.75" customHeight="1">
      <c r="A106" s="150" t="s">
        <v>240</v>
      </c>
      <c r="B106" s="155" t="s">
        <v>248</v>
      </c>
      <c r="C106" s="156" t="s">
        <v>138</v>
      </c>
      <c r="D106" s="8"/>
      <c r="E106" s="75"/>
      <c r="F106" s="58">
        <v>64</v>
      </c>
      <c r="G106" s="58">
        <v>2057</v>
      </c>
      <c r="H106" s="152">
        <f t="shared" si="12"/>
        <v>131.648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f>G106*30</f>
        <v>61710</v>
      </c>
      <c r="O106" s="41">
        <f>G106*30</f>
        <v>61710</v>
      </c>
      <c r="P106" s="41">
        <v>0</v>
      </c>
      <c r="Q106" s="41">
        <v>0</v>
      </c>
      <c r="R106" s="41">
        <v>0</v>
      </c>
      <c r="S106" s="41">
        <f>G106*4</f>
        <v>8228</v>
      </c>
      <c r="T106" s="41">
        <v>0</v>
      </c>
      <c r="U106" s="41">
        <f t="shared" si="13"/>
        <v>131648</v>
      </c>
    </row>
    <row r="107" spans="1:21" ht="41.25" customHeight="1">
      <c r="A107" s="27" t="s">
        <v>243</v>
      </c>
      <c r="B107" s="26" t="s">
        <v>241</v>
      </c>
      <c r="C107" s="27" t="s">
        <v>242</v>
      </c>
      <c r="D107" s="8"/>
      <c r="E107" s="75"/>
      <c r="F107" s="58">
        <v>1</v>
      </c>
      <c r="G107" s="58">
        <v>46.98</v>
      </c>
      <c r="H107" s="152">
        <f t="shared" si="12"/>
        <v>4.6979999999999994E-2</v>
      </c>
      <c r="I107" s="41">
        <v>0</v>
      </c>
      <c r="J107" s="41">
        <v>0</v>
      </c>
      <c r="K107" s="41">
        <v>0</v>
      </c>
      <c r="L107" s="41">
        <v>0</v>
      </c>
      <c r="M107" s="41">
        <v>0</v>
      </c>
      <c r="N107" s="41">
        <f>G107</f>
        <v>46.98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f t="shared" si="13"/>
        <v>46.98</v>
      </c>
    </row>
    <row r="108" spans="1:21" ht="28.5" customHeight="1">
      <c r="A108" s="27" t="s">
        <v>246</v>
      </c>
      <c r="B108" s="26" t="s">
        <v>244</v>
      </c>
      <c r="C108" s="27" t="s">
        <v>245</v>
      </c>
      <c r="D108" s="8"/>
      <c r="E108" s="75"/>
      <c r="F108" s="58">
        <v>1</v>
      </c>
      <c r="G108" s="58">
        <v>575.31500000000005</v>
      </c>
      <c r="H108" s="152">
        <f t="shared" si="12"/>
        <v>0.57531500000000002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f>G108</f>
        <v>575.31500000000005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f t="shared" si="13"/>
        <v>575.31500000000005</v>
      </c>
    </row>
    <row r="109" spans="1:21" ht="40.5" customHeight="1">
      <c r="A109" s="27" t="s">
        <v>247</v>
      </c>
      <c r="B109" s="26" t="s">
        <v>249</v>
      </c>
      <c r="C109" s="27" t="s">
        <v>242</v>
      </c>
      <c r="D109" s="8"/>
      <c r="E109" s="75"/>
      <c r="F109" s="58">
        <v>4</v>
      </c>
      <c r="G109" s="58">
        <v>112.02</v>
      </c>
      <c r="H109" s="152">
        <f t="shared" si="12"/>
        <v>0.44807999999999998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f>G109*2</f>
        <v>224.04</v>
      </c>
      <c r="O109" s="41">
        <v>0</v>
      </c>
      <c r="P109" s="41">
        <v>0</v>
      </c>
      <c r="Q109" s="41">
        <v>0</v>
      </c>
      <c r="R109" s="41">
        <v>0</v>
      </c>
      <c r="S109" s="41">
        <f>G109</f>
        <v>112.02</v>
      </c>
      <c r="T109" s="41">
        <f>G109</f>
        <v>112.02</v>
      </c>
      <c r="U109" s="41">
        <f t="shared" si="13"/>
        <v>448.08</v>
      </c>
    </row>
    <row r="110" spans="1:21" s="18" customFormat="1">
      <c r="A110" s="108"/>
      <c r="B110" s="109" t="s">
        <v>146</v>
      </c>
      <c r="C110" s="108"/>
      <c r="D110" s="108"/>
      <c r="E110" s="103"/>
      <c r="F110" s="103"/>
      <c r="G110" s="103"/>
      <c r="H110" s="50">
        <f>SUM(H89:H109)</f>
        <v>209.29405316099999</v>
      </c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49">
        <f>SUM(U89:U109)</f>
        <v>209294.05316099999</v>
      </c>
    </row>
    <row r="111" spans="1:21">
      <c r="A111" s="106"/>
      <c r="B111" s="110"/>
      <c r="C111" s="111"/>
      <c r="D111" s="111"/>
      <c r="E111" s="58"/>
      <c r="F111" s="58"/>
      <c r="G111" s="58"/>
      <c r="H111" s="112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146"/>
    </row>
    <row r="112" spans="1:21" ht="12" customHeight="1">
      <c r="A112" s="77"/>
      <c r="B112" s="17" t="s">
        <v>147</v>
      </c>
      <c r="C112" s="74"/>
      <c r="D112" s="98"/>
      <c r="E112" s="58"/>
      <c r="F112" s="58"/>
      <c r="G112" s="58"/>
      <c r="H112" s="113">
        <f>H110/E113/12*1000</f>
        <v>2.498627723271206</v>
      </c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146"/>
    </row>
    <row r="113" spans="1:21" s="18" customFormat="1">
      <c r="A113" s="93"/>
      <c r="B113" s="114" t="s">
        <v>148</v>
      </c>
      <c r="C113" s="115"/>
      <c r="D113" s="114"/>
      <c r="E113" s="116">
        <v>6980.3</v>
      </c>
      <c r="F113" s="117">
        <f>SUM(E113*12)</f>
        <v>83763.600000000006</v>
      </c>
      <c r="G113" s="118">
        <f>H86+H112</f>
        <v>20.028696775356281</v>
      </c>
      <c r="H113" s="119">
        <f>SUM(F113*G113/1000)</f>
        <v>1677.6757452122333</v>
      </c>
      <c r="I113" s="103">
        <f t="shared" ref="I113:R113" si="14">SUM(I11:I112)</f>
        <v>118491.16817766664</v>
      </c>
      <c r="J113" s="103">
        <f t="shared" si="14"/>
        <v>112910.58507766663</v>
      </c>
      <c r="K113" s="103">
        <f t="shared" si="14"/>
        <v>122716.09227766666</v>
      </c>
      <c r="L113" s="103">
        <f t="shared" si="14"/>
        <v>114878.04741366666</v>
      </c>
      <c r="M113" s="103">
        <f t="shared" si="14"/>
        <v>274497.87387178891</v>
      </c>
      <c r="N113" s="103">
        <f t="shared" si="14"/>
        <v>167293.90031388891</v>
      </c>
      <c r="O113" s="103">
        <f t="shared" si="14"/>
        <v>164284.42198188888</v>
      </c>
      <c r="P113" s="103">
        <f t="shared" si="14"/>
        <v>101508.74008188889</v>
      </c>
      <c r="Q113" s="103">
        <f t="shared" si="14"/>
        <v>127865.82308188886</v>
      </c>
      <c r="R113" s="103">
        <f t="shared" si="14"/>
        <v>108652.1157788889</v>
      </c>
      <c r="S113" s="103">
        <f>SUM(S11:S112)</f>
        <v>119931.20897766667</v>
      </c>
      <c r="T113" s="103">
        <f>SUM(T11:T112)</f>
        <v>114160.08817766668</v>
      </c>
      <c r="U113" s="49">
        <f>U83+U110</f>
        <v>1739215.4099835122</v>
      </c>
    </row>
    <row r="114" spans="1:21">
      <c r="A114" s="77"/>
      <c r="B114" s="77"/>
      <c r="C114" s="77"/>
      <c r="D114" s="77"/>
      <c r="E114" s="120"/>
      <c r="F114" s="120"/>
      <c r="G114" s="120"/>
      <c r="H114" s="120"/>
      <c r="I114" s="120"/>
      <c r="J114" s="120"/>
      <c r="K114" s="120"/>
      <c r="L114" s="120"/>
      <c r="M114" s="77"/>
      <c r="N114" s="120"/>
      <c r="O114" s="77"/>
      <c r="P114" s="77"/>
      <c r="Q114" s="77"/>
      <c r="R114" s="77"/>
      <c r="S114" s="77"/>
      <c r="T114" s="77"/>
      <c r="U114" s="77"/>
    </row>
    <row r="115" spans="1:21">
      <c r="A115" s="77"/>
      <c r="B115" s="77"/>
      <c r="C115" s="77"/>
      <c r="D115" s="77"/>
      <c r="E115" s="120"/>
      <c r="F115" s="120"/>
      <c r="G115" s="120"/>
      <c r="H115" s="120"/>
      <c r="I115" s="120"/>
      <c r="J115" s="121"/>
      <c r="K115" s="122"/>
      <c r="L115" s="121"/>
      <c r="M115" s="120"/>
      <c r="N115" s="77"/>
      <c r="O115" s="77"/>
      <c r="P115" s="77"/>
      <c r="Q115" s="77"/>
      <c r="R115" s="77"/>
      <c r="S115" s="77"/>
      <c r="T115" s="77"/>
      <c r="U115" s="77"/>
    </row>
    <row r="116" spans="1:21" ht="45">
      <c r="A116" s="77"/>
      <c r="B116" s="123" t="s">
        <v>192</v>
      </c>
      <c r="C116" s="157">
        <v>144627.35999999999</v>
      </c>
      <c r="D116" s="158"/>
      <c r="E116" s="158"/>
      <c r="F116" s="159"/>
      <c r="G116" s="120"/>
      <c r="H116" s="120"/>
      <c r="I116" s="120"/>
      <c r="J116" s="121"/>
      <c r="K116" s="122"/>
      <c r="L116" s="121"/>
      <c r="M116" s="120"/>
      <c r="N116" s="77"/>
      <c r="O116" s="77"/>
      <c r="P116" s="77"/>
      <c r="Q116" s="77"/>
      <c r="R116" s="77"/>
      <c r="S116" s="77"/>
      <c r="T116" s="77"/>
      <c r="U116" s="77"/>
    </row>
    <row r="117" spans="1:21" ht="30">
      <c r="A117" s="77"/>
      <c r="B117" s="21" t="s">
        <v>220</v>
      </c>
      <c r="C117" s="161">
        <v>1626735.48</v>
      </c>
      <c r="D117" s="162"/>
      <c r="E117" s="162"/>
      <c r="F117" s="163"/>
      <c r="G117" s="120"/>
      <c r="H117" s="120"/>
      <c r="I117" s="120"/>
      <c r="J117" s="121"/>
      <c r="K117" s="122"/>
      <c r="L117" s="121"/>
      <c r="M117" s="120"/>
      <c r="N117" s="77"/>
      <c r="O117" s="77"/>
      <c r="P117" s="77"/>
      <c r="Q117" s="77"/>
      <c r="R117" s="77"/>
      <c r="S117" s="77"/>
      <c r="T117" s="77"/>
      <c r="U117" s="77"/>
    </row>
    <row r="118" spans="1:21" ht="30">
      <c r="A118" s="77"/>
      <c r="B118" s="21" t="s">
        <v>221</v>
      </c>
      <c r="C118" s="161">
        <f>SUM(U113-U110)</f>
        <v>1529921.3568225123</v>
      </c>
      <c r="D118" s="162"/>
      <c r="E118" s="162"/>
      <c r="F118" s="163"/>
      <c r="G118" s="120"/>
      <c r="H118" s="120"/>
      <c r="I118" s="120"/>
      <c r="J118" s="121"/>
      <c r="K118" s="122"/>
      <c r="L118" s="121"/>
      <c r="M118" s="120"/>
      <c r="N118" s="77"/>
      <c r="O118" s="77"/>
      <c r="P118" s="77"/>
      <c r="Q118" s="77"/>
      <c r="R118" s="77"/>
      <c r="S118" s="77"/>
      <c r="T118" s="77"/>
      <c r="U118" s="77"/>
    </row>
    <row r="119" spans="1:21" ht="30">
      <c r="A119" s="77"/>
      <c r="B119" s="21" t="s">
        <v>222</v>
      </c>
      <c r="C119" s="161">
        <f>SUM(U110)</f>
        <v>209294.05316099999</v>
      </c>
      <c r="D119" s="162"/>
      <c r="E119" s="162"/>
      <c r="F119" s="163"/>
      <c r="G119" s="120"/>
      <c r="H119" s="120"/>
      <c r="I119" s="120"/>
      <c r="J119" s="121"/>
      <c r="K119" s="122"/>
      <c r="L119" s="121"/>
      <c r="M119" s="120"/>
      <c r="N119" s="77"/>
      <c r="O119" s="77"/>
      <c r="P119" s="77"/>
      <c r="Q119" s="77"/>
      <c r="R119" s="77"/>
      <c r="S119" s="77"/>
      <c r="T119" s="77"/>
      <c r="U119" s="77"/>
    </row>
    <row r="120" spans="1:21" ht="18">
      <c r="A120" s="77"/>
      <c r="B120" s="138" t="s">
        <v>223</v>
      </c>
      <c r="C120" s="157">
        <v>1701930.02</v>
      </c>
      <c r="D120" s="158"/>
      <c r="E120" s="158"/>
      <c r="F120" s="159"/>
      <c r="G120" s="77"/>
      <c r="H120" s="124" t="s">
        <v>155</v>
      </c>
      <c r="I120" s="125"/>
      <c r="J120" s="125"/>
      <c r="K120" s="126"/>
      <c r="L120" s="127"/>
      <c r="M120" s="124"/>
      <c r="N120" s="124"/>
      <c r="O120" s="77"/>
      <c r="P120" s="77"/>
      <c r="Q120" s="77"/>
      <c r="R120" s="77"/>
      <c r="S120" s="77"/>
      <c r="T120" s="77"/>
      <c r="U120" s="77"/>
    </row>
    <row r="121" spans="1:21" ht="78.75">
      <c r="A121" s="77"/>
      <c r="B121" s="22" t="s">
        <v>224</v>
      </c>
      <c r="C121" s="164">
        <v>462148.42</v>
      </c>
      <c r="D121" s="165"/>
      <c r="E121" s="165"/>
      <c r="F121" s="166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</row>
    <row r="122" spans="1:21" ht="45">
      <c r="A122" s="77"/>
      <c r="B122" s="128" t="s">
        <v>225</v>
      </c>
      <c r="C122" s="160">
        <f>SUM(U113-C117)+C116</f>
        <v>257107.28998351225</v>
      </c>
      <c r="D122" s="158"/>
      <c r="E122" s="158"/>
      <c r="F122" s="159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</row>
    <row r="124" spans="1:21">
      <c r="J124" s="3"/>
      <c r="K124" s="4"/>
      <c r="L124" s="4"/>
      <c r="M124" s="2"/>
    </row>
    <row r="125" spans="1:21">
      <c r="G125" s="5"/>
      <c r="H125" s="5"/>
    </row>
    <row r="126" spans="1:21">
      <c r="G126" s="6"/>
    </row>
  </sheetData>
  <mergeCells count="12">
    <mergeCell ref="X83:AA83"/>
    <mergeCell ref="B3:L3"/>
    <mergeCell ref="B4:L4"/>
    <mergeCell ref="B5:L5"/>
    <mergeCell ref="B6:L6"/>
    <mergeCell ref="C116:F116"/>
    <mergeCell ref="C122:F122"/>
    <mergeCell ref="C117:F117"/>
    <mergeCell ref="C118:F118"/>
    <mergeCell ref="C119:F119"/>
    <mergeCell ref="C120:F120"/>
    <mergeCell ref="C121:F121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2016-03-16T12:45:06Z</dcterms:modified>
</cp:coreProperties>
</file>