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Окт. 43" sheetId="1" r:id="rId1"/>
  </sheets>
  <definedNames>
    <definedName name="_xlnm.Print_Area" localSheetId="0">'Окт. 43'!$A$1:$U$118</definedName>
  </definedNames>
  <calcPr calcId="124519"/>
</workbook>
</file>

<file path=xl/calcChain.xml><?xml version="1.0" encoding="utf-8"?>
<calcChain xmlns="http://schemas.openxmlformats.org/spreadsheetml/2006/main">
  <c r="H106" i="1"/>
  <c r="U106"/>
  <c r="P105"/>
  <c r="U105" s="1"/>
  <c r="H105"/>
  <c r="U104"/>
  <c r="P104"/>
  <c r="H104"/>
  <c r="U103"/>
  <c r="R103"/>
  <c r="H103"/>
  <c r="U102"/>
  <c r="S102"/>
  <c r="H102"/>
  <c r="U101"/>
  <c r="Q101"/>
  <c r="H101"/>
  <c r="U100"/>
  <c r="Q100"/>
  <c r="H100"/>
  <c r="U99"/>
  <c r="R99"/>
  <c r="H99"/>
  <c r="N97"/>
  <c r="U98"/>
  <c r="R98"/>
  <c r="H98"/>
  <c r="R96"/>
  <c r="U97"/>
  <c r="S97"/>
  <c r="H97"/>
  <c r="Q90"/>
  <c r="O90"/>
  <c r="N90"/>
  <c r="U96"/>
  <c r="T96"/>
  <c r="P96"/>
  <c r="H96"/>
  <c r="N95"/>
  <c r="H95"/>
  <c r="K37"/>
  <c r="T109"/>
  <c r="S109"/>
  <c r="T77"/>
  <c r="S77"/>
  <c r="T75"/>
  <c r="S75"/>
  <c r="T56"/>
  <c r="S56"/>
  <c r="T49"/>
  <c r="T41"/>
  <c r="S41"/>
  <c r="T40"/>
  <c r="S40"/>
  <c r="T39"/>
  <c r="S39"/>
  <c r="T38"/>
  <c r="S38"/>
  <c r="T36"/>
  <c r="S36"/>
  <c r="T35"/>
  <c r="S35"/>
  <c r="T34"/>
  <c r="S34"/>
  <c r="T31"/>
  <c r="S31"/>
  <c r="T28"/>
  <c r="S28"/>
  <c r="T13"/>
  <c r="S13"/>
  <c r="T12"/>
  <c r="S12"/>
  <c r="T11"/>
  <c r="S11"/>
  <c r="R109" l="1"/>
  <c r="Q109"/>
  <c r="P109"/>
  <c r="O109"/>
  <c r="N109"/>
  <c r="R77"/>
  <c r="Q77"/>
  <c r="P77"/>
  <c r="O77"/>
  <c r="N77"/>
  <c r="R75"/>
  <c r="Q75"/>
  <c r="P75"/>
  <c r="O75"/>
  <c r="N75"/>
  <c r="N74"/>
  <c r="Q67"/>
  <c r="P53"/>
  <c r="Q52"/>
  <c r="Q51"/>
  <c r="Q50"/>
  <c r="Q49"/>
  <c r="R49"/>
  <c r="R48"/>
  <c r="R47"/>
  <c r="R46"/>
  <c r="R45"/>
  <c r="R44"/>
  <c r="R31"/>
  <c r="Q31"/>
  <c r="P31"/>
  <c r="O31"/>
  <c r="N31"/>
  <c r="R28"/>
  <c r="Q28"/>
  <c r="P28"/>
  <c r="O28"/>
  <c r="N28"/>
  <c r="R27"/>
  <c r="Q27"/>
  <c r="P27"/>
  <c r="O27"/>
  <c r="M27"/>
  <c r="N27"/>
  <c r="M26"/>
  <c r="R25"/>
  <c r="Q25"/>
  <c r="P25"/>
  <c r="O25"/>
  <c r="N25"/>
  <c r="R24"/>
  <c r="Q24"/>
  <c r="P24"/>
  <c r="O24"/>
  <c r="N24"/>
  <c r="N21"/>
  <c r="N20"/>
  <c r="N19"/>
  <c r="N18"/>
  <c r="N17"/>
  <c r="N16"/>
  <c r="N15"/>
  <c r="N14"/>
  <c r="R13"/>
  <c r="Q13"/>
  <c r="P13"/>
  <c r="O13"/>
  <c r="N13"/>
  <c r="R12"/>
  <c r="Q12"/>
  <c r="P12"/>
  <c r="O12"/>
  <c r="N12"/>
  <c r="R11"/>
  <c r="Q11"/>
  <c r="P11"/>
  <c r="O11"/>
  <c r="N11"/>
  <c r="U95"/>
  <c r="U94"/>
  <c r="M94"/>
  <c r="H94"/>
  <c r="M69"/>
  <c r="M77"/>
  <c r="M75"/>
  <c r="M66"/>
  <c r="M65"/>
  <c r="M64"/>
  <c r="M63"/>
  <c r="M62"/>
  <c r="L53"/>
  <c r="M51"/>
  <c r="M50"/>
  <c r="M49"/>
  <c r="M31"/>
  <c r="M28"/>
  <c r="F27"/>
  <c r="M25"/>
  <c r="M109" s="1"/>
  <c r="M24"/>
  <c r="M13"/>
  <c r="M12"/>
  <c r="M11"/>
  <c r="U93"/>
  <c r="U92"/>
  <c r="L93"/>
  <c r="L92"/>
  <c r="H93"/>
  <c r="H92"/>
  <c r="U91"/>
  <c r="L91"/>
  <c r="H91"/>
  <c r="L89"/>
  <c r="L88"/>
  <c r="L109"/>
  <c r="L77"/>
  <c r="L75"/>
  <c r="L56"/>
  <c r="L48"/>
  <c r="L47"/>
  <c r="L46"/>
  <c r="L45"/>
  <c r="L44"/>
  <c r="L41"/>
  <c r="L40"/>
  <c r="L39"/>
  <c r="L38"/>
  <c r="L36"/>
  <c r="L35"/>
  <c r="L34"/>
  <c r="L31"/>
  <c r="L28"/>
  <c r="L13" l="1"/>
  <c r="L12"/>
  <c r="L11"/>
  <c r="U90"/>
  <c r="K90"/>
  <c r="H90"/>
  <c r="U89"/>
  <c r="K89"/>
  <c r="H89"/>
  <c r="F74"/>
  <c r="U74"/>
  <c r="H74"/>
  <c r="K77"/>
  <c r="K75"/>
  <c r="K56"/>
  <c r="K41"/>
  <c r="K40"/>
  <c r="K39"/>
  <c r="K38"/>
  <c r="K36"/>
  <c r="K35"/>
  <c r="K34"/>
  <c r="K31"/>
  <c r="K28"/>
  <c r="K13"/>
  <c r="K12"/>
  <c r="K11"/>
  <c r="U88"/>
  <c r="J88"/>
  <c r="H88"/>
  <c r="U87"/>
  <c r="J87"/>
  <c r="H87"/>
  <c r="J109"/>
  <c r="J77"/>
  <c r="J75"/>
  <c r="J56"/>
  <c r="J53"/>
  <c r="J52"/>
  <c r="J49"/>
  <c r="J41"/>
  <c r="J40"/>
  <c r="J39"/>
  <c r="J38"/>
  <c r="J36"/>
  <c r="J35"/>
  <c r="J34"/>
  <c r="J31"/>
  <c r="J28"/>
  <c r="J13"/>
  <c r="J12"/>
  <c r="J11"/>
  <c r="U86"/>
  <c r="I86"/>
  <c r="H86"/>
  <c r="U85"/>
  <c r="I85"/>
  <c r="H85"/>
  <c r="U72"/>
  <c r="U70"/>
  <c r="U69"/>
  <c r="U67"/>
  <c r="U66"/>
  <c r="U65"/>
  <c r="U64"/>
  <c r="U63"/>
  <c r="U62"/>
  <c r="U61"/>
  <c r="U60"/>
  <c r="U58"/>
  <c r="U53"/>
  <c r="U52"/>
  <c r="U51"/>
  <c r="U50"/>
  <c r="U48"/>
  <c r="U47"/>
  <c r="U46"/>
  <c r="U45"/>
  <c r="U44"/>
  <c r="U30"/>
  <c r="U29"/>
  <c r="U27"/>
  <c r="U26"/>
  <c r="U25"/>
  <c r="U24"/>
  <c r="U21"/>
  <c r="U20"/>
  <c r="U19"/>
  <c r="U18"/>
  <c r="U17"/>
  <c r="U16"/>
  <c r="U15"/>
  <c r="U14"/>
  <c r="I41"/>
  <c r="U41" s="1"/>
  <c r="I37"/>
  <c r="U37" s="1"/>
  <c r="I36"/>
  <c r="U36" s="1"/>
  <c r="I34"/>
  <c r="U34" s="1"/>
  <c r="F109"/>
  <c r="F48"/>
  <c r="H48" s="1"/>
  <c r="K109" l="1"/>
  <c r="F16"/>
  <c r="F15"/>
  <c r="H70" l="1"/>
  <c r="F53"/>
  <c r="H37" l="1"/>
  <c r="H36"/>
  <c r="F39"/>
  <c r="I39" s="1"/>
  <c r="U39" s="1"/>
  <c r="F35"/>
  <c r="I35" s="1"/>
  <c r="U35" s="1"/>
  <c r="F14"/>
  <c r="F17"/>
  <c r="F18"/>
  <c r="F19"/>
  <c r="H58" l="1"/>
  <c r="H20"/>
  <c r="H108" l="1"/>
  <c r="E77"/>
  <c r="H81" s="1"/>
  <c r="F75"/>
  <c r="I75" s="1"/>
  <c r="U75" s="1"/>
  <c r="U76" s="1"/>
  <c r="H72"/>
  <c r="H69"/>
  <c r="H67"/>
  <c r="F66"/>
  <c r="H66" s="1"/>
  <c r="F65"/>
  <c r="H65" s="1"/>
  <c r="F64"/>
  <c r="H64" s="1"/>
  <c r="F63"/>
  <c r="H63" s="1"/>
  <c r="F62"/>
  <c r="H62" s="1"/>
  <c r="H61"/>
  <c r="H60"/>
  <c r="F56"/>
  <c r="H53"/>
  <c r="H52"/>
  <c r="F51"/>
  <c r="H51" s="1"/>
  <c r="F50"/>
  <c r="H50" s="1"/>
  <c r="F49"/>
  <c r="I49" s="1"/>
  <c r="U49" s="1"/>
  <c r="U54" s="1"/>
  <c r="F47"/>
  <c r="H47" s="1"/>
  <c r="F46"/>
  <c r="H46" s="1"/>
  <c r="F45"/>
  <c r="H45" s="1"/>
  <c r="F44"/>
  <c r="H44" s="1"/>
  <c r="H41"/>
  <c r="F40"/>
  <c r="H39"/>
  <c r="F38"/>
  <c r="H35"/>
  <c r="H34"/>
  <c r="F31"/>
  <c r="H30"/>
  <c r="H29"/>
  <c r="F28"/>
  <c r="I28" s="1"/>
  <c r="U28" s="1"/>
  <c r="H27"/>
  <c r="F26"/>
  <c r="H26" s="1"/>
  <c r="F25"/>
  <c r="H25" s="1"/>
  <c r="F24"/>
  <c r="H24" s="1"/>
  <c r="F21"/>
  <c r="H21" s="1"/>
  <c r="H18"/>
  <c r="H17"/>
  <c r="H14"/>
  <c r="E13"/>
  <c r="F13" s="1"/>
  <c r="I13" s="1"/>
  <c r="U13" s="1"/>
  <c r="F12"/>
  <c r="I12" s="1"/>
  <c r="U12" s="1"/>
  <c r="F11"/>
  <c r="I11" s="1"/>
  <c r="U11" s="1"/>
  <c r="H31" l="1"/>
  <c r="I31"/>
  <c r="U31" s="1"/>
  <c r="U32" s="1"/>
  <c r="H56"/>
  <c r="I56"/>
  <c r="U56" s="1"/>
  <c r="U73" s="1"/>
  <c r="U22"/>
  <c r="H38"/>
  <c r="I38"/>
  <c r="U38" s="1"/>
  <c r="H40"/>
  <c r="I40"/>
  <c r="U40" s="1"/>
  <c r="H75"/>
  <c r="H28"/>
  <c r="H32" s="1"/>
  <c r="H49"/>
  <c r="H54" s="1"/>
  <c r="H11"/>
  <c r="H12"/>
  <c r="H16"/>
  <c r="H13"/>
  <c r="H15"/>
  <c r="H76"/>
  <c r="F77"/>
  <c r="I77" s="1"/>
  <c r="U77" s="1"/>
  <c r="U78" s="1"/>
  <c r="H19"/>
  <c r="H42"/>
  <c r="H73"/>
  <c r="U42" l="1"/>
  <c r="U79" s="1"/>
  <c r="U109" s="1"/>
  <c r="H77"/>
  <c r="H78" s="1"/>
  <c r="C115"/>
  <c r="H22"/>
  <c r="I109" l="1"/>
  <c r="H79"/>
  <c r="H82" s="1"/>
  <c r="G109" s="1"/>
  <c r="H109" s="1"/>
  <c r="C114" l="1"/>
  <c r="C118"/>
</calcChain>
</file>

<file path=xl/sharedStrings.xml><?xml version="1.0" encoding="utf-8"?>
<sst xmlns="http://schemas.openxmlformats.org/spreadsheetml/2006/main" count="321" uniqueCount="241">
  <si>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</si>
  <si>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</si>
  <si>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</si>
  <si>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</si>
  <si>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</si>
  <si>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</si>
  <si>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</si>
  <si>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</si>
  <si>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</si>
  <si>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</si>
  <si>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</si>
  <si>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</si>
  <si>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</si>
  <si>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</si>
  <si>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</si>
  <si>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</si>
  <si>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</si>
  <si>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</si>
  <si>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ТЭР 51-009</t>
  </si>
  <si>
    <t>Мытье лестничных  площадок и маршей 1-5 этаж.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</si>
  <si>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</si>
  <si>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</si>
  <si>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</si>
  <si>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</si>
  <si>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</si>
  <si>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</si>
  <si>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</si>
  <si>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</si>
  <si>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</si>
  <si>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</si>
  <si>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</si>
  <si>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</si>
  <si>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</si>
  <si>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51-020</t>
  </si>
  <si>
    <t>Влажная протирка подоконников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</si>
  <si>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</si>
  <si>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</si>
  <si>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</si>
  <si>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</si>
  <si>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</si>
  <si>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</si>
  <si>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</si>
  <si>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</si>
  <si>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</si>
  <si>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</si>
  <si>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</si>
  <si>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</si>
  <si>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</si>
  <si>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</si>
  <si>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</si>
  <si>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</si>
  <si>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</si>
  <si>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</si>
  <si>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</si>
  <si>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</si>
  <si>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</si>
  <si>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</si>
  <si>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</si>
  <si>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</si>
  <si>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</si>
  <si>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</si>
  <si>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</si>
  <si>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</si>
  <si>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</si>
  <si>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</si>
  <si>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</si>
  <si>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</si>
  <si>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</si>
  <si>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</si>
  <si>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</si>
  <si>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</si>
  <si>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</si>
  <si>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</si>
  <si>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</si>
  <si>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</si>
  <si>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</si>
  <si>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</si>
  <si>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</si>
  <si>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</si>
  <si>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</si>
  <si>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</si>
  <si>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</si>
  <si>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</si>
  <si>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</si>
  <si>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</si>
  <si>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</si>
  <si>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</si>
  <si>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</si>
  <si>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</si>
  <si>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</si>
  <si>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</si>
  <si>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</si>
  <si>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</si>
  <si>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</si>
  <si>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</si>
  <si>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</si>
  <si>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</si>
  <si>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</si>
  <si>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</si>
  <si>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</si>
  <si>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</si>
  <si>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</si>
  <si>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</si>
  <si>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</si>
  <si>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 xml:space="preserve">пр.ТЭР 54-041 </t>
  </si>
  <si>
    <t>Чердак, подвал, технический этаж</t>
  </si>
  <si>
    <t>ТЭР 51-034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</si>
  <si>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</si>
  <si>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</si>
  <si>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</si>
  <si>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</si>
  <si>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</si>
  <si>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</si>
  <si>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</si>
  <si>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</si>
  <si>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</si>
  <si>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</si>
  <si>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</si>
  <si>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</si>
  <si>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</si>
  <si>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</si>
  <si>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</si>
  <si>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</si>
  <si>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</si>
  <si>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</si>
  <si>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</si>
  <si>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</si>
  <si>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</si>
  <si>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</si>
  <si>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</si>
  <si>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</si>
  <si>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</si>
  <si>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</si>
  <si>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</si>
  <si>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</si>
  <si>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</si>
  <si>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</si>
  <si>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</si>
  <si>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</si>
  <si>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</si>
  <si>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</si>
  <si>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</si>
  <si>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</si>
  <si>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</si>
  <si>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</si>
  <si>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</si>
  <si>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ТЭР 51-022</t>
  </si>
  <si>
    <t>Влажная протирка шкафов для щитов и слаботочн. устройств</t>
  </si>
  <si>
    <t>3 раза в год</t>
  </si>
  <si>
    <t xml:space="preserve"> Очистка края кровли от слежавшегося снега со сбрасыванием сосулек (10% от S кровли) и козырьки</t>
  </si>
  <si>
    <t>Очистка чердака, подвала от мусора</t>
  </si>
  <si>
    <t>12 раз за сезон</t>
  </si>
  <si>
    <t>24 раза за сезон</t>
  </si>
  <si>
    <t>Сдвигание снега в дни снегопада ( проезды)</t>
  </si>
  <si>
    <t>Сдвигание снега в дни снегопада ( крыльца, тротуары</t>
  </si>
  <si>
    <t>30 раз за сезон</t>
  </si>
  <si>
    <t>Вывоз снега с придомовой территории</t>
  </si>
  <si>
    <t>Вода для промывки СО</t>
  </si>
  <si>
    <t>Сброс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</si>
  <si>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</si>
  <si>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</si>
  <si>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</si>
  <si>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ТЭР 3-7-1в</t>
  </si>
  <si>
    <t>Осмотр шиферной  кровли</t>
  </si>
  <si>
    <t>ТЭР 42-003</t>
  </si>
  <si>
    <t>Осмотр деревянных конструкций стропил</t>
  </si>
  <si>
    <t>100 м3</t>
  </si>
  <si>
    <t>калькуляция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</si>
  <si>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</si>
  <si>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</si>
  <si>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</si>
  <si>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</si>
  <si>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</si>
  <si>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</si>
  <si>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</si>
  <si>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</si>
  <si>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</si>
  <si>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</si>
  <si>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</si>
  <si>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</si>
  <si>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 ( -долг за предприятием, +долг за населением)</t>
  </si>
  <si>
    <t>Ремонт и регулировка доводчика (со стоимостью доводчика)</t>
  </si>
  <si>
    <t>1шт.</t>
  </si>
  <si>
    <t>смета</t>
  </si>
  <si>
    <t>Монтаж таймера времени в силовом щите</t>
  </si>
  <si>
    <t>тыс. руб.</t>
  </si>
  <si>
    <t>С учетом показателя инфляции (К=1,064)</t>
  </si>
  <si>
    <t>Смена арматуры - вентилей и клапанов обратных муфтовых диаметром до 20 мм</t>
  </si>
  <si>
    <t>1 шт</t>
  </si>
  <si>
    <t>ТЭР 32-027</t>
  </si>
  <si>
    <t>Смена светильников с лампами накаливания</t>
  </si>
  <si>
    <t>ТЭР 33-023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</si>
  <si>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Октябрьская, 43</t>
    </r>
    <r>
      <rPr>
        <b/>
        <sz val="14"/>
        <rFont val="Arial"/>
        <family val="2"/>
        <charset val="204"/>
      </rPr>
      <t xml:space="preserve">   (п. Ярега)  </t>
    </r>
    <r>
      <rPr>
        <b/>
        <sz val="14"/>
        <color indexed="10"/>
        <rFont val="Arial"/>
        <family val="2"/>
        <charset val="204"/>
      </rPr>
      <t>за  2015 год</t>
    </r>
  </si>
  <si>
    <t>Стоимость (руб.)</t>
  </si>
  <si>
    <t>договор</t>
  </si>
  <si>
    <t>ТО внутридомового газ.оборудования</t>
  </si>
  <si>
    <t>10 м</t>
  </si>
  <si>
    <t>маш/час</t>
  </si>
  <si>
    <t>Работа автовышки</t>
  </si>
  <si>
    <t>Ремонт групповых щитков на лестничной клетке без ремонта автоматов</t>
  </si>
  <si>
    <t>ТЭР 33-030</t>
  </si>
  <si>
    <t>4 этажа, 3 подъезда</t>
  </si>
  <si>
    <t>Демонтаж кабеля</t>
  </si>
  <si>
    <t>ТЭР 33-012</t>
  </si>
  <si>
    <t>Демонтаж осветительных приборов. Патроны, подвесы</t>
  </si>
  <si>
    <t>10шт</t>
  </si>
  <si>
    <t>Демонтаж осветительных приборов. Светильники с лампами накаливания</t>
  </si>
  <si>
    <t>ТЭР 33-014</t>
  </si>
  <si>
    <t>ТЭР 33-015</t>
  </si>
  <si>
    <t>Мелкий ремонт электропроводки</t>
  </si>
  <si>
    <t>1 м</t>
  </si>
  <si>
    <t>ТЭР Q2-2-1-3-3</t>
  </si>
  <si>
    <t>счет</t>
  </si>
  <si>
    <t>Установка скамейки</t>
  </si>
  <si>
    <t>Начислено за содержание и текущий ремонт за 2015  г.</t>
  </si>
  <si>
    <t>Выполнено работ по содержанию за        2015 г.</t>
  </si>
  <si>
    <t>Выполнено работ по текущему ремонту за 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</si>
  <si>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</si>
  <si>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</si>
  <si>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</si>
  <si>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место</t>
  </si>
  <si>
    <t>ТЭР 32-098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</si>
  <si>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</si>
  <si>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</si>
  <si>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Ремонт внутренних трубопроводов и стояков д=до 50 мм (хомуты)</t>
  </si>
  <si>
    <t>Смена трубопроводов на металл-полимерные трубы д=20</t>
  </si>
  <si>
    <t>прим.2-2-1-2-7</t>
  </si>
  <si>
    <t>ТЭР 15-046</t>
  </si>
  <si>
    <t>Укрепление оконных и дверных приборов - пружин, ручек, петель, шпингалетов (слух.окна)</t>
  </si>
  <si>
    <t>Подключение и отключение сварочного аппарата</t>
  </si>
  <si>
    <t>ТЭР 33-060</t>
  </si>
  <si>
    <t xml:space="preserve">Смена сгонов у трубопроводов диаметром до 20 мм </t>
  </si>
  <si>
    <t>1 сгон</t>
  </si>
  <si>
    <t>ТЭР 31-009</t>
  </si>
  <si>
    <t>Ремонт кирпичной стены (после ремонта ВДИС)</t>
  </si>
  <si>
    <t>м2</t>
  </si>
  <si>
    <t>Q2-2-1-3-3</t>
  </si>
  <si>
    <t>ТЭР 17-061</t>
  </si>
  <si>
    <t>Смена обделок из листовой стали, примыканий к вытяжным трубам ( удлинение вент.оголовка)</t>
  </si>
  <si>
    <t>40-3-33-д</t>
  </si>
  <si>
    <t>Изготовление щитов вентиляционных шахт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</si>
</sst>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3" fillId="5" borderId="7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4" fontId="15" fillId="2" borderId="7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4" fontId="15" fillId="8" borderId="7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3" fillId="8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4" borderId="13" xfId="0" applyFont="1" applyFill="1" applyBorder="1" applyAlignment="1" applyProtection="1">
      <alignment horizontal="center" vertical="center" wrapText="1"/>
    </xf>
    <xf numFmtId="0" fontId="1" fillId="13" borderId="3" xfId="0" applyNumberFormat="1" applyFont="1" applyFill="1" applyBorder="1" applyAlignment="1" applyProtection="1">
      <alignment horizontal="center" vertical="center"/>
    </xf>
    <xf numFmtId="0" fontId="1" fillId="13" borderId="3" xfId="0" applyNumberFormat="1" applyFont="1" applyFill="1" applyBorder="1" applyAlignment="1" applyProtection="1">
      <alignment horizontal="left" vertical="center" wrapText="1"/>
    </xf>
    <xf numFmtId="0" fontId="1" fillId="13" borderId="3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4" fontId="1" fillId="4" borderId="7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9" fillId="1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22"/>
  <sheetViews>
    <sheetView tabSelected="1" view="pageBreakPreview" zoomScaleNormal="75" zoomScaleSheetLayoutView="100" workbookViewId="0">
      <pane ySplit="7" topLeftCell="A115" activePane="bottomLeft" state="frozen"/>
      <selection activeCell="B1" sqref="B1"/>
      <selection pane="bottomLeft" activeCell="C113" sqref="C113:F113"/>
    </sheetView>
  </sheetViews>
  <sheetFormatPr defaultRowHeight="12.75"/>
  <cols>
    <col min="1" max="1" width="12.42578125" customWidth="1"/>
    <col min="2" max="2" width="41.425781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42578125" customWidth="1"/>
    <col min="10" max="10" width="10.140625" customWidth="1"/>
    <col min="11" max="11" width="9.85546875" customWidth="1"/>
    <col min="12" max="12" width="10" customWidth="1"/>
    <col min="13" max="13" width="9.5703125" customWidth="1"/>
    <col min="14" max="14" width="9.85546875" customWidth="1"/>
    <col min="15" max="15" width="10.140625" customWidth="1"/>
    <col min="16" max="17" width="10" customWidth="1"/>
    <col min="18" max="18" width="10.140625" customWidth="1"/>
    <col min="19" max="19" width="9.85546875" customWidth="1"/>
    <col min="20" max="20" width="9.42578125" customWidth="1"/>
    <col min="21" max="21" width="12.42578125" customWidth="1"/>
  </cols>
  <sheetData>
    <row r="1" spans="1:21" ht="14.25" customHeight="1">
      <c r="A1" s="11"/>
    </row>
    <row r="3" spans="1:21" ht="18">
      <c r="A3" s="137"/>
      <c r="B3" s="152" t="s">
        <v>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73"/>
      <c r="N3" s="73"/>
      <c r="O3" s="73"/>
      <c r="P3" s="73"/>
      <c r="Q3" s="73"/>
      <c r="R3" s="73"/>
      <c r="S3" s="73"/>
      <c r="T3" s="73"/>
      <c r="U3" s="73"/>
    </row>
    <row r="4" spans="1:21" ht="35.25" customHeight="1">
      <c r="A4" s="73"/>
      <c r="B4" s="153" t="s">
        <v>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73"/>
      <c r="N4" s="73"/>
      <c r="O4" s="73"/>
      <c r="P4" s="73"/>
      <c r="Q4" s="73"/>
      <c r="R4" s="73"/>
      <c r="S4" s="73"/>
      <c r="T4" s="73"/>
      <c r="U4" s="73"/>
    </row>
    <row r="5" spans="1:21" ht="18">
      <c r="A5" s="73"/>
      <c r="B5" s="153" t="s">
        <v>192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73"/>
      <c r="N5" s="73"/>
      <c r="O5" s="73"/>
      <c r="P5" s="73"/>
      <c r="Q5" s="73"/>
      <c r="R5" s="73"/>
      <c r="S5" s="73"/>
      <c r="T5" s="73"/>
      <c r="U5" s="73"/>
    </row>
    <row r="6" spans="1:21" ht="15">
      <c r="A6" s="73"/>
      <c r="B6" s="154" t="s">
        <v>201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73"/>
      <c r="N6" s="73"/>
      <c r="O6" s="73"/>
      <c r="P6" s="73"/>
      <c r="Q6" s="73"/>
      <c r="R6" s="73"/>
      <c r="S6" s="73"/>
      <c r="T6" s="73"/>
      <c r="U6" s="73"/>
    </row>
    <row r="7" spans="1:21" ht="46.5" customHeight="1">
      <c r="A7" s="29" t="s">
        <v>2</v>
      </c>
      <c r="B7" s="29" t="s">
        <v>3</v>
      </c>
      <c r="C7" s="29" t="s">
        <v>4</v>
      </c>
      <c r="D7" s="29" t="s">
        <v>5</v>
      </c>
      <c r="E7" s="29" t="s">
        <v>6</v>
      </c>
      <c r="F7" s="29" t="s">
        <v>7</v>
      </c>
      <c r="G7" s="29" t="s">
        <v>8</v>
      </c>
      <c r="H7" s="30" t="s">
        <v>9</v>
      </c>
      <c r="I7" s="28" t="s">
        <v>168</v>
      </c>
      <c r="J7" s="28" t="s">
        <v>169</v>
      </c>
      <c r="K7" s="28" t="s">
        <v>170</v>
      </c>
      <c r="L7" s="28" t="s">
        <v>171</v>
      </c>
      <c r="M7" s="28" t="s">
        <v>172</v>
      </c>
      <c r="N7" s="28" t="s">
        <v>173</v>
      </c>
      <c r="O7" s="28" t="s">
        <v>174</v>
      </c>
      <c r="P7" s="28" t="s">
        <v>175</v>
      </c>
      <c r="Q7" s="28" t="s">
        <v>176</v>
      </c>
      <c r="R7" s="28" t="s">
        <v>177</v>
      </c>
      <c r="S7" s="28" t="s">
        <v>178</v>
      </c>
      <c r="T7" s="28" t="s">
        <v>179</v>
      </c>
      <c r="U7" s="28" t="s">
        <v>193</v>
      </c>
    </row>
    <row r="8" spans="1:21">
      <c r="A8" s="31">
        <v>1</v>
      </c>
      <c r="B8" s="8">
        <v>2</v>
      </c>
      <c r="C8" s="31">
        <v>3</v>
      </c>
      <c r="D8" s="8">
        <v>4</v>
      </c>
      <c r="E8" s="8">
        <v>5</v>
      </c>
      <c r="F8" s="31">
        <v>6</v>
      </c>
      <c r="G8" s="31">
        <v>7</v>
      </c>
      <c r="H8" s="138">
        <v>8</v>
      </c>
      <c r="I8" s="139">
        <v>10</v>
      </c>
      <c r="J8" s="139">
        <v>11</v>
      </c>
      <c r="K8" s="139">
        <v>12</v>
      </c>
      <c r="L8" s="139">
        <v>13</v>
      </c>
      <c r="M8" s="140">
        <v>14</v>
      </c>
      <c r="N8" s="141">
        <v>15</v>
      </c>
      <c r="O8" s="141">
        <v>16</v>
      </c>
      <c r="P8" s="141">
        <v>17</v>
      </c>
      <c r="Q8" s="141">
        <v>18</v>
      </c>
      <c r="R8" s="141">
        <v>19</v>
      </c>
      <c r="S8" s="141">
        <v>20</v>
      </c>
      <c r="T8" s="141">
        <v>21</v>
      </c>
      <c r="U8" s="141">
        <v>22</v>
      </c>
    </row>
    <row r="9" spans="1:21" ht="38.25">
      <c r="A9" s="31"/>
      <c r="B9" s="10" t="s">
        <v>10</v>
      </c>
      <c r="C9" s="31"/>
      <c r="D9" s="12"/>
      <c r="E9" s="12"/>
      <c r="F9" s="31"/>
      <c r="G9" s="31"/>
      <c r="H9" s="32"/>
      <c r="I9" s="33"/>
      <c r="J9" s="33"/>
      <c r="K9" s="33"/>
      <c r="L9" s="33"/>
      <c r="M9" s="34"/>
      <c r="N9" s="35"/>
      <c r="O9" s="35"/>
      <c r="P9" s="35"/>
      <c r="Q9" s="35"/>
      <c r="R9" s="35"/>
      <c r="S9" s="35"/>
      <c r="T9" s="35"/>
      <c r="U9" s="35"/>
    </row>
    <row r="10" spans="1:21">
      <c r="A10" s="31"/>
      <c r="B10" s="10" t="s">
        <v>11</v>
      </c>
      <c r="C10" s="31"/>
      <c r="D10" s="12"/>
      <c r="E10" s="12"/>
      <c r="F10" s="31"/>
      <c r="G10" s="31"/>
      <c r="H10" s="32"/>
      <c r="I10" s="33"/>
      <c r="J10" s="33"/>
      <c r="K10" s="33"/>
      <c r="L10" s="33"/>
      <c r="M10" s="34"/>
      <c r="N10" s="35"/>
      <c r="O10" s="35"/>
      <c r="P10" s="35"/>
      <c r="Q10" s="35"/>
      <c r="R10" s="35"/>
      <c r="S10" s="35"/>
      <c r="T10" s="35"/>
      <c r="U10" s="35"/>
    </row>
    <row r="11" spans="1:21" ht="25.5">
      <c r="A11" s="31" t="s">
        <v>12</v>
      </c>
      <c r="B11" s="12" t="s">
        <v>13</v>
      </c>
      <c r="C11" s="31" t="s">
        <v>14</v>
      </c>
      <c r="D11" s="12" t="s">
        <v>15</v>
      </c>
      <c r="E11" s="36">
        <v>38.1</v>
      </c>
      <c r="F11" s="37">
        <f>SUM(E11*156/100)</f>
        <v>59.436000000000007</v>
      </c>
      <c r="G11" s="37">
        <v>187.48</v>
      </c>
      <c r="H11" s="38">
        <f t="shared" ref="H11:H21" si="0">SUM(F11*G11/1000)</f>
        <v>11.14306128</v>
      </c>
      <c r="I11" s="39">
        <f>F11/12*G11</f>
        <v>928.58843999999999</v>
      </c>
      <c r="J11" s="39">
        <f>F11/12*G11</f>
        <v>928.58843999999999</v>
      </c>
      <c r="K11" s="39">
        <f>F11/12*G11</f>
        <v>928.58843999999999</v>
      </c>
      <c r="L11" s="39">
        <f>F11/12*G11</f>
        <v>928.58843999999999</v>
      </c>
      <c r="M11" s="39">
        <f>F11/12*G11</f>
        <v>928.58843999999999</v>
      </c>
      <c r="N11" s="39">
        <f>F11/12*G11</f>
        <v>928.58843999999999</v>
      </c>
      <c r="O11" s="39">
        <f>F11/12*G11</f>
        <v>928.58843999999999</v>
      </c>
      <c r="P11" s="39">
        <f>F11/12*G11</f>
        <v>928.58843999999999</v>
      </c>
      <c r="Q11" s="39">
        <f>F11/12*G11</f>
        <v>928.58843999999999</v>
      </c>
      <c r="R11" s="39">
        <f>F11/12*G11</f>
        <v>928.58843999999999</v>
      </c>
      <c r="S11" s="39">
        <f>F11/12*G11</f>
        <v>928.58843999999999</v>
      </c>
      <c r="T11" s="39">
        <f>F11/12*G11</f>
        <v>928.58843999999999</v>
      </c>
      <c r="U11" s="40">
        <f t="shared" ref="U11:U21" si="1">SUM(I11:T11)</f>
        <v>11143.061279999996</v>
      </c>
    </row>
    <row r="12" spans="1:21" ht="25.5">
      <c r="A12" s="31" t="s">
        <v>12</v>
      </c>
      <c r="B12" s="12" t="s">
        <v>16</v>
      </c>
      <c r="C12" s="31" t="s">
        <v>14</v>
      </c>
      <c r="D12" s="12" t="s">
        <v>17</v>
      </c>
      <c r="E12" s="36">
        <v>114.4</v>
      </c>
      <c r="F12" s="37">
        <f>SUM(E12*104/100)</f>
        <v>118.976</v>
      </c>
      <c r="G12" s="37">
        <v>187.48</v>
      </c>
      <c r="H12" s="38">
        <f t="shared" si="0"/>
        <v>22.305620479999998</v>
      </c>
      <c r="I12" s="39">
        <f>F12/12*G12</f>
        <v>1858.8017066666666</v>
      </c>
      <c r="J12" s="39">
        <f>F12/12*G12</f>
        <v>1858.8017066666666</v>
      </c>
      <c r="K12" s="39">
        <f>F12/12*G12</f>
        <v>1858.8017066666666</v>
      </c>
      <c r="L12" s="39">
        <f>F12/12*G12</f>
        <v>1858.8017066666666</v>
      </c>
      <c r="M12" s="39">
        <f>F12/12*G12</f>
        <v>1858.8017066666666</v>
      </c>
      <c r="N12" s="39">
        <f>F12/12*G12</f>
        <v>1858.8017066666666</v>
      </c>
      <c r="O12" s="39">
        <f>F12/12*G12</f>
        <v>1858.8017066666666</v>
      </c>
      <c r="P12" s="39">
        <f>F12/12*G12</f>
        <v>1858.8017066666666</v>
      </c>
      <c r="Q12" s="39">
        <f>F12/12*G12</f>
        <v>1858.8017066666666</v>
      </c>
      <c r="R12" s="39">
        <f>F12/12*G12</f>
        <v>1858.8017066666666</v>
      </c>
      <c r="S12" s="39">
        <f>F12/12*G12</f>
        <v>1858.8017066666666</v>
      </c>
      <c r="T12" s="39">
        <f>F12/12*G12</f>
        <v>1858.8017066666666</v>
      </c>
      <c r="U12" s="40">
        <f t="shared" si="1"/>
        <v>22305.620479999998</v>
      </c>
    </row>
    <row r="13" spans="1:21" ht="25.5">
      <c r="A13" s="31" t="s">
        <v>18</v>
      </c>
      <c r="B13" s="12" t="s">
        <v>19</v>
      </c>
      <c r="C13" s="31" t="s">
        <v>14</v>
      </c>
      <c r="D13" s="12" t="s">
        <v>20</v>
      </c>
      <c r="E13" s="36">
        <f>SUM(E11+E12)</f>
        <v>152.5</v>
      </c>
      <c r="F13" s="37">
        <f>SUM(E13*24/100)</f>
        <v>36.6</v>
      </c>
      <c r="G13" s="37">
        <v>539.30999999999995</v>
      </c>
      <c r="H13" s="38">
        <f t="shared" si="0"/>
        <v>19.738745999999999</v>
      </c>
      <c r="I13" s="39">
        <f>F13/12*G13</f>
        <v>1644.8955000000001</v>
      </c>
      <c r="J13" s="39">
        <f>F13/12*G13</f>
        <v>1644.8955000000001</v>
      </c>
      <c r="K13" s="39">
        <f>F13/12*G13</f>
        <v>1644.8955000000001</v>
      </c>
      <c r="L13" s="39">
        <f>F13/12*G13</f>
        <v>1644.8955000000001</v>
      </c>
      <c r="M13" s="39">
        <f>F13/12*G13</f>
        <v>1644.8955000000001</v>
      </c>
      <c r="N13" s="39">
        <f>F13/12*G13</f>
        <v>1644.8955000000001</v>
      </c>
      <c r="O13" s="39">
        <f>F13/12*G13</f>
        <v>1644.8955000000001</v>
      </c>
      <c r="P13" s="39">
        <f>F13/12*G13</f>
        <v>1644.8955000000001</v>
      </c>
      <c r="Q13" s="39">
        <f>F13/12*G13</f>
        <v>1644.8955000000001</v>
      </c>
      <c r="R13" s="39">
        <f>F13/12*G13</f>
        <v>1644.8955000000001</v>
      </c>
      <c r="S13" s="39">
        <f>F13/12*G13</f>
        <v>1644.8955000000001</v>
      </c>
      <c r="T13" s="39">
        <f>F13/12*G13</f>
        <v>1644.8955000000001</v>
      </c>
      <c r="U13" s="40">
        <f t="shared" si="1"/>
        <v>19738.745999999999</v>
      </c>
    </row>
    <row r="14" spans="1:21">
      <c r="A14" s="31" t="s">
        <v>21</v>
      </c>
      <c r="B14" s="12" t="s">
        <v>22</v>
      </c>
      <c r="C14" s="31" t="s">
        <v>23</v>
      </c>
      <c r="D14" s="12" t="s">
        <v>144</v>
      </c>
      <c r="E14" s="36">
        <v>32.4</v>
      </c>
      <c r="F14" s="37">
        <f>SUM(E14/10)</f>
        <v>3.2399999999999998</v>
      </c>
      <c r="G14" s="37">
        <v>181.91</v>
      </c>
      <c r="H14" s="38">
        <f t="shared" si="0"/>
        <v>0.58938839999999992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f t="shared" ref="N14:N21" si="2">F14*G14</f>
        <v>589.38839999999993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40">
        <f t="shared" si="1"/>
        <v>589.38839999999993</v>
      </c>
    </row>
    <row r="15" spans="1:21">
      <c r="A15" s="31" t="s">
        <v>24</v>
      </c>
      <c r="B15" s="12" t="s">
        <v>25</v>
      </c>
      <c r="C15" s="31" t="s">
        <v>14</v>
      </c>
      <c r="D15" s="12" t="s">
        <v>81</v>
      </c>
      <c r="E15" s="36">
        <v>12.24</v>
      </c>
      <c r="F15" s="37">
        <f>SUM(E15*2/100)</f>
        <v>0.24480000000000002</v>
      </c>
      <c r="G15" s="37">
        <v>232.92</v>
      </c>
      <c r="H15" s="38">
        <f t="shared" si="0"/>
        <v>5.7018816E-2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f t="shared" si="2"/>
        <v>57.018816000000001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40">
        <f t="shared" si="1"/>
        <v>57.018816000000001</v>
      </c>
    </row>
    <row r="16" spans="1:21">
      <c r="A16" s="31" t="s">
        <v>26</v>
      </c>
      <c r="B16" s="12" t="s">
        <v>27</v>
      </c>
      <c r="C16" s="31" t="s">
        <v>14</v>
      </c>
      <c r="D16" s="12" t="s">
        <v>81</v>
      </c>
      <c r="E16" s="36">
        <v>10.08</v>
      </c>
      <c r="F16" s="37">
        <f>SUM(E16*2/100)</f>
        <v>0.2016</v>
      </c>
      <c r="G16" s="37">
        <v>231.03</v>
      </c>
      <c r="H16" s="38">
        <f t="shared" si="0"/>
        <v>4.6575648000000004E-2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f t="shared" si="2"/>
        <v>46.575648000000001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40">
        <f t="shared" si="1"/>
        <v>46.575648000000001</v>
      </c>
    </row>
    <row r="17" spans="1:21">
      <c r="A17" s="31" t="s">
        <v>28</v>
      </c>
      <c r="B17" s="12" t="s">
        <v>29</v>
      </c>
      <c r="C17" s="31" t="s">
        <v>30</v>
      </c>
      <c r="D17" s="12" t="s">
        <v>144</v>
      </c>
      <c r="E17" s="36">
        <v>293.76</v>
      </c>
      <c r="F17" s="37">
        <f>SUM(E17/100)</f>
        <v>2.9375999999999998</v>
      </c>
      <c r="G17" s="37">
        <v>287.83999999999997</v>
      </c>
      <c r="H17" s="38">
        <f t="shared" si="0"/>
        <v>0.84555878399999984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f t="shared" si="2"/>
        <v>845.55878399999983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40">
        <f t="shared" si="1"/>
        <v>845.55878399999983</v>
      </c>
    </row>
    <row r="18" spans="1:21">
      <c r="A18" s="31" t="s">
        <v>31</v>
      </c>
      <c r="B18" s="12" t="s">
        <v>32</v>
      </c>
      <c r="C18" s="31" t="s">
        <v>30</v>
      </c>
      <c r="D18" s="12" t="s">
        <v>144</v>
      </c>
      <c r="E18" s="41">
        <v>17.64</v>
      </c>
      <c r="F18" s="37">
        <f>SUM(E18/100)</f>
        <v>0.1764</v>
      </c>
      <c r="G18" s="37">
        <v>47.34</v>
      </c>
      <c r="H18" s="38">
        <f t="shared" si="0"/>
        <v>8.3507760000000007E-3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f t="shared" si="2"/>
        <v>8.3507760000000015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40">
        <f t="shared" si="1"/>
        <v>8.3507760000000015</v>
      </c>
    </row>
    <row r="19" spans="1:21">
      <c r="A19" s="31" t="s">
        <v>33</v>
      </c>
      <c r="B19" s="12" t="s">
        <v>34</v>
      </c>
      <c r="C19" s="31" t="s">
        <v>30</v>
      </c>
      <c r="D19" s="12" t="s">
        <v>145</v>
      </c>
      <c r="E19" s="36">
        <v>10.8</v>
      </c>
      <c r="F19" s="37">
        <f>E19/100</f>
        <v>0.10800000000000001</v>
      </c>
      <c r="G19" s="37">
        <v>416.62</v>
      </c>
      <c r="H19" s="38">
        <f t="shared" si="0"/>
        <v>4.4994960000000007E-2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f t="shared" si="2"/>
        <v>44.994960000000006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40">
        <f t="shared" si="1"/>
        <v>44.994960000000006</v>
      </c>
    </row>
    <row r="20" spans="1:21" ht="25.5">
      <c r="A20" s="31" t="s">
        <v>146</v>
      </c>
      <c r="B20" s="12" t="s">
        <v>147</v>
      </c>
      <c r="C20" s="31" t="s">
        <v>30</v>
      </c>
      <c r="D20" s="12" t="s">
        <v>49</v>
      </c>
      <c r="E20" s="36">
        <v>12.6</v>
      </c>
      <c r="F20" s="37">
        <v>0.13</v>
      </c>
      <c r="G20" s="37">
        <v>231.03</v>
      </c>
      <c r="H20" s="38">
        <f>G20*F20/1000</f>
        <v>3.0033900000000002E-2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f t="shared" si="2"/>
        <v>30.033900000000003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40">
        <f t="shared" si="1"/>
        <v>30.033900000000003</v>
      </c>
    </row>
    <row r="21" spans="1:21">
      <c r="A21" s="31" t="s">
        <v>35</v>
      </c>
      <c r="B21" s="12" t="s">
        <v>36</v>
      </c>
      <c r="C21" s="31" t="s">
        <v>30</v>
      </c>
      <c r="D21" s="12" t="s">
        <v>144</v>
      </c>
      <c r="E21" s="36">
        <v>14.4</v>
      </c>
      <c r="F21" s="37">
        <f>SUM(E21/100)</f>
        <v>0.14400000000000002</v>
      </c>
      <c r="G21" s="37">
        <v>556.74</v>
      </c>
      <c r="H21" s="38">
        <f t="shared" si="0"/>
        <v>8.0170560000000016E-2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f t="shared" si="2"/>
        <v>80.170560000000009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40">
        <f t="shared" si="1"/>
        <v>80.170560000000009</v>
      </c>
    </row>
    <row r="22" spans="1:21" s="21" customFormat="1">
      <c r="A22" s="42"/>
      <c r="B22" s="22" t="s">
        <v>37</v>
      </c>
      <c r="C22" s="43"/>
      <c r="D22" s="22"/>
      <c r="E22" s="44"/>
      <c r="F22" s="45"/>
      <c r="G22" s="45"/>
      <c r="H22" s="46">
        <f>SUM(H11:H21)</f>
        <v>54.889519603999993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8">
        <f>SUM(U11:U21)</f>
        <v>54889.519604000001</v>
      </c>
    </row>
    <row r="23" spans="1:21">
      <c r="A23" s="31"/>
      <c r="B23" s="14" t="s">
        <v>38</v>
      </c>
      <c r="C23" s="31"/>
      <c r="D23" s="12"/>
      <c r="E23" s="36"/>
      <c r="F23" s="37"/>
      <c r="G23" s="37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40"/>
    </row>
    <row r="24" spans="1:21" ht="25.5" customHeight="1">
      <c r="A24" s="31" t="s">
        <v>39</v>
      </c>
      <c r="B24" s="12" t="s">
        <v>40</v>
      </c>
      <c r="C24" s="31" t="s">
        <v>41</v>
      </c>
      <c r="D24" s="12" t="s">
        <v>42</v>
      </c>
      <c r="E24" s="37">
        <v>652.9</v>
      </c>
      <c r="F24" s="37">
        <f>SUM(E24*52/1000)</f>
        <v>33.950799999999994</v>
      </c>
      <c r="G24" s="37">
        <v>166.65</v>
      </c>
      <c r="H24" s="38">
        <f t="shared" ref="H24:H31" si="3">SUM(F24*G24/1000)</f>
        <v>5.6579008199999992</v>
      </c>
      <c r="I24" s="39">
        <v>0</v>
      </c>
      <c r="J24" s="39">
        <v>0</v>
      </c>
      <c r="K24" s="39">
        <v>0</v>
      </c>
      <c r="L24" s="39">
        <v>0</v>
      </c>
      <c r="M24" s="39">
        <f>F24/6*G24</f>
        <v>942.9834699999999</v>
      </c>
      <c r="N24" s="39">
        <f>F24/6*G24</f>
        <v>942.9834699999999</v>
      </c>
      <c r="O24" s="39">
        <f>F24/6*G24</f>
        <v>942.9834699999999</v>
      </c>
      <c r="P24" s="39">
        <f>F24/6*G24</f>
        <v>942.9834699999999</v>
      </c>
      <c r="Q24" s="39">
        <f>F24/6*G24</f>
        <v>942.9834699999999</v>
      </c>
      <c r="R24" s="39">
        <f>F24/6*G24</f>
        <v>942.9834699999999</v>
      </c>
      <c r="S24" s="39">
        <v>0</v>
      </c>
      <c r="T24" s="39">
        <v>0</v>
      </c>
      <c r="U24" s="40">
        <f t="shared" ref="U24:U31" si="4">SUM(I24:T24)</f>
        <v>5657.9008199999998</v>
      </c>
    </row>
    <row r="25" spans="1:21" ht="38.25" customHeight="1">
      <c r="A25" s="31" t="s">
        <v>43</v>
      </c>
      <c r="B25" s="12" t="s">
        <v>44</v>
      </c>
      <c r="C25" s="31" t="s">
        <v>45</v>
      </c>
      <c r="D25" s="12" t="s">
        <v>46</v>
      </c>
      <c r="E25" s="37">
        <v>63.5</v>
      </c>
      <c r="F25" s="37">
        <f>SUM(E25*78/1000)</f>
        <v>4.9530000000000003</v>
      </c>
      <c r="G25" s="37">
        <v>276.48</v>
      </c>
      <c r="H25" s="38">
        <f t="shared" si="3"/>
        <v>1.3694054400000002</v>
      </c>
      <c r="I25" s="39">
        <v>0</v>
      </c>
      <c r="J25" s="39">
        <v>0</v>
      </c>
      <c r="K25" s="39">
        <v>0</v>
      </c>
      <c r="L25" s="39">
        <v>0</v>
      </c>
      <c r="M25" s="39">
        <f>F25/6*G25</f>
        <v>228.23424000000003</v>
      </c>
      <c r="N25" s="39">
        <f>F25/6*G25</f>
        <v>228.23424000000003</v>
      </c>
      <c r="O25" s="39">
        <f>F25/6*G25</f>
        <v>228.23424000000003</v>
      </c>
      <c r="P25" s="39">
        <f>F25/6*G25</f>
        <v>228.23424000000003</v>
      </c>
      <c r="Q25" s="39">
        <f>F25/6*G25</f>
        <v>228.23424000000003</v>
      </c>
      <c r="R25" s="39">
        <f>F25/6*G25</f>
        <v>228.23424000000003</v>
      </c>
      <c r="S25" s="39">
        <v>0</v>
      </c>
      <c r="T25" s="39">
        <v>0</v>
      </c>
      <c r="U25" s="40">
        <f t="shared" si="4"/>
        <v>1369.4054400000002</v>
      </c>
    </row>
    <row r="26" spans="1:21">
      <c r="A26" s="31" t="s">
        <v>47</v>
      </c>
      <c r="B26" s="12" t="s">
        <v>48</v>
      </c>
      <c r="C26" s="31" t="s">
        <v>45</v>
      </c>
      <c r="D26" s="12" t="s">
        <v>49</v>
      </c>
      <c r="E26" s="37">
        <v>652.9</v>
      </c>
      <c r="F26" s="37">
        <f>SUM(E26/1000)</f>
        <v>0.65289999999999992</v>
      </c>
      <c r="G26" s="37">
        <v>3228.73</v>
      </c>
      <c r="H26" s="38">
        <f t="shared" si="3"/>
        <v>2.108037817</v>
      </c>
      <c r="I26" s="39">
        <v>0</v>
      </c>
      <c r="J26" s="39">
        <v>0</v>
      </c>
      <c r="K26" s="39">
        <v>0</v>
      </c>
      <c r="L26" s="39">
        <v>0</v>
      </c>
      <c r="M26" s="39">
        <f>F26*G26</f>
        <v>2108.0378169999999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40">
        <f t="shared" si="4"/>
        <v>2108.0378169999999</v>
      </c>
    </row>
    <row r="27" spans="1:21">
      <c r="A27" s="31" t="s">
        <v>50</v>
      </c>
      <c r="B27" s="12" t="s">
        <v>51</v>
      </c>
      <c r="C27" s="31" t="s">
        <v>52</v>
      </c>
      <c r="D27" s="12" t="s">
        <v>53</v>
      </c>
      <c r="E27" s="49">
        <v>0.33333333333333331</v>
      </c>
      <c r="F27" s="37">
        <f>155/3</f>
        <v>51.666666666666664</v>
      </c>
      <c r="G27" s="37">
        <v>60.6</v>
      </c>
      <c r="H27" s="38">
        <f>SUM(G27*155/3/1000)</f>
        <v>3.1309999999999998</v>
      </c>
      <c r="I27" s="39">
        <v>0</v>
      </c>
      <c r="J27" s="39">
        <v>0</v>
      </c>
      <c r="K27" s="39">
        <v>0</v>
      </c>
      <c r="L27" s="39">
        <v>0</v>
      </c>
      <c r="M27" s="39">
        <f>F27/6*G27</f>
        <v>521.83333333333337</v>
      </c>
      <c r="N27" s="39">
        <f>F27/6*G27</f>
        <v>521.83333333333337</v>
      </c>
      <c r="O27" s="39">
        <f>F27/6*G27</f>
        <v>521.83333333333337</v>
      </c>
      <c r="P27" s="39">
        <f>F27/6*G27</f>
        <v>521.83333333333337</v>
      </c>
      <c r="Q27" s="39">
        <f>F27/6*G27</f>
        <v>521.83333333333337</v>
      </c>
      <c r="R27" s="39">
        <f>F27/6*G27</f>
        <v>521.83333333333337</v>
      </c>
      <c r="S27" s="39">
        <v>0</v>
      </c>
      <c r="T27" s="39">
        <v>0</v>
      </c>
      <c r="U27" s="40">
        <f t="shared" si="4"/>
        <v>3131.0000000000005</v>
      </c>
    </row>
    <row r="28" spans="1:21" ht="12.75" customHeight="1">
      <c r="A28" s="31" t="s">
        <v>54</v>
      </c>
      <c r="B28" s="12" t="s">
        <v>55</v>
      </c>
      <c r="C28" s="31" t="s">
        <v>56</v>
      </c>
      <c r="D28" s="12" t="s">
        <v>57</v>
      </c>
      <c r="E28" s="50">
        <v>0.1</v>
      </c>
      <c r="F28" s="37">
        <f>SUM(E28*365)</f>
        <v>36.5</v>
      </c>
      <c r="G28" s="37">
        <v>157.18</v>
      </c>
      <c r="H28" s="38">
        <f t="shared" si="3"/>
        <v>5.737070000000001</v>
      </c>
      <c r="I28" s="39">
        <f>F28/12*G28</f>
        <v>478.08916666666664</v>
      </c>
      <c r="J28" s="39">
        <f>F28/12*G28</f>
        <v>478.08916666666664</v>
      </c>
      <c r="K28" s="39">
        <f>F28/12*G28</f>
        <v>478.08916666666664</v>
      </c>
      <c r="L28" s="39">
        <f>F28/12*G28</f>
        <v>478.08916666666664</v>
      </c>
      <c r="M28" s="39">
        <f>F28/12*G28</f>
        <v>478.08916666666664</v>
      </c>
      <c r="N28" s="39">
        <f>F28/12*G28</f>
        <v>478.08916666666664</v>
      </c>
      <c r="O28" s="39">
        <f>F28/12*G28</f>
        <v>478.08916666666664</v>
      </c>
      <c r="P28" s="39">
        <f>F28/12*G28</f>
        <v>478.08916666666664</v>
      </c>
      <c r="Q28" s="39">
        <f>F28/12*G28</f>
        <v>478.08916666666664</v>
      </c>
      <c r="R28" s="39">
        <f>F28/12*G28</f>
        <v>478.08916666666664</v>
      </c>
      <c r="S28" s="39">
        <f>F28/12*G28</f>
        <v>478.08916666666664</v>
      </c>
      <c r="T28" s="39">
        <f>F28/12*G28</f>
        <v>478.08916666666664</v>
      </c>
      <c r="U28" s="40">
        <f t="shared" si="4"/>
        <v>5737.07</v>
      </c>
    </row>
    <row r="29" spans="1:21" ht="12.75" customHeight="1">
      <c r="A29" s="31" t="s">
        <v>59</v>
      </c>
      <c r="B29" s="12" t="s">
        <v>60</v>
      </c>
      <c r="C29" s="31" t="s">
        <v>56</v>
      </c>
      <c r="D29" s="12" t="s">
        <v>58</v>
      </c>
      <c r="E29" s="36"/>
      <c r="F29" s="37">
        <v>2</v>
      </c>
      <c r="G29" s="37">
        <v>204.52</v>
      </c>
      <c r="H29" s="38">
        <f t="shared" si="3"/>
        <v>0.40904000000000001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40">
        <f t="shared" si="4"/>
        <v>0</v>
      </c>
    </row>
    <row r="30" spans="1:21" ht="13.5" customHeight="1">
      <c r="A30" s="31" t="s">
        <v>61</v>
      </c>
      <c r="B30" s="12" t="s">
        <v>62</v>
      </c>
      <c r="C30" s="31" t="s">
        <v>63</v>
      </c>
      <c r="D30" s="12" t="s">
        <v>58</v>
      </c>
      <c r="E30" s="36"/>
      <c r="F30" s="37">
        <v>1</v>
      </c>
      <c r="G30" s="37">
        <v>1214.74</v>
      </c>
      <c r="H30" s="38">
        <f t="shared" si="3"/>
        <v>1.2147399999999999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40">
        <f t="shared" si="4"/>
        <v>0</v>
      </c>
    </row>
    <row r="31" spans="1:21">
      <c r="A31" s="31"/>
      <c r="B31" s="51" t="s">
        <v>64</v>
      </c>
      <c r="C31" s="31" t="s">
        <v>65</v>
      </c>
      <c r="D31" s="51" t="s">
        <v>66</v>
      </c>
      <c r="E31" s="36">
        <v>2062.5</v>
      </c>
      <c r="F31" s="37">
        <f>SUM(E31*12)</f>
        <v>24750</v>
      </c>
      <c r="G31" s="37">
        <v>5.53</v>
      </c>
      <c r="H31" s="38">
        <f t="shared" si="3"/>
        <v>136.86750000000001</v>
      </c>
      <c r="I31" s="39">
        <f>F31/12*G31</f>
        <v>11405.625</v>
      </c>
      <c r="J31" s="39">
        <f>F31/12*G31</f>
        <v>11405.625</v>
      </c>
      <c r="K31" s="39">
        <f>F31/12*G31</f>
        <v>11405.625</v>
      </c>
      <c r="L31" s="39">
        <f>F31/12*G31</f>
        <v>11405.625</v>
      </c>
      <c r="M31" s="39">
        <f>F31/12*G31</f>
        <v>11405.625</v>
      </c>
      <c r="N31" s="39">
        <f>F31/12*G31</f>
        <v>11405.625</v>
      </c>
      <c r="O31" s="39">
        <f>F31/12*G31</f>
        <v>11405.625</v>
      </c>
      <c r="P31" s="39">
        <f>F31/12*G31</f>
        <v>11405.625</v>
      </c>
      <c r="Q31" s="39">
        <f>F31/12*G31</f>
        <v>11405.625</v>
      </c>
      <c r="R31" s="39">
        <f>F31/12*G31</f>
        <v>11405.625</v>
      </c>
      <c r="S31" s="39">
        <f>F31/12*G31</f>
        <v>11405.625</v>
      </c>
      <c r="T31" s="39">
        <f>F31/12*G31</f>
        <v>11405.625</v>
      </c>
      <c r="U31" s="40">
        <f t="shared" si="4"/>
        <v>136867.5</v>
      </c>
    </row>
    <row r="32" spans="1:21" s="21" customFormat="1">
      <c r="A32" s="42"/>
      <c r="B32" s="22" t="s">
        <v>37</v>
      </c>
      <c r="C32" s="43"/>
      <c r="D32" s="22"/>
      <c r="E32" s="44"/>
      <c r="F32" s="45"/>
      <c r="G32" s="45"/>
      <c r="H32" s="52">
        <f>SUM(H24:H31)</f>
        <v>156.49469407700002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8">
        <f>SUM(U24:U31)</f>
        <v>154870.91407699999</v>
      </c>
    </row>
    <row r="33" spans="1:21">
      <c r="A33" s="31"/>
      <c r="B33" s="14" t="s">
        <v>67</v>
      </c>
      <c r="C33" s="31"/>
      <c r="D33" s="12"/>
      <c r="E33" s="36"/>
      <c r="F33" s="37"/>
      <c r="G33" s="37"/>
      <c r="H33" s="38" t="s">
        <v>66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40"/>
    </row>
    <row r="34" spans="1:21" ht="25.5">
      <c r="A34" s="31" t="s">
        <v>61</v>
      </c>
      <c r="B34" s="15" t="s">
        <v>68</v>
      </c>
      <c r="C34" s="31" t="s">
        <v>63</v>
      </c>
      <c r="D34" s="12"/>
      <c r="E34" s="36"/>
      <c r="F34" s="37">
        <v>10</v>
      </c>
      <c r="G34" s="37">
        <v>1632.6</v>
      </c>
      <c r="H34" s="38">
        <f t="shared" ref="H34:H41" si="5">SUM(F34*G34/1000)</f>
        <v>16.326000000000001</v>
      </c>
      <c r="I34" s="39">
        <f>F34/6*G34</f>
        <v>2721</v>
      </c>
      <c r="J34" s="39">
        <f>F34/6*G34</f>
        <v>2721</v>
      </c>
      <c r="K34" s="39">
        <f>F34/6*G34</f>
        <v>2721</v>
      </c>
      <c r="L34" s="39">
        <f>F34/6*G34</f>
        <v>2721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f>F34/6*G34</f>
        <v>2721</v>
      </c>
      <c r="T34" s="39">
        <f>F34/6*G34</f>
        <v>2721</v>
      </c>
      <c r="U34" s="40">
        <f t="shared" ref="U34:U41" si="6">SUM(I34:T34)</f>
        <v>16326</v>
      </c>
    </row>
    <row r="35" spans="1:21" s="1" customFormat="1">
      <c r="A35" s="53" t="s">
        <v>69</v>
      </c>
      <c r="B35" s="15" t="s">
        <v>153</v>
      </c>
      <c r="C35" s="53" t="s">
        <v>70</v>
      </c>
      <c r="D35" s="15" t="s">
        <v>151</v>
      </c>
      <c r="E35" s="54">
        <v>172.55</v>
      </c>
      <c r="F35" s="54">
        <f>SUM(E35*12/1000)</f>
        <v>2.0706000000000002</v>
      </c>
      <c r="G35" s="54">
        <v>2247.8000000000002</v>
      </c>
      <c r="H35" s="38">
        <f t="shared" si="5"/>
        <v>4.6542946800000005</v>
      </c>
      <c r="I35" s="55">
        <f>F35/6*G35</f>
        <v>775.71578000000011</v>
      </c>
      <c r="J35" s="55">
        <f>F35/6*G35</f>
        <v>775.71578000000011</v>
      </c>
      <c r="K35" s="55">
        <f>F35/6*G35</f>
        <v>775.71578000000011</v>
      </c>
      <c r="L35" s="55">
        <f>F35/6*G35</f>
        <v>775.71578000000011</v>
      </c>
      <c r="M35" s="55">
        <v>0</v>
      </c>
      <c r="N35" s="55">
        <v>0</v>
      </c>
      <c r="O35" s="55">
        <v>0</v>
      </c>
      <c r="P35" s="55">
        <v>0</v>
      </c>
      <c r="Q35" s="55">
        <v>0</v>
      </c>
      <c r="R35" s="55">
        <v>0</v>
      </c>
      <c r="S35" s="55">
        <f>F35/6*G35</f>
        <v>775.71578000000011</v>
      </c>
      <c r="T35" s="55">
        <f>F35/6*G35</f>
        <v>775.71578000000011</v>
      </c>
      <c r="U35" s="40">
        <f t="shared" si="6"/>
        <v>4654.2946800000009</v>
      </c>
    </row>
    <row r="36" spans="1:21" ht="25.5">
      <c r="A36" s="53" t="s">
        <v>69</v>
      </c>
      <c r="B36" s="15" t="s">
        <v>154</v>
      </c>
      <c r="C36" s="53" t="s">
        <v>70</v>
      </c>
      <c r="D36" s="12" t="s">
        <v>155</v>
      </c>
      <c r="E36" s="36">
        <v>63.5</v>
      </c>
      <c r="F36" s="54">
        <v>1.91</v>
      </c>
      <c r="G36" s="37">
        <v>2247.8000000000002</v>
      </c>
      <c r="H36" s="38">
        <f>G36*F36/1000</f>
        <v>4.2932980000000001</v>
      </c>
      <c r="I36" s="39">
        <f>F36/6*G36</f>
        <v>715.54966666666667</v>
      </c>
      <c r="J36" s="39">
        <f>F36/6*G36</f>
        <v>715.54966666666667</v>
      </c>
      <c r="K36" s="39">
        <f>F36/6*G36</f>
        <v>715.54966666666667</v>
      </c>
      <c r="L36" s="39">
        <f>F36/6*G36</f>
        <v>715.54966666666667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f>F36/6*G36</f>
        <v>715.54966666666667</v>
      </c>
      <c r="T36" s="39">
        <f>F36/6*G36</f>
        <v>715.54966666666667</v>
      </c>
      <c r="U36" s="40">
        <f t="shared" si="6"/>
        <v>4293.2979999999998</v>
      </c>
    </row>
    <row r="37" spans="1:21">
      <c r="A37" s="31" t="s">
        <v>61</v>
      </c>
      <c r="B37" s="12" t="s">
        <v>156</v>
      </c>
      <c r="C37" s="31" t="s">
        <v>107</v>
      </c>
      <c r="D37" s="12" t="s">
        <v>58</v>
      </c>
      <c r="E37" s="36"/>
      <c r="F37" s="54">
        <v>75</v>
      </c>
      <c r="G37" s="37">
        <v>213.2</v>
      </c>
      <c r="H37" s="38">
        <f>G37*F37/1000</f>
        <v>15.99</v>
      </c>
      <c r="I37" s="39">
        <f>0</f>
        <v>0</v>
      </c>
      <c r="J37" s="39">
        <v>0</v>
      </c>
      <c r="K37" s="39">
        <f>35*G37</f>
        <v>7462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40">
        <f t="shared" si="6"/>
        <v>7462</v>
      </c>
    </row>
    <row r="38" spans="1:21" ht="24.75" customHeight="1">
      <c r="A38" s="31" t="s">
        <v>71</v>
      </c>
      <c r="B38" s="12" t="s">
        <v>72</v>
      </c>
      <c r="C38" s="31" t="s">
        <v>70</v>
      </c>
      <c r="D38" s="12" t="s">
        <v>73</v>
      </c>
      <c r="E38" s="37">
        <v>63.5</v>
      </c>
      <c r="F38" s="54">
        <f>SUM(E38*155/1000)</f>
        <v>9.8424999999999994</v>
      </c>
      <c r="G38" s="37">
        <v>374.95</v>
      </c>
      <c r="H38" s="38">
        <f t="shared" si="5"/>
        <v>3.6904453749999999</v>
      </c>
      <c r="I38" s="39">
        <f>F38/6*G38</f>
        <v>615.07422916666667</v>
      </c>
      <c r="J38" s="39">
        <f>F38/6*G38</f>
        <v>615.07422916666667</v>
      </c>
      <c r="K38" s="39">
        <f>F38/6*G38</f>
        <v>615.07422916666667</v>
      </c>
      <c r="L38" s="39">
        <f>F38/6*G38</f>
        <v>615.07422916666667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f>F38/6*G38</f>
        <v>615.07422916666667</v>
      </c>
      <c r="T38" s="39">
        <f>F38/6*G38</f>
        <v>615.07422916666667</v>
      </c>
      <c r="U38" s="40">
        <f t="shared" si="6"/>
        <v>3690.4453749999998</v>
      </c>
    </row>
    <row r="39" spans="1:21" ht="51" customHeight="1">
      <c r="A39" s="31" t="s">
        <v>74</v>
      </c>
      <c r="B39" s="12" t="s">
        <v>75</v>
      </c>
      <c r="C39" s="31" t="s">
        <v>45</v>
      </c>
      <c r="D39" s="12" t="s">
        <v>152</v>
      </c>
      <c r="E39" s="37">
        <v>63.5</v>
      </c>
      <c r="F39" s="54">
        <f>SUM(E39*24/1000)</f>
        <v>1.524</v>
      </c>
      <c r="G39" s="37">
        <v>6203.7</v>
      </c>
      <c r="H39" s="38">
        <f t="shared" si="5"/>
        <v>9.4544388000000001</v>
      </c>
      <c r="I39" s="39">
        <f>F39/6*G39</f>
        <v>1575.7398000000001</v>
      </c>
      <c r="J39" s="39">
        <f>F39/6*G39</f>
        <v>1575.7398000000001</v>
      </c>
      <c r="K39" s="39">
        <f>F39/6*G39</f>
        <v>1575.7398000000001</v>
      </c>
      <c r="L39" s="39">
        <f>F39/6*G39</f>
        <v>1575.7398000000001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f>F39/6*G39</f>
        <v>1575.7398000000001</v>
      </c>
      <c r="T39" s="39">
        <f>F39/6*G39</f>
        <v>1575.7398000000001</v>
      </c>
      <c r="U39" s="40">
        <f t="shared" si="6"/>
        <v>9454.4387999999999</v>
      </c>
    </row>
    <row r="40" spans="1:21" ht="12.75" customHeight="1">
      <c r="A40" s="31" t="s">
        <v>76</v>
      </c>
      <c r="B40" s="12" t="s">
        <v>77</v>
      </c>
      <c r="C40" s="31" t="s">
        <v>45</v>
      </c>
      <c r="D40" s="12" t="s">
        <v>78</v>
      </c>
      <c r="E40" s="37">
        <v>63.5</v>
      </c>
      <c r="F40" s="54">
        <f>SUM(E40*45/1000)</f>
        <v>2.8574999999999999</v>
      </c>
      <c r="G40" s="37">
        <v>458.28</v>
      </c>
      <c r="H40" s="38">
        <f t="shared" si="5"/>
        <v>1.3095350999999997</v>
      </c>
      <c r="I40" s="39">
        <f>F40/6*G40</f>
        <v>218.25584999999998</v>
      </c>
      <c r="J40" s="39">
        <f>F40/6*G40</f>
        <v>218.25584999999998</v>
      </c>
      <c r="K40" s="39">
        <f>F40/6*G40</f>
        <v>218.25584999999998</v>
      </c>
      <c r="L40" s="39">
        <f>F40/6*G40</f>
        <v>218.25584999999998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f>F40/6*G40</f>
        <v>218.25584999999998</v>
      </c>
      <c r="T40" s="39">
        <f>F40/6*G40</f>
        <v>218.25584999999998</v>
      </c>
      <c r="U40" s="40">
        <f t="shared" si="6"/>
        <v>1309.5350999999998</v>
      </c>
    </row>
    <row r="41" spans="1:21" s="2" customFormat="1">
      <c r="A41" s="53"/>
      <c r="B41" s="15" t="s">
        <v>79</v>
      </c>
      <c r="C41" s="53" t="s">
        <v>56</v>
      </c>
      <c r="D41" s="15"/>
      <c r="E41" s="50"/>
      <c r="F41" s="54">
        <v>0.9</v>
      </c>
      <c r="G41" s="54">
        <v>853.06</v>
      </c>
      <c r="H41" s="38">
        <f t="shared" si="5"/>
        <v>0.76775400000000005</v>
      </c>
      <c r="I41" s="55">
        <f>F41/6*G41</f>
        <v>127.95899999999999</v>
      </c>
      <c r="J41" s="55">
        <f>F41/6*G41</f>
        <v>127.95899999999999</v>
      </c>
      <c r="K41" s="55">
        <f>F41/6*G41</f>
        <v>127.95899999999999</v>
      </c>
      <c r="L41" s="55">
        <f>F41/6*G41</f>
        <v>127.95899999999999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5">
        <f>F41/6*G41</f>
        <v>127.95899999999999</v>
      </c>
      <c r="T41" s="55">
        <f>F41/6*G41</f>
        <v>127.95899999999999</v>
      </c>
      <c r="U41" s="40">
        <f t="shared" si="6"/>
        <v>767.75399999999991</v>
      </c>
    </row>
    <row r="42" spans="1:21" s="21" customFormat="1">
      <c r="A42" s="42"/>
      <c r="B42" s="22" t="s">
        <v>37</v>
      </c>
      <c r="C42" s="43"/>
      <c r="D42" s="22"/>
      <c r="E42" s="44"/>
      <c r="F42" s="45" t="s">
        <v>66</v>
      </c>
      <c r="G42" s="45"/>
      <c r="H42" s="52">
        <f>SUM(H34:H41)</f>
        <v>56.485765955000005</v>
      </c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8">
        <f>SUM(U34:U41)</f>
        <v>47957.765955000003</v>
      </c>
    </row>
    <row r="43" spans="1:21">
      <c r="A43" s="31"/>
      <c r="B43" s="16" t="s">
        <v>80</v>
      </c>
      <c r="C43" s="31"/>
      <c r="D43" s="12"/>
      <c r="E43" s="36"/>
      <c r="F43" s="37"/>
      <c r="G43" s="37"/>
      <c r="H43" s="38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40"/>
    </row>
    <row r="44" spans="1:21">
      <c r="A44" s="31" t="s">
        <v>162</v>
      </c>
      <c r="B44" s="12" t="s">
        <v>163</v>
      </c>
      <c r="C44" s="31" t="s">
        <v>45</v>
      </c>
      <c r="D44" s="12" t="s">
        <v>81</v>
      </c>
      <c r="E44" s="36">
        <v>881.3</v>
      </c>
      <c r="F44" s="37">
        <f>SUM(E44*2/1000)</f>
        <v>1.7625999999999999</v>
      </c>
      <c r="G44" s="56">
        <v>865.61</v>
      </c>
      <c r="H44" s="38">
        <f t="shared" ref="H44:H53" si="7">SUM(F44*G44/1000)</f>
        <v>1.5257241859999999</v>
      </c>
      <c r="I44" s="39">
        <v>0</v>
      </c>
      <c r="J44" s="39">
        <v>0</v>
      </c>
      <c r="K44" s="39">
        <v>0</v>
      </c>
      <c r="L44" s="39">
        <f>F44/2*G44</f>
        <v>762.86209299999996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f>F44/2*G44</f>
        <v>762.86209299999996</v>
      </c>
      <c r="S44" s="39">
        <v>0</v>
      </c>
      <c r="T44" s="39">
        <v>0</v>
      </c>
      <c r="U44" s="40">
        <f t="shared" ref="U44:U53" si="8">SUM(I44:T44)</f>
        <v>1525.7241859999999</v>
      </c>
    </row>
    <row r="45" spans="1:21">
      <c r="A45" s="31" t="s">
        <v>82</v>
      </c>
      <c r="B45" s="12" t="s">
        <v>83</v>
      </c>
      <c r="C45" s="31" t="s">
        <v>45</v>
      </c>
      <c r="D45" s="12" t="s">
        <v>81</v>
      </c>
      <c r="E45" s="36">
        <v>48</v>
      </c>
      <c r="F45" s="37">
        <f>SUM(E45*2/1000)</f>
        <v>9.6000000000000002E-2</v>
      </c>
      <c r="G45" s="56">
        <v>619.46</v>
      </c>
      <c r="H45" s="38">
        <f t="shared" si="7"/>
        <v>5.9468160000000006E-2</v>
      </c>
      <c r="I45" s="39">
        <v>0</v>
      </c>
      <c r="J45" s="39">
        <v>0</v>
      </c>
      <c r="K45" s="39">
        <v>0</v>
      </c>
      <c r="L45" s="39">
        <f>F45/2*G45</f>
        <v>29.734080000000002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f>F45/2*G45</f>
        <v>29.734080000000002</v>
      </c>
      <c r="S45" s="39">
        <v>0</v>
      </c>
      <c r="T45" s="39">
        <v>0</v>
      </c>
      <c r="U45" s="40">
        <f t="shared" si="8"/>
        <v>59.468160000000005</v>
      </c>
    </row>
    <row r="46" spans="1:21" ht="25.5">
      <c r="A46" s="31" t="s">
        <v>84</v>
      </c>
      <c r="B46" s="12" t="s">
        <v>85</v>
      </c>
      <c r="C46" s="31" t="s">
        <v>45</v>
      </c>
      <c r="D46" s="12" t="s">
        <v>81</v>
      </c>
      <c r="E46" s="36">
        <v>939.64</v>
      </c>
      <c r="F46" s="37">
        <f>SUM(E46*2/1000)</f>
        <v>1.8792800000000001</v>
      </c>
      <c r="G46" s="56">
        <v>619.46</v>
      </c>
      <c r="H46" s="38">
        <f t="shared" si="7"/>
        <v>1.1641387888000001</v>
      </c>
      <c r="I46" s="39">
        <v>0</v>
      </c>
      <c r="J46" s="39">
        <v>0</v>
      </c>
      <c r="K46" s="39">
        <v>0</v>
      </c>
      <c r="L46" s="39">
        <f>F46/2*G46</f>
        <v>582.06939440000008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f>F46/2*G46</f>
        <v>582.06939440000008</v>
      </c>
      <c r="S46" s="39">
        <v>0</v>
      </c>
      <c r="T46" s="39">
        <v>0</v>
      </c>
      <c r="U46" s="40">
        <f t="shared" si="8"/>
        <v>1164.1387888000002</v>
      </c>
    </row>
    <row r="47" spans="1:21">
      <c r="A47" s="31" t="s">
        <v>86</v>
      </c>
      <c r="B47" s="12" t="s">
        <v>87</v>
      </c>
      <c r="C47" s="31" t="s">
        <v>45</v>
      </c>
      <c r="D47" s="12" t="s">
        <v>81</v>
      </c>
      <c r="E47" s="36">
        <v>1247.3699999999999</v>
      </c>
      <c r="F47" s="37">
        <f>SUM(E47*2/1000)</f>
        <v>2.4947399999999997</v>
      </c>
      <c r="G47" s="56">
        <v>648.64</v>
      </c>
      <c r="H47" s="38">
        <f t="shared" si="7"/>
        <v>1.6181881535999998</v>
      </c>
      <c r="I47" s="39">
        <v>0</v>
      </c>
      <c r="J47" s="39">
        <v>0</v>
      </c>
      <c r="K47" s="39">
        <v>0</v>
      </c>
      <c r="L47" s="39">
        <f>F47/2*G47</f>
        <v>809.09407679999993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f>F47/2*G47</f>
        <v>809.09407679999993</v>
      </c>
      <c r="S47" s="39">
        <v>0</v>
      </c>
      <c r="T47" s="39">
        <v>0</v>
      </c>
      <c r="U47" s="40">
        <f t="shared" si="8"/>
        <v>1618.1881535999999</v>
      </c>
    </row>
    <row r="48" spans="1:21">
      <c r="A48" s="31" t="s">
        <v>164</v>
      </c>
      <c r="B48" s="12" t="s">
        <v>165</v>
      </c>
      <c r="C48" s="31" t="s">
        <v>166</v>
      </c>
      <c r="D48" s="12" t="s">
        <v>81</v>
      </c>
      <c r="E48" s="36">
        <v>65.03</v>
      </c>
      <c r="F48" s="37">
        <f>SUM(E48*2/100)</f>
        <v>1.3006</v>
      </c>
      <c r="G48" s="56">
        <v>77.84</v>
      </c>
      <c r="H48" s="38">
        <f t="shared" si="7"/>
        <v>0.101238704</v>
      </c>
      <c r="I48" s="39">
        <v>0</v>
      </c>
      <c r="J48" s="39">
        <v>0</v>
      </c>
      <c r="K48" s="39">
        <v>0</v>
      </c>
      <c r="L48" s="39">
        <f>F48/2*G48</f>
        <v>50.619351999999999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f>F48/2*G48</f>
        <v>50.619351999999999</v>
      </c>
      <c r="S48" s="39">
        <v>0</v>
      </c>
      <c r="T48" s="39">
        <v>0</v>
      </c>
      <c r="U48" s="40">
        <f t="shared" si="8"/>
        <v>101.238704</v>
      </c>
    </row>
    <row r="49" spans="1:21" ht="25.5">
      <c r="A49" s="31" t="s">
        <v>88</v>
      </c>
      <c r="B49" s="12" t="s">
        <v>89</v>
      </c>
      <c r="C49" s="31" t="s">
        <v>45</v>
      </c>
      <c r="D49" s="12" t="s">
        <v>90</v>
      </c>
      <c r="E49" s="36">
        <v>702</v>
      </c>
      <c r="F49" s="37">
        <f>SUM(E49*5/1000)</f>
        <v>3.51</v>
      </c>
      <c r="G49" s="56">
        <v>1297.28</v>
      </c>
      <c r="H49" s="38">
        <f t="shared" si="7"/>
        <v>4.5534527999999996</v>
      </c>
      <c r="I49" s="39">
        <f>F49/5*G49</f>
        <v>910.69055999999989</v>
      </c>
      <c r="J49" s="39">
        <f>F49/5*G49</f>
        <v>910.69055999999989</v>
      </c>
      <c r="K49" s="39">
        <v>0</v>
      </c>
      <c r="L49" s="39">
        <v>0</v>
      </c>
      <c r="M49" s="39">
        <f>F49/5*G49</f>
        <v>910.69055999999989</v>
      </c>
      <c r="N49" s="39">
        <v>0</v>
      </c>
      <c r="O49" s="39">
        <v>0</v>
      </c>
      <c r="P49" s="39">
        <v>0</v>
      </c>
      <c r="Q49" s="39">
        <f>F49/5*G49</f>
        <v>910.69055999999989</v>
      </c>
      <c r="R49" s="39">
        <f>0</f>
        <v>0</v>
      </c>
      <c r="S49" s="39">
        <v>0</v>
      </c>
      <c r="T49" s="39">
        <f>F49/5*G49</f>
        <v>910.69055999999989</v>
      </c>
      <c r="U49" s="40">
        <f t="shared" si="8"/>
        <v>4553.4527999999991</v>
      </c>
    </row>
    <row r="50" spans="1:21" ht="39.6" customHeight="1">
      <c r="A50" s="31" t="s">
        <v>91</v>
      </c>
      <c r="B50" s="12" t="s">
        <v>92</v>
      </c>
      <c r="C50" s="31" t="s">
        <v>45</v>
      </c>
      <c r="D50" s="12" t="s">
        <v>81</v>
      </c>
      <c r="E50" s="36">
        <v>702</v>
      </c>
      <c r="F50" s="37">
        <f>SUM(E50*2/1000)</f>
        <v>1.4039999999999999</v>
      </c>
      <c r="G50" s="56">
        <v>1297.28</v>
      </c>
      <c r="H50" s="38">
        <f t="shared" si="7"/>
        <v>1.8213811199999999</v>
      </c>
      <c r="I50" s="39">
        <v>0</v>
      </c>
      <c r="J50" s="39">
        <v>0</v>
      </c>
      <c r="K50" s="39">
        <v>0</v>
      </c>
      <c r="L50" s="39">
        <v>0</v>
      </c>
      <c r="M50" s="39">
        <f>F50/2*G50</f>
        <v>910.69055999999989</v>
      </c>
      <c r="N50" s="39">
        <v>0</v>
      </c>
      <c r="O50" s="39">
        <v>0</v>
      </c>
      <c r="P50" s="39">
        <v>0</v>
      </c>
      <c r="Q50" s="39">
        <f>F50/2*G50</f>
        <v>910.69055999999989</v>
      </c>
      <c r="R50" s="39">
        <v>0</v>
      </c>
      <c r="S50" s="39">
        <v>0</v>
      </c>
      <c r="T50" s="39">
        <v>0</v>
      </c>
      <c r="U50" s="40">
        <f t="shared" si="8"/>
        <v>1821.3811199999998</v>
      </c>
    </row>
    <row r="51" spans="1:21" ht="28.9" customHeight="1">
      <c r="A51" s="31" t="s">
        <v>93</v>
      </c>
      <c r="B51" s="12" t="s">
        <v>94</v>
      </c>
      <c r="C51" s="31" t="s">
        <v>95</v>
      </c>
      <c r="D51" s="12" t="s">
        <v>81</v>
      </c>
      <c r="E51" s="36">
        <v>12</v>
      </c>
      <c r="F51" s="37">
        <f>SUM(E51*2/100)</f>
        <v>0.24</v>
      </c>
      <c r="G51" s="56">
        <v>2918.89</v>
      </c>
      <c r="H51" s="38">
        <f t="shared" si="7"/>
        <v>0.70053359999999998</v>
      </c>
      <c r="I51" s="39">
        <v>0</v>
      </c>
      <c r="J51" s="39">
        <v>0</v>
      </c>
      <c r="K51" s="39">
        <v>0</v>
      </c>
      <c r="L51" s="39">
        <v>0</v>
      </c>
      <c r="M51" s="39">
        <f>F51/2*G51</f>
        <v>350.26679999999999</v>
      </c>
      <c r="N51" s="39">
        <v>0</v>
      </c>
      <c r="O51" s="39">
        <v>0</v>
      </c>
      <c r="P51" s="39">
        <v>0</v>
      </c>
      <c r="Q51" s="39">
        <f>F51/2*G51</f>
        <v>350.26679999999999</v>
      </c>
      <c r="R51" s="39">
        <v>0</v>
      </c>
      <c r="S51" s="39">
        <v>0</v>
      </c>
      <c r="T51" s="39">
        <v>0</v>
      </c>
      <c r="U51" s="40">
        <f t="shared" si="8"/>
        <v>700.53359999999998</v>
      </c>
    </row>
    <row r="52" spans="1:21">
      <c r="A52" s="31" t="s">
        <v>96</v>
      </c>
      <c r="B52" s="12" t="s">
        <v>97</v>
      </c>
      <c r="C52" s="31" t="s">
        <v>98</v>
      </c>
      <c r="D52" s="12" t="s">
        <v>81</v>
      </c>
      <c r="E52" s="36">
        <v>1</v>
      </c>
      <c r="F52" s="37">
        <v>0.02</v>
      </c>
      <c r="G52" s="56">
        <v>6042.12</v>
      </c>
      <c r="H52" s="38">
        <f t="shared" si="7"/>
        <v>0.1208424</v>
      </c>
      <c r="I52" s="39">
        <v>0</v>
      </c>
      <c r="J52" s="39">
        <f>F52/2*G52</f>
        <v>60.421199999999999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f>F52/2*G52</f>
        <v>60.421199999999999</v>
      </c>
      <c r="R52" s="39">
        <v>0</v>
      </c>
      <c r="S52" s="39">
        <v>0</v>
      </c>
      <c r="T52" s="39">
        <v>0</v>
      </c>
      <c r="U52" s="40">
        <f t="shared" si="8"/>
        <v>120.8424</v>
      </c>
    </row>
    <row r="53" spans="1:21" ht="13.5" customHeight="1">
      <c r="A53" s="31" t="s">
        <v>100</v>
      </c>
      <c r="B53" s="12" t="s">
        <v>101</v>
      </c>
      <c r="C53" s="31" t="s">
        <v>99</v>
      </c>
      <c r="D53" s="12" t="s">
        <v>148</v>
      </c>
      <c r="E53" s="36">
        <v>72</v>
      </c>
      <c r="F53" s="37">
        <f>SUM(E53)*3</f>
        <v>216</v>
      </c>
      <c r="G53" s="57">
        <v>70.209999999999994</v>
      </c>
      <c r="H53" s="38">
        <f t="shared" si="7"/>
        <v>15.165359999999998</v>
      </c>
      <c r="I53" s="39">
        <v>0</v>
      </c>
      <c r="J53" s="39">
        <f>E53*G53</f>
        <v>5055.12</v>
      </c>
      <c r="K53" s="39">
        <v>0</v>
      </c>
      <c r="L53" s="39">
        <f>E53*G53</f>
        <v>5055.12</v>
      </c>
      <c r="M53" s="39">
        <v>0</v>
      </c>
      <c r="N53" s="39">
        <v>0</v>
      </c>
      <c r="O53" s="39">
        <v>0</v>
      </c>
      <c r="P53" s="39">
        <f>E53*G53</f>
        <v>5055.12</v>
      </c>
      <c r="Q53" s="39">
        <v>0</v>
      </c>
      <c r="R53" s="39">
        <v>0</v>
      </c>
      <c r="S53" s="39">
        <v>0</v>
      </c>
      <c r="T53" s="39">
        <v>0</v>
      </c>
      <c r="U53" s="40">
        <f t="shared" si="8"/>
        <v>15165.36</v>
      </c>
    </row>
    <row r="54" spans="1:21" s="23" customFormat="1">
      <c r="A54" s="31"/>
      <c r="B54" s="22" t="s">
        <v>37</v>
      </c>
      <c r="C54" s="58"/>
      <c r="D54" s="22"/>
      <c r="E54" s="59"/>
      <c r="F54" s="60"/>
      <c r="G54" s="60"/>
      <c r="H54" s="52">
        <f>SUM(H44:H53)</f>
        <v>26.830327912399998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2">
        <f>SUM(U44:U53)</f>
        <v>26830.3279124</v>
      </c>
    </row>
    <row r="55" spans="1:21">
      <c r="A55" s="31"/>
      <c r="B55" s="14" t="s">
        <v>102</v>
      </c>
      <c r="C55" s="31"/>
      <c r="D55" s="12"/>
      <c r="E55" s="36"/>
      <c r="F55" s="37"/>
      <c r="G55" s="37"/>
      <c r="H55" s="38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40"/>
    </row>
    <row r="56" spans="1:21" ht="38.25" customHeight="1">
      <c r="A56" s="31" t="s">
        <v>104</v>
      </c>
      <c r="B56" s="12" t="s">
        <v>149</v>
      </c>
      <c r="C56" s="31" t="s">
        <v>14</v>
      </c>
      <c r="D56" s="12" t="s">
        <v>103</v>
      </c>
      <c r="E56" s="36">
        <v>106.13</v>
      </c>
      <c r="F56" s="37">
        <f>SUM(E56*6/100)</f>
        <v>6.3677999999999999</v>
      </c>
      <c r="G56" s="56">
        <v>1456.95</v>
      </c>
      <c r="H56" s="38">
        <f>SUM(F56*G56/1000)</f>
        <v>9.2775662100000016</v>
      </c>
      <c r="I56" s="39">
        <f>F56/6*G56</f>
        <v>1546.261035</v>
      </c>
      <c r="J56" s="39">
        <f>F56/6*G56</f>
        <v>1546.261035</v>
      </c>
      <c r="K56" s="39">
        <f>F56/6*G56</f>
        <v>1546.261035</v>
      </c>
      <c r="L56" s="39">
        <f>F56/6*G56</f>
        <v>1546.261035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f>F56/6*G56</f>
        <v>1546.261035</v>
      </c>
      <c r="T56" s="39">
        <f>F56/6*G56</f>
        <v>1546.261035</v>
      </c>
      <c r="U56" s="40">
        <f>SUM(I56:T56)</f>
        <v>9277.566209999999</v>
      </c>
    </row>
    <row r="57" spans="1:21">
      <c r="A57" s="31"/>
      <c r="B57" s="13" t="s">
        <v>105</v>
      </c>
      <c r="C57" s="31"/>
      <c r="D57" s="12"/>
      <c r="E57" s="36"/>
      <c r="F57" s="37"/>
      <c r="G57" s="63"/>
      <c r="H57" s="38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40"/>
    </row>
    <row r="58" spans="1:21">
      <c r="A58" s="31" t="s">
        <v>106</v>
      </c>
      <c r="B58" s="12" t="s">
        <v>150</v>
      </c>
      <c r="C58" s="31"/>
      <c r="D58" s="12" t="s">
        <v>49</v>
      </c>
      <c r="E58" s="36">
        <v>1036</v>
      </c>
      <c r="F58" s="38">
        <v>10.36</v>
      </c>
      <c r="G58" s="56">
        <v>848.37</v>
      </c>
      <c r="H58" s="64">
        <f>F58*G58/1000</f>
        <v>8.7891131999999992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40">
        <f>SUM(I58:T58)</f>
        <v>0</v>
      </c>
    </row>
    <row r="59" spans="1:21">
      <c r="A59" s="65"/>
      <c r="B59" s="17" t="s">
        <v>108</v>
      </c>
      <c r="C59" s="65"/>
      <c r="D59" s="66"/>
      <c r="E59" s="67"/>
      <c r="F59" s="68"/>
      <c r="G59" s="68"/>
      <c r="H59" s="69" t="s">
        <v>66</v>
      </c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40"/>
    </row>
    <row r="60" spans="1:21" ht="12.75" customHeight="1">
      <c r="A60" s="70" t="s">
        <v>109</v>
      </c>
      <c r="B60" s="18" t="s">
        <v>110</v>
      </c>
      <c r="C60" s="70" t="s">
        <v>99</v>
      </c>
      <c r="D60" s="9" t="s">
        <v>58</v>
      </c>
      <c r="E60" s="71">
        <v>10</v>
      </c>
      <c r="F60" s="37">
        <v>10</v>
      </c>
      <c r="G60" s="56">
        <v>237.74</v>
      </c>
      <c r="H60" s="134">
        <f t="shared" ref="H60:H72" si="9">SUM(F60*G60/1000)</f>
        <v>2.3774000000000002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40">
        <f t="shared" ref="U60:U67" si="10">SUM(I60:T60)</f>
        <v>0</v>
      </c>
    </row>
    <row r="61" spans="1:21" ht="12.75" customHeight="1">
      <c r="A61" s="70" t="s">
        <v>111</v>
      </c>
      <c r="B61" s="18" t="s">
        <v>112</v>
      </c>
      <c r="C61" s="70" t="s">
        <v>99</v>
      </c>
      <c r="D61" s="9" t="s">
        <v>58</v>
      </c>
      <c r="E61" s="71">
        <v>5</v>
      </c>
      <c r="F61" s="37">
        <v>5</v>
      </c>
      <c r="G61" s="56">
        <v>81.510000000000005</v>
      </c>
      <c r="H61" s="134">
        <f t="shared" si="9"/>
        <v>0.40755000000000002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40">
        <f t="shared" si="10"/>
        <v>0</v>
      </c>
    </row>
    <row r="62" spans="1:21" s="2" customFormat="1">
      <c r="A62" s="72" t="s">
        <v>113</v>
      </c>
      <c r="B62" s="18" t="s">
        <v>114</v>
      </c>
      <c r="C62" s="72" t="s">
        <v>115</v>
      </c>
      <c r="D62" s="9" t="s">
        <v>49</v>
      </c>
      <c r="E62" s="36">
        <v>8607</v>
      </c>
      <c r="F62" s="57">
        <f>SUM(E62/100)</f>
        <v>86.07</v>
      </c>
      <c r="G62" s="56">
        <v>226.79</v>
      </c>
      <c r="H62" s="134">
        <f t="shared" si="9"/>
        <v>19.519815299999998</v>
      </c>
      <c r="I62" s="55">
        <v>0</v>
      </c>
      <c r="J62" s="55">
        <v>0</v>
      </c>
      <c r="K62" s="55">
        <v>0</v>
      </c>
      <c r="L62" s="55">
        <v>0</v>
      </c>
      <c r="M62" s="55">
        <f>F62*G62</f>
        <v>19519.815299999998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0</v>
      </c>
      <c r="U62" s="40">
        <f t="shared" si="10"/>
        <v>19519.815299999998</v>
      </c>
    </row>
    <row r="63" spans="1:21" ht="25.5">
      <c r="A63" s="70" t="s">
        <v>116</v>
      </c>
      <c r="B63" s="18" t="s">
        <v>117</v>
      </c>
      <c r="C63" s="70" t="s">
        <v>118</v>
      </c>
      <c r="D63" s="9"/>
      <c r="E63" s="36">
        <v>8607</v>
      </c>
      <c r="F63" s="56">
        <f>SUM(E63/1000)</f>
        <v>8.6069999999999993</v>
      </c>
      <c r="G63" s="56">
        <v>176.61</v>
      </c>
      <c r="H63" s="134">
        <f t="shared" si="9"/>
        <v>1.5200822700000001</v>
      </c>
      <c r="I63" s="39">
        <v>0</v>
      </c>
      <c r="J63" s="39">
        <v>0</v>
      </c>
      <c r="K63" s="39">
        <v>0</v>
      </c>
      <c r="L63" s="39">
        <v>0</v>
      </c>
      <c r="M63" s="39">
        <f>F63*G63</f>
        <v>1520.0822700000001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40">
        <f t="shared" si="10"/>
        <v>1520.0822700000001</v>
      </c>
    </row>
    <row r="64" spans="1:21">
      <c r="A64" s="70" t="s">
        <v>119</v>
      </c>
      <c r="B64" s="18" t="s">
        <v>120</v>
      </c>
      <c r="C64" s="70" t="s">
        <v>121</v>
      </c>
      <c r="D64" s="9" t="s">
        <v>49</v>
      </c>
      <c r="E64" s="36">
        <v>1370</v>
      </c>
      <c r="F64" s="56">
        <f>SUM(E64/100)</f>
        <v>13.7</v>
      </c>
      <c r="G64" s="56">
        <v>2217.7800000000002</v>
      </c>
      <c r="H64" s="134">
        <f t="shared" si="9"/>
        <v>30.383586000000005</v>
      </c>
      <c r="I64" s="39">
        <v>0</v>
      </c>
      <c r="J64" s="39">
        <v>0</v>
      </c>
      <c r="K64" s="39">
        <v>0</v>
      </c>
      <c r="L64" s="39">
        <v>0</v>
      </c>
      <c r="M64" s="39">
        <f>F64*G64</f>
        <v>30383.586000000003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40">
        <f t="shared" si="10"/>
        <v>30383.586000000003</v>
      </c>
    </row>
    <row r="65" spans="1:21">
      <c r="A65" s="70"/>
      <c r="B65" s="19" t="s">
        <v>157</v>
      </c>
      <c r="C65" s="70" t="s">
        <v>56</v>
      </c>
      <c r="D65" s="9"/>
      <c r="E65" s="36">
        <v>7.8</v>
      </c>
      <c r="F65" s="56">
        <f>SUM(E65)</f>
        <v>7.8</v>
      </c>
      <c r="G65" s="56">
        <v>42.67</v>
      </c>
      <c r="H65" s="134">
        <f t="shared" si="9"/>
        <v>0.33282600000000001</v>
      </c>
      <c r="I65" s="39">
        <v>0</v>
      </c>
      <c r="J65" s="39">
        <v>0</v>
      </c>
      <c r="K65" s="39">
        <v>0</v>
      </c>
      <c r="L65" s="39">
        <v>0</v>
      </c>
      <c r="M65" s="39">
        <f>F65*G65</f>
        <v>332.82600000000002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40">
        <f t="shared" si="10"/>
        <v>332.82600000000002</v>
      </c>
    </row>
    <row r="66" spans="1:21" ht="25.5">
      <c r="A66" s="73"/>
      <c r="B66" s="19" t="s">
        <v>158</v>
      </c>
      <c r="C66" s="70" t="s">
        <v>56</v>
      </c>
      <c r="D66" s="9"/>
      <c r="E66" s="36">
        <v>7.8</v>
      </c>
      <c r="F66" s="56">
        <f>SUM(E66)</f>
        <v>7.8</v>
      </c>
      <c r="G66" s="56">
        <v>39.81</v>
      </c>
      <c r="H66" s="134">
        <f t="shared" si="9"/>
        <v>0.31051800000000002</v>
      </c>
      <c r="I66" s="39">
        <v>0</v>
      </c>
      <c r="J66" s="39">
        <v>0</v>
      </c>
      <c r="K66" s="39">
        <v>0</v>
      </c>
      <c r="L66" s="39">
        <v>0</v>
      </c>
      <c r="M66" s="39">
        <f>F66*G66</f>
        <v>310.51800000000003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40">
        <f t="shared" si="10"/>
        <v>310.51800000000003</v>
      </c>
    </row>
    <row r="67" spans="1:21">
      <c r="A67" s="70" t="s">
        <v>122</v>
      </c>
      <c r="B67" s="9" t="s">
        <v>123</v>
      </c>
      <c r="C67" s="70" t="s">
        <v>124</v>
      </c>
      <c r="D67" s="9" t="s">
        <v>49</v>
      </c>
      <c r="E67" s="71">
        <v>3</v>
      </c>
      <c r="F67" s="37">
        <v>3</v>
      </c>
      <c r="G67" s="56">
        <v>53.32</v>
      </c>
      <c r="H67" s="134">
        <f t="shared" si="9"/>
        <v>0.15996000000000002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f>F67*G67</f>
        <v>159.96</v>
      </c>
      <c r="R67" s="39">
        <v>0</v>
      </c>
      <c r="S67" s="39">
        <v>0</v>
      </c>
      <c r="T67" s="39">
        <v>0</v>
      </c>
      <c r="U67" s="40">
        <f t="shared" si="10"/>
        <v>159.96</v>
      </c>
    </row>
    <row r="68" spans="1:21">
      <c r="A68" s="73"/>
      <c r="B68" s="20" t="s">
        <v>125</v>
      </c>
      <c r="C68" s="70"/>
      <c r="D68" s="9"/>
      <c r="E68" s="71"/>
      <c r="F68" s="56"/>
      <c r="G68" s="56"/>
      <c r="H68" s="134" t="s">
        <v>66</v>
      </c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0"/>
    </row>
    <row r="69" spans="1:21">
      <c r="A69" s="70" t="s">
        <v>126</v>
      </c>
      <c r="B69" s="9" t="s">
        <v>127</v>
      </c>
      <c r="C69" s="70" t="s">
        <v>128</v>
      </c>
      <c r="D69" s="9"/>
      <c r="E69" s="71">
        <v>2</v>
      </c>
      <c r="F69" s="56">
        <v>0.2</v>
      </c>
      <c r="G69" s="56">
        <v>536.23</v>
      </c>
      <c r="H69" s="134">
        <f t="shared" si="9"/>
        <v>0.10724600000000001</v>
      </c>
      <c r="I69" s="39">
        <v>0</v>
      </c>
      <c r="J69" s="39">
        <v>0</v>
      </c>
      <c r="K69" s="39">
        <v>0</v>
      </c>
      <c r="L69" s="39">
        <v>0</v>
      </c>
      <c r="M69" s="39">
        <f>G69*0.3</f>
        <v>160.869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40">
        <f>SUM(I69:T69)</f>
        <v>160.869</v>
      </c>
    </row>
    <row r="70" spans="1:21">
      <c r="A70" s="70" t="s">
        <v>159</v>
      </c>
      <c r="B70" s="9" t="s">
        <v>160</v>
      </c>
      <c r="C70" s="70" t="s">
        <v>52</v>
      </c>
      <c r="D70" s="9"/>
      <c r="E70" s="71">
        <v>1</v>
      </c>
      <c r="F70" s="63">
        <v>1</v>
      </c>
      <c r="G70" s="56">
        <v>911.85</v>
      </c>
      <c r="H70" s="134">
        <f>F70*G70/1000</f>
        <v>0.91185000000000005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40">
        <f>SUM(I70:T70)</f>
        <v>0</v>
      </c>
    </row>
    <row r="71" spans="1:21">
      <c r="A71" s="73"/>
      <c r="B71" s="74" t="s">
        <v>129</v>
      </c>
      <c r="C71" s="70"/>
      <c r="D71" s="9"/>
      <c r="E71" s="71"/>
      <c r="F71" s="56"/>
      <c r="G71" s="56" t="s">
        <v>66</v>
      </c>
      <c r="H71" s="134" t="s">
        <v>66</v>
      </c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0"/>
    </row>
    <row r="72" spans="1:21" s="2" customFormat="1">
      <c r="A72" s="72" t="s">
        <v>130</v>
      </c>
      <c r="B72" s="75" t="s">
        <v>131</v>
      </c>
      <c r="C72" s="72" t="s">
        <v>121</v>
      </c>
      <c r="D72" s="18"/>
      <c r="E72" s="76"/>
      <c r="F72" s="57">
        <v>1</v>
      </c>
      <c r="G72" s="57">
        <v>2831.38</v>
      </c>
      <c r="H72" s="134">
        <f t="shared" si="9"/>
        <v>2.8313800000000002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40">
        <f>SUM(I72:T72)</f>
        <v>0</v>
      </c>
    </row>
    <row r="73" spans="1:21" s="23" customFormat="1">
      <c r="A73" s="77"/>
      <c r="B73" s="22" t="s">
        <v>37</v>
      </c>
      <c r="C73" s="78"/>
      <c r="D73" s="79"/>
      <c r="E73" s="80"/>
      <c r="F73" s="61"/>
      <c r="G73" s="61"/>
      <c r="H73" s="81">
        <f>SUM(H56:H72)</f>
        <v>76.928892980000001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2">
        <f>SUM(U56:U72)</f>
        <v>61665.222779999996</v>
      </c>
    </row>
    <row r="74" spans="1:21">
      <c r="A74" s="143" t="s">
        <v>194</v>
      </c>
      <c r="B74" s="12" t="s">
        <v>195</v>
      </c>
      <c r="C74" s="82" t="s">
        <v>196</v>
      </c>
      <c r="D74" s="83"/>
      <c r="E74" s="142"/>
      <c r="F74" s="84">
        <f>54/10</f>
        <v>5.4</v>
      </c>
      <c r="G74" s="85">
        <v>9</v>
      </c>
      <c r="H74" s="134">
        <f>G74*F74/1000</f>
        <v>4.8600000000000004E-2</v>
      </c>
      <c r="I74" s="39">
        <v>0</v>
      </c>
      <c r="J74" s="39">
        <v>0</v>
      </c>
      <c r="K74" s="39">
        <v>0</v>
      </c>
      <c r="L74" s="39">
        <v>0</v>
      </c>
      <c r="M74" s="40">
        <v>0</v>
      </c>
      <c r="N74" s="39">
        <f>F74*G74</f>
        <v>48.6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f>SUM(I74:T74)</f>
        <v>48.6</v>
      </c>
    </row>
    <row r="75" spans="1:21" ht="12.75" customHeight="1">
      <c r="A75" s="70"/>
      <c r="B75" s="13" t="s">
        <v>132</v>
      </c>
      <c r="C75" s="70" t="s">
        <v>133</v>
      </c>
      <c r="D75" s="86"/>
      <c r="E75" s="56">
        <v>2062.5</v>
      </c>
      <c r="F75" s="56">
        <f>SUM(E75*12)</f>
        <v>24750</v>
      </c>
      <c r="G75" s="87">
        <v>2.2400000000000002</v>
      </c>
      <c r="H75" s="134">
        <f>SUM(F75*G75/1000)</f>
        <v>55.440000000000005</v>
      </c>
      <c r="I75" s="39">
        <f>F75/12*G75</f>
        <v>4620</v>
      </c>
      <c r="J75" s="39">
        <f>F75/12*G75</f>
        <v>4620</v>
      </c>
      <c r="K75" s="39">
        <f>F75/12*G75</f>
        <v>4620</v>
      </c>
      <c r="L75" s="39">
        <f>F75/12*G75</f>
        <v>4620</v>
      </c>
      <c r="M75" s="39">
        <f>F75/12*G75</f>
        <v>4620</v>
      </c>
      <c r="N75" s="39">
        <f>F75/12*G75</f>
        <v>4620</v>
      </c>
      <c r="O75" s="39">
        <f>F75/12*G75</f>
        <v>4620</v>
      </c>
      <c r="P75" s="39">
        <f>F75/12*G75</f>
        <v>4620</v>
      </c>
      <c r="Q75" s="39">
        <f>F75/12*G75</f>
        <v>4620</v>
      </c>
      <c r="R75" s="39">
        <f>F75/12*G75</f>
        <v>4620</v>
      </c>
      <c r="S75" s="39">
        <f>F75/12*G75</f>
        <v>4620</v>
      </c>
      <c r="T75" s="39">
        <f>F75/12*G75</f>
        <v>4620</v>
      </c>
      <c r="U75" s="40">
        <f>SUM(I75:T75)</f>
        <v>55440</v>
      </c>
    </row>
    <row r="76" spans="1:21" s="21" customFormat="1">
      <c r="A76" s="88"/>
      <c r="B76" s="22" t="s">
        <v>37</v>
      </c>
      <c r="C76" s="89"/>
      <c r="D76" s="90"/>
      <c r="E76" s="91"/>
      <c r="F76" s="47"/>
      <c r="G76" s="92"/>
      <c r="H76" s="48">
        <f>SUM(H74:H75)</f>
        <v>55.488600000000005</v>
      </c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8">
        <f>SUM(U74:U75)</f>
        <v>55488.6</v>
      </c>
    </row>
    <row r="77" spans="1:21" ht="33.75" customHeight="1">
      <c r="A77" s="73"/>
      <c r="B77" s="9" t="s">
        <v>134</v>
      </c>
      <c r="C77" s="70"/>
      <c r="D77" s="93"/>
      <c r="E77" s="36">
        <f>E75</f>
        <v>2062.5</v>
      </c>
      <c r="F77" s="56">
        <f>E77*12</f>
        <v>24750</v>
      </c>
      <c r="G77" s="56">
        <v>1.74</v>
      </c>
      <c r="H77" s="134">
        <f>F77*G77/1000</f>
        <v>43.064999999999998</v>
      </c>
      <c r="I77" s="39">
        <f>F77/12*G77</f>
        <v>3588.75</v>
      </c>
      <c r="J77" s="39">
        <f>F77/12*G77</f>
        <v>3588.75</v>
      </c>
      <c r="K77" s="39">
        <f>F77/12*G77</f>
        <v>3588.75</v>
      </c>
      <c r="L77" s="39">
        <f>F77/12*G77</f>
        <v>3588.75</v>
      </c>
      <c r="M77" s="39">
        <f>F77/12*G77</f>
        <v>3588.75</v>
      </c>
      <c r="N77" s="39">
        <f>F77/12*G77</f>
        <v>3588.75</v>
      </c>
      <c r="O77" s="39">
        <f>F77/12*G77</f>
        <v>3588.75</v>
      </c>
      <c r="P77" s="39">
        <f>F77/12*G77</f>
        <v>3588.75</v>
      </c>
      <c r="Q77" s="39">
        <f>F77/12*G77</f>
        <v>3588.75</v>
      </c>
      <c r="R77" s="39">
        <f>F77/12*G77</f>
        <v>3588.75</v>
      </c>
      <c r="S77" s="39">
        <f>F77/12*G77</f>
        <v>3588.75</v>
      </c>
      <c r="T77" s="39">
        <f>F77/12*G77</f>
        <v>3588.75</v>
      </c>
      <c r="U77" s="40">
        <f>SUM(I77:T77)</f>
        <v>43065</v>
      </c>
    </row>
    <row r="78" spans="1:21" s="21" customFormat="1">
      <c r="A78" s="88"/>
      <c r="B78" s="94" t="s">
        <v>135</v>
      </c>
      <c r="C78" s="95"/>
      <c r="D78" s="94"/>
      <c r="E78" s="47"/>
      <c r="F78" s="47"/>
      <c r="G78" s="47"/>
      <c r="H78" s="81">
        <f>H77</f>
        <v>43.064999999999998</v>
      </c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81">
        <f>U77</f>
        <v>43065</v>
      </c>
    </row>
    <row r="79" spans="1:21" s="21" customFormat="1">
      <c r="A79" s="88"/>
      <c r="B79" s="94" t="s">
        <v>136</v>
      </c>
      <c r="C79" s="96"/>
      <c r="D79" s="97"/>
      <c r="E79" s="98"/>
      <c r="F79" s="98"/>
      <c r="G79" s="98"/>
      <c r="H79" s="81">
        <f>SUM(H78+H76+H73+H54+H42+H32+H22)</f>
        <v>470.18280052840004</v>
      </c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81">
        <f>SUM(U78+U76+U73+U54+U42+U32+U22)*1.064</f>
        <v>473232.46074941766</v>
      </c>
    </row>
    <row r="80" spans="1:21" s="129" customFormat="1" ht="53.25" customHeight="1">
      <c r="A80" s="130"/>
      <c r="B80" s="74"/>
      <c r="C80" s="70"/>
      <c r="D80" s="93"/>
      <c r="E80" s="56"/>
      <c r="F80" s="56"/>
      <c r="G80" s="56"/>
      <c r="H80" s="128"/>
      <c r="I80" s="56"/>
      <c r="J80" s="56"/>
      <c r="K80" s="56"/>
      <c r="L80" s="56"/>
      <c r="M80" s="56"/>
      <c r="N80" s="56"/>
      <c r="O80" s="56"/>
      <c r="P80" s="56"/>
      <c r="Q80" s="56"/>
      <c r="R80" s="150"/>
      <c r="S80" s="150"/>
      <c r="T80" s="150"/>
      <c r="U80" s="149" t="s">
        <v>186</v>
      </c>
    </row>
    <row r="81" spans="1:26">
      <c r="A81" s="73"/>
      <c r="B81" s="93" t="s">
        <v>137</v>
      </c>
      <c r="C81" s="70"/>
      <c r="D81" s="93"/>
      <c r="E81" s="56"/>
      <c r="F81" s="56"/>
      <c r="G81" s="56" t="s">
        <v>138</v>
      </c>
      <c r="H81" s="99">
        <f>E77</f>
        <v>2062.5</v>
      </c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40"/>
      <c r="W81" s="159"/>
      <c r="X81" s="159"/>
      <c r="Y81" s="159"/>
      <c r="Z81" s="159"/>
    </row>
    <row r="82" spans="1:26" s="21" customFormat="1">
      <c r="A82" s="88"/>
      <c r="B82" s="97" t="s">
        <v>139</v>
      </c>
      <c r="C82" s="96"/>
      <c r="D82" s="97"/>
      <c r="E82" s="98"/>
      <c r="F82" s="98"/>
      <c r="G82" s="98"/>
      <c r="H82" s="100">
        <f>SUM(H79/H81/12*1000)</f>
        <v>18.997284869834342</v>
      </c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101"/>
    </row>
    <row r="83" spans="1:26">
      <c r="A83" s="102"/>
      <c r="B83" s="93"/>
      <c r="C83" s="70"/>
      <c r="D83" s="93"/>
      <c r="E83" s="56"/>
      <c r="F83" s="56"/>
      <c r="G83" s="56"/>
      <c r="H83" s="103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104"/>
    </row>
    <row r="84" spans="1:26">
      <c r="A84" s="73"/>
      <c r="B84" s="74" t="s">
        <v>140</v>
      </c>
      <c r="C84" s="70"/>
      <c r="D84" s="93"/>
      <c r="E84" s="56"/>
      <c r="F84" s="56"/>
      <c r="G84" s="56"/>
      <c r="H84" s="56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40"/>
    </row>
    <row r="85" spans="1:26" ht="25.5">
      <c r="A85" s="26" t="s">
        <v>167</v>
      </c>
      <c r="B85" s="27" t="s">
        <v>181</v>
      </c>
      <c r="C85" s="127" t="s">
        <v>182</v>
      </c>
      <c r="D85" s="93"/>
      <c r="E85" s="56"/>
      <c r="F85" s="56">
        <v>1</v>
      </c>
      <c r="G85" s="56">
        <v>1678.06</v>
      </c>
      <c r="H85" s="134">
        <f t="shared" ref="H85:H105" si="11">G85*F85/1000</f>
        <v>1.6780599999999999</v>
      </c>
      <c r="I85" s="39">
        <f>G85</f>
        <v>1678.06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40">
        <f t="shared" ref="U85:U90" si="12">SUM(I85:T85)</f>
        <v>1678.06</v>
      </c>
    </row>
    <row r="86" spans="1:26">
      <c r="A86" s="26" t="s">
        <v>183</v>
      </c>
      <c r="B86" s="27" t="s">
        <v>184</v>
      </c>
      <c r="C86" s="127" t="s">
        <v>185</v>
      </c>
      <c r="D86" s="93"/>
      <c r="E86" s="56"/>
      <c r="F86" s="56">
        <v>1</v>
      </c>
      <c r="G86" s="56">
        <v>37384</v>
      </c>
      <c r="H86" s="134">
        <f t="shared" si="11"/>
        <v>37.384</v>
      </c>
      <c r="I86" s="39">
        <f>G86</f>
        <v>37384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40">
        <f t="shared" si="12"/>
        <v>37384</v>
      </c>
    </row>
    <row r="87" spans="1:26" ht="25.5">
      <c r="A87" s="131" t="s">
        <v>189</v>
      </c>
      <c r="B87" s="132" t="s">
        <v>187</v>
      </c>
      <c r="C87" s="133" t="s">
        <v>188</v>
      </c>
      <c r="D87" s="93"/>
      <c r="E87" s="56"/>
      <c r="F87" s="56">
        <v>2</v>
      </c>
      <c r="G87" s="56">
        <v>561.67999999999995</v>
      </c>
      <c r="H87" s="134">
        <f t="shared" si="11"/>
        <v>1.1233599999999999</v>
      </c>
      <c r="I87" s="39">
        <v>0</v>
      </c>
      <c r="J87" s="39">
        <f>G87*2</f>
        <v>1123.3599999999999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40">
        <f t="shared" si="12"/>
        <v>1123.3599999999999</v>
      </c>
    </row>
    <row r="88" spans="1:26">
      <c r="A88" s="131" t="s">
        <v>191</v>
      </c>
      <c r="B88" s="132" t="s">
        <v>190</v>
      </c>
      <c r="C88" s="133" t="s">
        <v>99</v>
      </c>
      <c r="D88" s="93"/>
      <c r="E88" s="56"/>
      <c r="F88" s="56">
        <v>2</v>
      </c>
      <c r="G88" s="56">
        <v>1023.97</v>
      </c>
      <c r="H88" s="134">
        <f t="shared" si="11"/>
        <v>2.0479400000000001</v>
      </c>
      <c r="I88" s="39">
        <v>0</v>
      </c>
      <c r="J88" s="39">
        <f>G88</f>
        <v>1023.97</v>
      </c>
      <c r="K88" s="39">
        <v>0</v>
      </c>
      <c r="L88" s="39">
        <f>G88</f>
        <v>1023.97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40">
        <f t="shared" si="12"/>
        <v>2047.94</v>
      </c>
    </row>
    <row r="89" spans="1:26">
      <c r="A89" s="131" t="s">
        <v>167</v>
      </c>
      <c r="B89" s="132" t="s">
        <v>198</v>
      </c>
      <c r="C89" s="133" t="s">
        <v>197</v>
      </c>
      <c r="D89" s="93"/>
      <c r="E89" s="56"/>
      <c r="F89" s="56">
        <v>3</v>
      </c>
      <c r="G89" s="56">
        <v>1372</v>
      </c>
      <c r="H89" s="136">
        <f t="shared" si="11"/>
        <v>4.1159999999999997</v>
      </c>
      <c r="I89" s="39">
        <v>0</v>
      </c>
      <c r="J89" s="39">
        <v>0</v>
      </c>
      <c r="K89" s="39">
        <f>G89*2</f>
        <v>2744</v>
      </c>
      <c r="L89" s="39">
        <f>G89</f>
        <v>1372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40">
        <f t="shared" si="12"/>
        <v>4116</v>
      </c>
    </row>
    <row r="90" spans="1:26" ht="25.5">
      <c r="A90" s="131" t="s">
        <v>200</v>
      </c>
      <c r="B90" s="132" t="s">
        <v>199</v>
      </c>
      <c r="C90" s="133" t="s">
        <v>99</v>
      </c>
      <c r="D90" s="93"/>
      <c r="E90" s="56"/>
      <c r="F90" s="56">
        <v>4</v>
      </c>
      <c r="G90" s="56">
        <v>72.290000000000006</v>
      </c>
      <c r="H90" s="136">
        <f t="shared" si="11"/>
        <v>0.28916000000000003</v>
      </c>
      <c r="I90" s="39">
        <v>0</v>
      </c>
      <c r="J90" s="39">
        <v>0</v>
      </c>
      <c r="K90" s="39">
        <f>G90</f>
        <v>72.290000000000006</v>
      </c>
      <c r="L90" s="39">
        <v>0</v>
      </c>
      <c r="M90" s="39">
        <v>0</v>
      </c>
      <c r="N90" s="39">
        <f>G90</f>
        <v>72.290000000000006</v>
      </c>
      <c r="O90" s="39">
        <f>G90</f>
        <v>72.290000000000006</v>
      </c>
      <c r="P90" s="39">
        <v>0</v>
      </c>
      <c r="Q90" s="39">
        <f>G90</f>
        <v>72.290000000000006</v>
      </c>
      <c r="R90" s="39">
        <v>0</v>
      </c>
      <c r="S90" s="39">
        <v>0</v>
      </c>
      <c r="T90" s="39">
        <v>0</v>
      </c>
      <c r="U90" s="40">
        <f t="shared" si="12"/>
        <v>289.16000000000003</v>
      </c>
    </row>
    <row r="91" spans="1:26">
      <c r="A91" s="131" t="s">
        <v>203</v>
      </c>
      <c r="B91" s="132" t="s">
        <v>202</v>
      </c>
      <c r="C91" s="133" t="s">
        <v>196</v>
      </c>
      <c r="D91" s="93"/>
      <c r="E91" s="56"/>
      <c r="F91" s="56">
        <v>0.1</v>
      </c>
      <c r="G91" s="56">
        <v>272.25</v>
      </c>
      <c r="H91" s="144">
        <f t="shared" si="11"/>
        <v>2.7225000000000003E-2</v>
      </c>
      <c r="I91" s="39">
        <v>0</v>
      </c>
      <c r="J91" s="39">
        <v>0</v>
      </c>
      <c r="K91" s="39">
        <v>0</v>
      </c>
      <c r="L91" s="39">
        <f>G91*0.1</f>
        <v>27.225000000000001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40">
        <f t="shared" ref="U91:U105" si="13">SUM(I91:T91)</f>
        <v>27.225000000000001</v>
      </c>
    </row>
    <row r="92" spans="1:26" ht="25.5">
      <c r="A92" s="131" t="s">
        <v>207</v>
      </c>
      <c r="B92" s="132" t="s">
        <v>204</v>
      </c>
      <c r="C92" s="133" t="s">
        <v>205</v>
      </c>
      <c r="D92" s="93"/>
      <c r="E92" s="56"/>
      <c r="F92" s="56">
        <v>0.3</v>
      </c>
      <c r="G92" s="56">
        <v>105.62</v>
      </c>
      <c r="H92" s="144">
        <f t="shared" si="11"/>
        <v>3.1685999999999999E-2</v>
      </c>
      <c r="I92" s="39">
        <v>0</v>
      </c>
      <c r="J92" s="39">
        <v>0</v>
      </c>
      <c r="K92" s="39">
        <v>0</v>
      </c>
      <c r="L92" s="39">
        <f>G92*0.3</f>
        <v>31.686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40">
        <f t="shared" si="13"/>
        <v>31.686</v>
      </c>
    </row>
    <row r="93" spans="1:26" ht="25.5">
      <c r="A93" s="131" t="s">
        <v>208</v>
      </c>
      <c r="B93" s="132" t="s">
        <v>206</v>
      </c>
      <c r="C93" s="133" t="s">
        <v>205</v>
      </c>
      <c r="D93" s="93"/>
      <c r="E93" s="56"/>
      <c r="F93" s="56">
        <v>0.3</v>
      </c>
      <c r="G93" s="56">
        <v>178.49</v>
      </c>
      <c r="H93" s="144">
        <f t="shared" si="11"/>
        <v>5.3547000000000004E-2</v>
      </c>
      <c r="I93" s="39">
        <v>0</v>
      </c>
      <c r="J93" s="39">
        <v>0</v>
      </c>
      <c r="K93" s="39">
        <v>0</v>
      </c>
      <c r="L93" s="39">
        <f>G93*0.3</f>
        <v>53.547000000000004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40">
        <f t="shared" si="13"/>
        <v>53.547000000000004</v>
      </c>
    </row>
    <row r="94" spans="1:26" ht="25.5">
      <c r="A94" s="146" t="s">
        <v>211</v>
      </c>
      <c r="B94" s="147" t="s">
        <v>209</v>
      </c>
      <c r="C94" s="148" t="s">
        <v>210</v>
      </c>
      <c r="D94" s="93"/>
      <c r="E94" s="56"/>
      <c r="F94" s="56">
        <v>3</v>
      </c>
      <c r="G94" s="56">
        <v>16.45</v>
      </c>
      <c r="H94" s="145">
        <f t="shared" si="11"/>
        <v>4.9349999999999991E-2</v>
      </c>
      <c r="I94" s="39">
        <v>0</v>
      </c>
      <c r="J94" s="39">
        <v>0</v>
      </c>
      <c r="K94" s="39">
        <v>0</v>
      </c>
      <c r="L94" s="39">
        <v>0</v>
      </c>
      <c r="M94" s="39">
        <f>G94*3</f>
        <v>49.349999999999994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40">
        <f t="shared" si="13"/>
        <v>49.349999999999994</v>
      </c>
    </row>
    <row r="95" spans="1:26">
      <c r="A95" s="146" t="s">
        <v>212</v>
      </c>
      <c r="B95" s="147" t="s">
        <v>213</v>
      </c>
      <c r="C95" s="148" t="s">
        <v>99</v>
      </c>
      <c r="D95" s="93"/>
      <c r="E95" s="56"/>
      <c r="F95" s="56">
        <v>1</v>
      </c>
      <c r="G95" s="56">
        <v>4879</v>
      </c>
      <c r="H95" s="145">
        <f t="shared" si="11"/>
        <v>4.8789999999999996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f>G95</f>
        <v>4879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40">
        <f t="shared" si="13"/>
        <v>4879</v>
      </c>
    </row>
    <row r="96" spans="1:26" ht="25.5">
      <c r="A96" s="133" t="s">
        <v>221</v>
      </c>
      <c r="B96" s="132" t="s">
        <v>224</v>
      </c>
      <c r="C96" s="133" t="s">
        <v>220</v>
      </c>
      <c r="D96" s="93"/>
      <c r="E96" s="56"/>
      <c r="F96" s="56">
        <v>4</v>
      </c>
      <c r="G96" s="56">
        <v>169.85</v>
      </c>
      <c r="H96" s="145">
        <f t="shared" si="11"/>
        <v>0.6794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f>G96</f>
        <v>169.85</v>
      </c>
      <c r="Q96" s="39">
        <v>0</v>
      </c>
      <c r="R96" s="39">
        <f>G96*2</f>
        <v>339.7</v>
      </c>
      <c r="S96" s="39">
        <v>0</v>
      </c>
      <c r="T96" s="39">
        <f>G96</f>
        <v>169.85</v>
      </c>
      <c r="U96" s="40">
        <f t="shared" si="13"/>
        <v>679.4</v>
      </c>
    </row>
    <row r="97" spans="1:21" ht="38.25">
      <c r="A97" s="133" t="s">
        <v>226</v>
      </c>
      <c r="B97" s="132" t="s">
        <v>222</v>
      </c>
      <c r="C97" s="133" t="s">
        <v>223</v>
      </c>
      <c r="D97" s="93"/>
      <c r="E97" s="56"/>
      <c r="F97" s="56">
        <v>4</v>
      </c>
      <c r="G97" s="56">
        <v>46.98</v>
      </c>
      <c r="H97" s="145">
        <f t="shared" si="11"/>
        <v>0.18791999999999998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f>G97</f>
        <v>46.98</v>
      </c>
      <c r="O97" s="39">
        <v>0</v>
      </c>
      <c r="P97" s="39">
        <v>0</v>
      </c>
      <c r="Q97" s="39">
        <v>0</v>
      </c>
      <c r="R97" s="39">
        <v>0</v>
      </c>
      <c r="S97" s="39">
        <f>G97*3</f>
        <v>140.94</v>
      </c>
      <c r="T97" s="39">
        <v>0</v>
      </c>
      <c r="U97" s="40">
        <f t="shared" si="13"/>
        <v>187.92</v>
      </c>
    </row>
    <row r="98" spans="1:21" ht="25.5">
      <c r="A98" s="133" t="s">
        <v>183</v>
      </c>
      <c r="B98" s="132" t="s">
        <v>225</v>
      </c>
      <c r="C98" s="133" t="s">
        <v>210</v>
      </c>
      <c r="D98" s="93"/>
      <c r="E98" s="56"/>
      <c r="F98" s="56">
        <v>40</v>
      </c>
      <c r="G98" s="56">
        <v>2057</v>
      </c>
      <c r="H98" s="145">
        <f t="shared" si="11"/>
        <v>82.28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f>G98*40</f>
        <v>82280</v>
      </c>
      <c r="S98" s="39">
        <v>0</v>
      </c>
      <c r="T98" s="39">
        <v>0</v>
      </c>
      <c r="U98" s="40">
        <f t="shared" si="13"/>
        <v>82280</v>
      </c>
    </row>
    <row r="99" spans="1:21" ht="38.25">
      <c r="A99" s="151" t="s">
        <v>227</v>
      </c>
      <c r="B99" s="132" t="s">
        <v>228</v>
      </c>
      <c r="C99" s="133" t="s">
        <v>99</v>
      </c>
      <c r="D99" s="93"/>
      <c r="E99" s="56"/>
      <c r="F99" s="56">
        <v>2</v>
      </c>
      <c r="G99" s="56">
        <v>167.91</v>
      </c>
      <c r="H99" s="145">
        <f t="shared" si="11"/>
        <v>0.33582000000000001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f>G99*2</f>
        <v>335.82</v>
      </c>
      <c r="S99" s="39">
        <v>0</v>
      </c>
      <c r="T99" s="39">
        <v>0</v>
      </c>
      <c r="U99" s="40">
        <f t="shared" si="13"/>
        <v>335.82</v>
      </c>
    </row>
    <row r="100" spans="1:21" ht="25.5">
      <c r="A100" s="133" t="s">
        <v>230</v>
      </c>
      <c r="B100" s="132" t="s">
        <v>229</v>
      </c>
      <c r="C100" s="133" t="s">
        <v>99</v>
      </c>
      <c r="D100" s="93"/>
      <c r="E100" s="56"/>
      <c r="F100" s="56">
        <v>1</v>
      </c>
      <c r="G100" s="56">
        <v>164.67</v>
      </c>
      <c r="H100" s="145">
        <f t="shared" si="11"/>
        <v>0.16466999999999998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f>G100</f>
        <v>164.67</v>
      </c>
      <c r="R100" s="39">
        <v>0</v>
      </c>
      <c r="S100" s="39">
        <v>0</v>
      </c>
      <c r="T100" s="39">
        <v>0</v>
      </c>
      <c r="U100" s="40">
        <f t="shared" si="13"/>
        <v>164.67</v>
      </c>
    </row>
    <row r="101" spans="1:21" ht="25.5">
      <c r="A101" s="133" t="s">
        <v>233</v>
      </c>
      <c r="B101" s="132" t="s">
        <v>231</v>
      </c>
      <c r="C101" s="133" t="s">
        <v>232</v>
      </c>
      <c r="D101" s="93"/>
      <c r="E101" s="56"/>
      <c r="F101" s="56">
        <v>2</v>
      </c>
      <c r="G101" s="56">
        <v>179.12</v>
      </c>
      <c r="H101" s="145">
        <f t="shared" si="11"/>
        <v>0.35824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f>G101*2</f>
        <v>358.24</v>
      </c>
      <c r="R101" s="39">
        <v>0</v>
      </c>
      <c r="S101" s="39">
        <v>0</v>
      </c>
      <c r="T101" s="39">
        <v>0</v>
      </c>
      <c r="U101" s="40">
        <f t="shared" si="13"/>
        <v>358.24</v>
      </c>
    </row>
    <row r="102" spans="1:21" ht="25.5">
      <c r="A102" s="133" t="s">
        <v>183</v>
      </c>
      <c r="B102" s="132" t="s">
        <v>234</v>
      </c>
      <c r="C102" s="133" t="s">
        <v>235</v>
      </c>
      <c r="D102" s="93"/>
      <c r="E102" s="56"/>
      <c r="F102" s="56">
        <v>0.81</v>
      </c>
      <c r="G102" s="56">
        <v>3402</v>
      </c>
      <c r="H102" s="145">
        <f t="shared" si="11"/>
        <v>2.7556200000000004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f>G102*0.81</f>
        <v>2755.6200000000003</v>
      </c>
      <c r="T102" s="39">
        <v>0</v>
      </c>
      <c r="U102" s="40">
        <f t="shared" si="13"/>
        <v>2755.6200000000003</v>
      </c>
    </row>
    <row r="103" spans="1:21">
      <c r="A103" s="146" t="s">
        <v>236</v>
      </c>
      <c r="B103" s="147" t="s">
        <v>209</v>
      </c>
      <c r="C103" s="148" t="s">
        <v>210</v>
      </c>
      <c r="D103" s="93"/>
      <c r="E103" s="56"/>
      <c r="F103" s="56">
        <v>1</v>
      </c>
      <c r="G103" s="56">
        <v>16.45</v>
      </c>
      <c r="H103" s="145">
        <f t="shared" si="11"/>
        <v>1.6449999999999999E-2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f>G103</f>
        <v>16.45</v>
      </c>
      <c r="S103" s="39">
        <v>0</v>
      </c>
      <c r="T103" s="39">
        <v>0</v>
      </c>
      <c r="U103" s="40">
        <f t="shared" si="13"/>
        <v>16.45</v>
      </c>
    </row>
    <row r="104" spans="1:21" ht="30.75" customHeight="1">
      <c r="A104" s="151" t="s">
        <v>237</v>
      </c>
      <c r="B104" s="132" t="s">
        <v>238</v>
      </c>
      <c r="C104" s="131" t="s">
        <v>196</v>
      </c>
      <c r="D104" s="93"/>
      <c r="E104" s="56"/>
      <c r="F104" s="56">
        <v>0.2</v>
      </c>
      <c r="G104" s="56">
        <v>12505.55</v>
      </c>
      <c r="H104" s="145">
        <f t="shared" si="11"/>
        <v>2.5011100000000002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f>G104*0.2</f>
        <v>2501.11</v>
      </c>
      <c r="Q104" s="39">
        <v>0</v>
      </c>
      <c r="R104" s="39">
        <v>0</v>
      </c>
      <c r="S104" s="39">
        <v>0</v>
      </c>
      <c r="T104" s="39">
        <v>0</v>
      </c>
      <c r="U104" s="40">
        <f t="shared" si="13"/>
        <v>2501.11</v>
      </c>
    </row>
    <row r="105" spans="1:21">
      <c r="A105" s="133" t="s">
        <v>239</v>
      </c>
      <c r="B105" s="132" t="s">
        <v>240</v>
      </c>
      <c r="C105" s="131" t="s">
        <v>133</v>
      </c>
      <c r="D105" s="93"/>
      <c r="E105" s="56"/>
      <c r="F105" s="56">
        <v>0.72</v>
      </c>
      <c r="G105" s="56">
        <v>16785.25</v>
      </c>
      <c r="H105" s="145">
        <f t="shared" si="11"/>
        <v>12.085379999999999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f>G105*0.72</f>
        <v>12085.38</v>
      </c>
      <c r="Q105" s="39">
        <v>0</v>
      </c>
      <c r="R105" s="39">
        <v>0</v>
      </c>
      <c r="S105" s="39">
        <v>0</v>
      </c>
      <c r="T105" s="39">
        <v>0</v>
      </c>
      <c r="U105" s="40">
        <f t="shared" si="13"/>
        <v>12085.38</v>
      </c>
    </row>
    <row r="106" spans="1:21" s="21" customFormat="1">
      <c r="A106" s="105"/>
      <c r="B106" s="106" t="s">
        <v>141</v>
      </c>
      <c r="C106" s="105"/>
      <c r="D106" s="105"/>
      <c r="E106" s="98"/>
      <c r="F106" s="98"/>
      <c r="G106" s="98"/>
      <c r="H106" s="48">
        <f>SUM(H85:H105)</f>
        <v>153.043938</v>
      </c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48">
        <f>SUM(U85:U105)</f>
        <v>153043.93799999999</v>
      </c>
    </row>
    <row r="107" spans="1:21">
      <c r="A107" s="102"/>
      <c r="B107" s="107"/>
      <c r="C107" s="108"/>
      <c r="D107" s="108"/>
      <c r="E107" s="56"/>
      <c r="F107" s="56"/>
      <c r="G107" s="56"/>
      <c r="H107" s="10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110"/>
    </row>
    <row r="108" spans="1:21" ht="12" customHeight="1">
      <c r="A108" s="73"/>
      <c r="B108" s="20" t="s">
        <v>142</v>
      </c>
      <c r="C108" s="70"/>
      <c r="D108" s="93"/>
      <c r="E108" s="56"/>
      <c r="F108" s="56"/>
      <c r="G108" s="56"/>
      <c r="H108" s="111">
        <f>H106/E109/12*1000</f>
        <v>6.1835934545454547</v>
      </c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110"/>
    </row>
    <row r="109" spans="1:21" s="21" customFormat="1">
      <c r="A109" s="88"/>
      <c r="B109" s="112" t="s">
        <v>143</v>
      </c>
      <c r="C109" s="113"/>
      <c r="D109" s="112"/>
      <c r="E109" s="114">
        <v>2062.5</v>
      </c>
      <c r="F109" s="115">
        <f>SUM(E109*12)</f>
        <v>24750</v>
      </c>
      <c r="G109" s="116">
        <f>H82+H108</f>
        <v>25.180878324379798</v>
      </c>
      <c r="H109" s="117">
        <f>SUM(F109*G109/1000)</f>
        <v>623.22673852840001</v>
      </c>
      <c r="I109" s="98">
        <f t="shared" ref="I109:R109" si="14">SUM(I11:I108)</f>
        <v>72793.055734166672</v>
      </c>
      <c r="J109" s="98">
        <f t="shared" si="14"/>
        <v>40993.866934166668</v>
      </c>
      <c r="K109" s="98">
        <f t="shared" si="14"/>
        <v>43098.595174166672</v>
      </c>
      <c r="L109" s="98">
        <f t="shared" si="14"/>
        <v>42618.232170366668</v>
      </c>
      <c r="M109" s="98">
        <f t="shared" si="14"/>
        <v>82774.533163666682</v>
      </c>
      <c r="N109" s="98">
        <f t="shared" si="14"/>
        <v>32966.762700666666</v>
      </c>
      <c r="O109" s="98">
        <f t="shared" si="14"/>
        <v>26290.090856666669</v>
      </c>
      <c r="P109" s="98">
        <f t="shared" si="14"/>
        <v>46029.26085666666</v>
      </c>
      <c r="Q109" s="98">
        <f t="shared" si="14"/>
        <v>29205.029976666669</v>
      </c>
      <c r="R109" s="98">
        <f t="shared" si="14"/>
        <v>111424.14985286667</v>
      </c>
      <c r="S109" s="98">
        <f>SUM(S11:S108)</f>
        <v>35716.865174166676</v>
      </c>
      <c r="T109" s="98">
        <f>SUM(T11:T108)</f>
        <v>33900.845734166665</v>
      </c>
      <c r="U109" s="48">
        <f>U79+U106</f>
        <v>626276.39874941763</v>
      </c>
    </row>
    <row r="110" spans="1:21">
      <c r="A110" s="73"/>
      <c r="B110" s="73"/>
      <c r="C110" s="73"/>
      <c r="D110" s="73"/>
      <c r="E110" s="118"/>
      <c r="F110" s="118"/>
      <c r="G110" s="118"/>
      <c r="H110" s="118"/>
      <c r="I110" s="118"/>
      <c r="J110" s="118"/>
      <c r="K110" s="118"/>
      <c r="L110" s="118"/>
      <c r="M110" s="73"/>
      <c r="N110" s="118"/>
      <c r="O110" s="73"/>
      <c r="P110" s="73"/>
      <c r="Q110" s="73"/>
      <c r="R110" s="73"/>
      <c r="S110" s="73"/>
      <c r="T110" s="73"/>
      <c r="U110" s="73"/>
    </row>
    <row r="111" spans="1:21">
      <c r="A111" s="73"/>
      <c r="B111" s="73"/>
      <c r="C111" s="73"/>
      <c r="D111" s="73"/>
      <c r="E111" s="118"/>
      <c r="F111" s="118"/>
      <c r="G111" s="118"/>
      <c r="H111" s="118"/>
      <c r="I111" s="118"/>
      <c r="J111" s="119"/>
      <c r="K111" s="120"/>
      <c r="L111" s="119"/>
      <c r="M111" s="118"/>
      <c r="N111" s="73"/>
      <c r="O111" s="73"/>
      <c r="P111" s="73"/>
      <c r="Q111" s="73"/>
      <c r="R111" s="73"/>
      <c r="S111" s="73"/>
      <c r="T111" s="73"/>
      <c r="U111" s="73"/>
    </row>
    <row r="112" spans="1:21" ht="45">
      <c r="A112" s="73"/>
      <c r="B112" s="121" t="s">
        <v>180</v>
      </c>
      <c r="C112" s="156">
        <v>183980.72</v>
      </c>
      <c r="D112" s="157"/>
      <c r="E112" s="157"/>
      <c r="F112" s="158"/>
      <c r="G112" s="118"/>
      <c r="H112" s="118"/>
      <c r="I112" s="118"/>
      <c r="J112" s="119"/>
      <c r="K112" s="120"/>
      <c r="L112" s="119"/>
      <c r="M112" s="118"/>
      <c r="N112" s="73"/>
      <c r="O112" s="73"/>
      <c r="P112" s="73"/>
      <c r="Q112" s="73"/>
      <c r="R112" s="73"/>
      <c r="S112" s="73"/>
      <c r="T112" s="73"/>
      <c r="U112" s="73"/>
    </row>
    <row r="113" spans="1:21" ht="30">
      <c r="A113" s="73"/>
      <c r="B113" s="24" t="s">
        <v>214</v>
      </c>
      <c r="C113" s="161">
        <v>562320</v>
      </c>
      <c r="D113" s="162"/>
      <c r="E113" s="162"/>
      <c r="F113" s="163"/>
      <c r="G113" s="118"/>
      <c r="H113" s="118"/>
      <c r="I113" s="118"/>
      <c r="J113" s="119"/>
      <c r="K113" s="120"/>
      <c r="L113" s="119"/>
      <c r="M113" s="118"/>
      <c r="N113" s="73"/>
      <c r="O113" s="73"/>
      <c r="P113" s="73"/>
      <c r="Q113" s="73"/>
      <c r="R113" s="73"/>
      <c r="S113" s="73"/>
      <c r="T113" s="73"/>
      <c r="U113" s="73"/>
    </row>
    <row r="114" spans="1:21" ht="30">
      <c r="A114" s="73"/>
      <c r="B114" s="24" t="s">
        <v>215</v>
      </c>
      <c r="C114" s="161">
        <f>SUM(U109-U106)</f>
        <v>473232.46074941766</v>
      </c>
      <c r="D114" s="162"/>
      <c r="E114" s="162"/>
      <c r="F114" s="163"/>
      <c r="G114" s="118"/>
      <c r="H114" s="118"/>
      <c r="I114" s="118"/>
      <c r="J114" s="119"/>
      <c r="K114" s="120"/>
      <c r="L114" s="119"/>
      <c r="M114" s="118"/>
      <c r="N114" s="73"/>
      <c r="O114" s="73"/>
      <c r="P114" s="73"/>
      <c r="Q114" s="73"/>
      <c r="R114" s="73"/>
      <c r="S114" s="73"/>
      <c r="T114" s="73"/>
      <c r="U114" s="73"/>
    </row>
    <row r="115" spans="1:21" ht="30">
      <c r="A115" s="73"/>
      <c r="B115" s="24" t="s">
        <v>216</v>
      </c>
      <c r="C115" s="161">
        <f>SUM(U106)</f>
        <v>153043.93799999999</v>
      </c>
      <c r="D115" s="162"/>
      <c r="E115" s="162"/>
      <c r="F115" s="163"/>
      <c r="G115" s="118"/>
      <c r="H115" s="118"/>
      <c r="I115" s="118"/>
      <c r="J115" s="119"/>
      <c r="K115" s="120"/>
      <c r="L115" s="119"/>
      <c r="M115" s="118"/>
      <c r="N115" s="73"/>
      <c r="O115" s="73"/>
      <c r="P115" s="73"/>
      <c r="Q115" s="73"/>
      <c r="R115" s="73"/>
      <c r="S115" s="73"/>
      <c r="T115" s="73"/>
      <c r="U115" s="73"/>
    </row>
    <row r="116" spans="1:21" ht="18">
      <c r="A116" s="73"/>
      <c r="B116" s="135" t="s">
        <v>217</v>
      </c>
      <c r="C116" s="156">
        <v>551088.77</v>
      </c>
      <c r="D116" s="157"/>
      <c r="E116" s="157"/>
      <c r="F116" s="158"/>
      <c r="G116" s="73"/>
      <c r="H116" s="122" t="s">
        <v>161</v>
      </c>
      <c r="I116" s="123"/>
      <c r="J116" s="123"/>
      <c r="K116" s="124"/>
      <c r="L116" s="125"/>
      <c r="M116" s="122"/>
      <c r="N116" s="122"/>
      <c r="O116" s="73"/>
      <c r="P116" s="73"/>
      <c r="Q116" s="73"/>
      <c r="R116" s="73"/>
      <c r="S116" s="73"/>
      <c r="T116" s="73"/>
      <c r="U116" s="73"/>
    </row>
    <row r="117" spans="1:21" ht="78.75">
      <c r="A117" s="73"/>
      <c r="B117" s="25" t="s">
        <v>218</v>
      </c>
      <c r="C117" s="164">
        <v>79230.87</v>
      </c>
      <c r="D117" s="165"/>
      <c r="E117" s="165"/>
      <c r="F117" s="166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</row>
    <row r="118" spans="1:21" ht="45">
      <c r="A118" s="73"/>
      <c r="B118" s="126" t="s">
        <v>219</v>
      </c>
      <c r="C118" s="160">
        <f>SUM(U109-C113)+C112</f>
        <v>247937.11874941763</v>
      </c>
      <c r="D118" s="157"/>
      <c r="E118" s="157"/>
      <c r="F118" s="158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</row>
    <row r="120" spans="1:21">
      <c r="J120" s="4"/>
      <c r="K120" s="5"/>
      <c r="L120" s="5"/>
      <c r="M120" s="3"/>
    </row>
    <row r="121" spans="1:21">
      <c r="G121" s="6"/>
      <c r="H121" s="6"/>
    </row>
    <row r="122" spans="1:21">
      <c r="G122" s="7"/>
    </row>
  </sheetData>
  <mergeCells count="12">
    <mergeCell ref="W81:Z81"/>
    <mergeCell ref="C118:F118"/>
    <mergeCell ref="C113:F113"/>
    <mergeCell ref="C114:F114"/>
    <mergeCell ref="C115:F115"/>
    <mergeCell ref="C116:F116"/>
    <mergeCell ref="C117:F117"/>
    <mergeCell ref="B3:L3"/>
    <mergeCell ref="B4:L4"/>
    <mergeCell ref="B5:L5"/>
    <mergeCell ref="B6:L6"/>
    <mergeCell ref="C112:F112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 43</vt:lpstr>
      <vt:lpstr>'Окт. 43'!Область_печати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2016-07-20T07:29:35Z</dcterms:modified>
</cp:coreProperties>
</file>