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540" windowWidth="15480" windowHeight="11280" activeTab="11"/>
  </bookViews>
  <sheets>
    <sheet name="01.21" sheetId="30" r:id="rId1"/>
    <sheet name="02.21" sheetId="31" r:id="rId2"/>
    <sheet name="03.21" sheetId="32" r:id="rId3"/>
    <sheet name="04.21" sheetId="34" r:id="rId4"/>
    <sheet name="05.21" sheetId="35" r:id="rId5"/>
    <sheet name="06.21" sheetId="36" r:id="rId6"/>
    <sheet name="07.21" sheetId="37" r:id="rId7"/>
    <sheet name="08.21" sheetId="38" r:id="rId8"/>
    <sheet name="09.21" sheetId="39" r:id="rId9"/>
    <sheet name="10.21" sheetId="40" r:id="rId10"/>
    <sheet name="11.21" sheetId="27" r:id="rId11"/>
    <sheet name="12.21" sheetId="29" r:id="rId12"/>
  </sheets>
  <definedNames>
    <definedName name="_xlnm._FilterDatabase" localSheetId="0" hidden="1">'01.21'!$I$12:$I$58</definedName>
    <definedName name="_xlnm._FilterDatabase" localSheetId="1" hidden="1">'02.21'!$I$12:$I$58</definedName>
    <definedName name="_xlnm._FilterDatabase" localSheetId="2" hidden="1">'03.21'!$I$12:$I$59</definedName>
    <definedName name="_xlnm._FilterDatabase" localSheetId="10" hidden="1">'11.21'!$I$12:$I$60</definedName>
    <definedName name="_xlnm._FilterDatabase" localSheetId="11" hidden="1">'12.21'!$I$12:$I$60</definedName>
    <definedName name="_xlnm.Print_Area" localSheetId="0">'01.21'!$A$1:$I$121</definedName>
    <definedName name="_xlnm.Print_Area" localSheetId="1">'02.21'!$A$1:$I$122</definedName>
    <definedName name="_xlnm.Print_Area" localSheetId="2">'03.21'!$A$1:$I$123</definedName>
    <definedName name="_xlnm.Print_Area" localSheetId="3">'04.21'!$A$1:$I$116</definedName>
    <definedName name="_xlnm.Print_Area" localSheetId="4">'05.21'!$A$1:$I$120</definedName>
    <definedName name="_xlnm.Print_Area" localSheetId="7">'08.21'!$A$1:$I$116</definedName>
    <definedName name="_xlnm.Print_Area" localSheetId="10">'11.21'!$A$1:$I$120</definedName>
    <definedName name="_xlnm.Print_Area" localSheetId="11">'12.21'!$A$1:$I$124</definedName>
  </definedNames>
  <calcPr calcId="125725"/>
</workbook>
</file>

<file path=xl/calcChain.xml><?xml version="1.0" encoding="utf-8"?>
<calcChain xmlns="http://schemas.openxmlformats.org/spreadsheetml/2006/main">
  <c r="I94" i="29"/>
  <c r="I93"/>
  <c r="I101" l="1"/>
  <c r="I100"/>
  <c r="I99"/>
  <c r="I90"/>
  <c r="I97"/>
  <c r="I96"/>
  <c r="I95"/>
  <c r="I67"/>
  <c r="I66"/>
  <c r="I39"/>
  <c r="I90" i="27"/>
  <c r="I39"/>
  <c r="I97" l="1"/>
  <c r="I96"/>
  <c r="I95"/>
  <c r="I94"/>
  <c r="F94"/>
  <c r="I93"/>
  <c r="I92"/>
  <c r="I88" i="40" l="1"/>
  <c r="I74"/>
  <c r="I92"/>
  <c r="I91"/>
  <c r="I95" i="39" l="1"/>
  <c r="I94"/>
  <c r="F94"/>
  <c r="I87" l="1"/>
  <c r="I90"/>
  <c r="I89"/>
  <c r="I64"/>
  <c r="I93" i="38"/>
  <c r="I88"/>
  <c r="I92"/>
  <c r="I91"/>
  <c r="I90"/>
  <c r="I98" i="37" l="1"/>
  <c r="I90"/>
  <c r="I97"/>
  <c r="I91"/>
  <c r="I96"/>
  <c r="I94"/>
  <c r="I95"/>
  <c r="I95" i="35"/>
  <c r="I94"/>
  <c r="I93" i="37"/>
  <c r="I92"/>
  <c r="I95" i="36" l="1"/>
  <c r="I94"/>
  <c r="I93"/>
  <c r="I92"/>
  <c r="I91"/>
  <c r="I96" s="1"/>
  <c r="F91"/>
  <c r="I93" i="35"/>
  <c r="I91"/>
  <c r="I90"/>
  <c r="I91" i="34"/>
  <c r="I93" i="32"/>
  <c r="I92"/>
  <c r="I60"/>
  <c r="I59"/>
  <c r="F62"/>
  <c r="I62" s="1"/>
  <c r="F56"/>
  <c r="I44"/>
  <c r="I38"/>
  <c r="I94" i="31" l="1"/>
  <c r="I92"/>
  <c r="I91"/>
  <c r="I44"/>
  <c r="I38"/>
  <c r="I60" i="30"/>
  <c r="I95"/>
  <c r="I94"/>
  <c r="I85"/>
  <c r="I92"/>
  <c r="I91"/>
  <c r="I97" s="1"/>
  <c r="I59"/>
  <c r="F59"/>
  <c r="I44"/>
  <c r="I38"/>
  <c r="F27" i="29" l="1"/>
  <c r="H27" s="1"/>
  <c r="F27" i="27"/>
  <c r="H27" s="1"/>
  <c r="I45"/>
  <c r="I27" i="29" l="1"/>
  <c r="I27" i="27"/>
  <c r="F27" i="40"/>
  <c r="H27" s="1"/>
  <c r="F27" i="39"/>
  <c r="H27" s="1"/>
  <c r="F27" i="38"/>
  <c r="H27" s="1"/>
  <c r="I27" i="40" l="1"/>
  <c r="I27" i="39"/>
  <c r="I27" i="38"/>
  <c r="I64" i="37"/>
  <c r="F27" l="1"/>
  <c r="H27" s="1"/>
  <c r="I27" l="1"/>
  <c r="F27" i="36" l="1"/>
  <c r="H27" s="1"/>
  <c r="F27" i="35"/>
  <c r="H27" s="1"/>
  <c r="F27" i="34"/>
  <c r="H27" s="1"/>
  <c r="I92"/>
  <c r="I27" i="36" l="1"/>
  <c r="I27" i="35"/>
  <c r="I27" i="34"/>
  <c r="I75" i="32" l="1"/>
  <c r="F27" l="1"/>
  <c r="H27" s="1"/>
  <c r="I27" l="1"/>
  <c r="F27" i="31"/>
  <c r="H27" s="1"/>
  <c r="I60"/>
  <c r="I59"/>
  <c r="F27" i="30"/>
  <c r="I27" s="1"/>
  <c r="F81"/>
  <c r="H81" s="1"/>
  <c r="I27" i="31" l="1"/>
  <c r="I81" i="30"/>
  <c r="I61" i="29" l="1"/>
  <c r="I60"/>
  <c r="F46"/>
  <c r="H46" s="1"/>
  <c r="I45"/>
  <c r="H45"/>
  <c r="F44"/>
  <c r="I44" s="1"/>
  <c r="F43"/>
  <c r="H43" s="1"/>
  <c r="H42"/>
  <c r="F41"/>
  <c r="H41" s="1"/>
  <c r="F40"/>
  <c r="I40" s="1"/>
  <c r="I26"/>
  <c r="H26"/>
  <c r="I25"/>
  <c r="H25"/>
  <c r="F25"/>
  <c r="I24"/>
  <c r="F24"/>
  <c r="H24" s="1"/>
  <c r="I23"/>
  <c r="F23"/>
  <c r="H23" s="1"/>
  <c r="I22"/>
  <c r="F22"/>
  <c r="H22" s="1"/>
  <c r="I21"/>
  <c r="H21"/>
  <c r="F21"/>
  <c r="F20"/>
  <c r="H20" s="1"/>
  <c r="I19"/>
  <c r="H19"/>
  <c r="F19"/>
  <c r="F18"/>
  <c r="H18" s="1"/>
  <c r="F17"/>
  <c r="I17" s="1"/>
  <c r="F16"/>
  <c r="H16" s="1"/>
  <c r="H17" l="1"/>
  <c r="H44"/>
  <c r="H40"/>
  <c r="I41"/>
  <c r="I43"/>
  <c r="I46"/>
  <c r="I16"/>
  <c r="I18"/>
  <c r="I20"/>
  <c r="I60" i="27" l="1"/>
  <c r="I61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F20"/>
  <c r="H20" s="1"/>
  <c r="I19"/>
  <c r="F19"/>
  <c r="H19" s="1"/>
  <c r="F18"/>
  <c r="H18" s="1"/>
  <c r="F17"/>
  <c r="I17" s="1"/>
  <c r="F16"/>
  <c r="H16" s="1"/>
  <c r="I16" l="1"/>
  <c r="H17"/>
  <c r="I18"/>
  <c r="I20"/>
  <c r="I44" i="40" l="1"/>
  <c r="F33" l="1"/>
  <c r="H33" s="1"/>
  <c r="F32"/>
  <c r="I32" s="1"/>
  <c r="F31"/>
  <c r="H31" s="1"/>
  <c r="F30"/>
  <c r="I30" s="1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F20"/>
  <c r="H20" s="1"/>
  <c r="I19"/>
  <c r="F19"/>
  <c r="H19" s="1"/>
  <c r="F18"/>
  <c r="H18" s="1"/>
  <c r="F17"/>
  <c r="I17" s="1"/>
  <c r="F16"/>
  <c r="H16" s="1"/>
  <c r="I58" i="39"/>
  <c r="I63"/>
  <c r="F33" i="38"/>
  <c r="H33" s="1"/>
  <c r="F32"/>
  <c r="I32" s="1"/>
  <c r="F31"/>
  <c r="H31" s="1"/>
  <c r="F30"/>
  <c r="I30" s="1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F20"/>
  <c r="H20" s="1"/>
  <c r="I19"/>
  <c r="F19"/>
  <c r="H19" s="1"/>
  <c r="F18"/>
  <c r="H18" s="1"/>
  <c r="F17"/>
  <c r="I17" s="1"/>
  <c r="F16"/>
  <c r="H16" s="1"/>
  <c r="H17" i="40" l="1"/>
  <c r="H30"/>
  <c r="I31"/>
  <c r="H32"/>
  <c r="I33"/>
  <c r="I16"/>
  <c r="I18"/>
  <c r="I20"/>
  <c r="H30" i="38"/>
  <c r="I31"/>
  <c r="H32"/>
  <c r="I33"/>
  <c r="I16"/>
  <c r="H17"/>
  <c r="I18"/>
  <c r="I20"/>
  <c r="F33" i="37"/>
  <c r="H33" s="1"/>
  <c r="F32"/>
  <c r="I32" s="1"/>
  <c r="F31"/>
  <c r="H31" s="1"/>
  <c r="F30"/>
  <c r="I30" s="1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F20"/>
  <c r="H20" s="1"/>
  <c r="I19"/>
  <c r="F19"/>
  <c r="H19" s="1"/>
  <c r="F18"/>
  <c r="H18" s="1"/>
  <c r="F17"/>
  <c r="I17" s="1"/>
  <c r="F16"/>
  <c r="H16" s="1"/>
  <c r="H30" l="1"/>
  <c r="I31"/>
  <c r="H32"/>
  <c r="I33"/>
  <c r="I16"/>
  <c r="H17"/>
  <c r="I18"/>
  <c r="I20"/>
  <c r="I41" i="34" l="1"/>
  <c r="I38"/>
  <c r="I60"/>
  <c r="I59"/>
  <c r="I85" i="32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H17" s="1"/>
  <c r="F16"/>
  <c r="H16" s="1"/>
  <c r="F59" i="31"/>
  <c r="F25"/>
  <c r="F24"/>
  <c r="F23"/>
  <c r="F22"/>
  <c r="F21"/>
  <c r="F20"/>
  <c r="F19"/>
  <c r="F18"/>
  <c r="I18" s="1"/>
  <c r="F17"/>
  <c r="I17" s="1"/>
  <c r="F16"/>
  <c r="I16" s="1"/>
  <c r="I18" i="32" l="1"/>
  <c r="I17"/>
  <c r="H20"/>
  <c r="I16"/>
  <c r="I21"/>
  <c r="E87" i="40" l="1"/>
  <c r="F87" s="1"/>
  <c r="H87" s="1"/>
  <c r="F86"/>
  <c r="H86" s="1"/>
  <c r="H84"/>
  <c r="H82"/>
  <c r="F80"/>
  <c r="I80" s="1"/>
  <c r="I78"/>
  <c r="H78"/>
  <c r="H88" s="1"/>
  <c r="F77"/>
  <c r="H77" s="1"/>
  <c r="H76"/>
  <c r="F75"/>
  <c r="H75" s="1"/>
  <c r="F74"/>
  <c r="H74" s="1"/>
  <c r="H73"/>
  <c r="I71"/>
  <c r="F71"/>
  <c r="H71" s="1"/>
  <c r="I70"/>
  <c r="F70"/>
  <c r="H70" s="1"/>
  <c r="I69"/>
  <c r="F69"/>
  <c r="H69" s="1"/>
  <c r="I68"/>
  <c r="F68"/>
  <c r="H68" s="1"/>
  <c r="I67"/>
  <c r="F67"/>
  <c r="H67" s="1"/>
  <c r="I66"/>
  <c r="F66"/>
  <c r="H66" s="1"/>
  <c r="F65"/>
  <c r="H65" s="1"/>
  <c r="I64"/>
  <c r="F64"/>
  <c r="H64" s="1"/>
  <c r="F62"/>
  <c r="I62" s="1"/>
  <c r="F61"/>
  <c r="H61" s="1"/>
  <c r="I59"/>
  <c r="H59"/>
  <c r="I58"/>
  <c r="F58"/>
  <c r="H58" s="1"/>
  <c r="F55"/>
  <c r="I55" s="1"/>
  <c r="I54"/>
  <c r="H54"/>
  <c r="F53"/>
  <c r="H53" s="1"/>
  <c r="F52"/>
  <c r="I52" s="1"/>
  <c r="F51"/>
  <c r="H51" s="1"/>
  <c r="I50"/>
  <c r="H50"/>
  <c r="F49"/>
  <c r="I49" s="1"/>
  <c r="F48"/>
  <c r="H48" s="1"/>
  <c r="F47"/>
  <c r="I47" s="1"/>
  <c r="F46"/>
  <c r="H46" s="1"/>
  <c r="F44"/>
  <c r="I43"/>
  <c r="H43"/>
  <c r="F42"/>
  <c r="H42" s="1"/>
  <c r="F41"/>
  <c r="I41" s="1"/>
  <c r="H40"/>
  <c r="F39"/>
  <c r="I39" s="1"/>
  <c r="F38"/>
  <c r="H38" s="1"/>
  <c r="I37"/>
  <c r="H37"/>
  <c r="H35"/>
  <c r="H34"/>
  <c r="I64" i="38"/>
  <c r="H62" i="40" l="1"/>
  <c r="H52"/>
  <c r="H80"/>
  <c r="H55"/>
  <c r="H49"/>
  <c r="H47"/>
  <c r="H44"/>
  <c r="H41"/>
  <c r="H39"/>
  <c r="I38"/>
  <c r="I42"/>
  <c r="I46"/>
  <c r="I48"/>
  <c r="I51"/>
  <c r="I53"/>
  <c r="I77"/>
  <c r="I86"/>
  <c r="I87"/>
  <c r="E86" i="39"/>
  <c r="F86" s="1"/>
  <c r="H85"/>
  <c r="F85"/>
  <c r="I85" s="1"/>
  <c r="H83"/>
  <c r="H81"/>
  <c r="F79"/>
  <c r="H79" s="1"/>
  <c r="I77"/>
  <c r="H77"/>
  <c r="H87" s="1"/>
  <c r="F76"/>
  <c r="I76" s="1"/>
  <c r="H75"/>
  <c r="F74"/>
  <c r="H74" s="1"/>
  <c r="I73"/>
  <c r="F73"/>
  <c r="H73" s="1"/>
  <c r="H72"/>
  <c r="I70"/>
  <c r="F70"/>
  <c r="H70" s="1"/>
  <c r="I69"/>
  <c r="F69"/>
  <c r="H69" s="1"/>
  <c r="I68"/>
  <c r="F68"/>
  <c r="H68" s="1"/>
  <c r="I67"/>
  <c r="F67"/>
  <c r="H67" s="1"/>
  <c r="I66"/>
  <c r="F66"/>
  <c r="H66" s="1"/>
  <c r="I65"/>
  <c r="F65"/>
  <c r="H65" s="1"/>
  <c r="F64"/>
  <c r="H64" s="1"/>
  <c r="F63"/>
  <c r="H63" s="1"/>
  <c r="F61"/>
  <c r="H61" s="1"/>
  <c r="F60"/>
  <c r="H60" s="1"/>
  <c r="H58"/>
  <c r="I57"/>
  <c r="F57"/>
  <c r="H57" s="1"/>
  <c r="F54"/>
  <c r="H54" s="1"/>
  <c r="I53"/>
  <c r="H53"/>
  <c r="F52"/>
  <c r="I52" s="1"/>
  <c r="F51"/>
  <c r="H51" s="1"/>
  <c r="F50"/>
  <c r="I50" s="1"/>
  <c r="I49"/>
  <c r="H49"/>
  <c r="F48"/>
  <c r="H48" s="1"/>
  <c r="F47"/>
  <c r="I47" s="1"/>
  <c r="F46"/>
  <c r="H46" s="1"/>
  <c r="F45"/>
  <c r="I45" s="1"/>
  <c r="F43"/>
  <c r="H43" s="1"/>
  <c r="I42"/>
  <c r="H42"/>
  <c r="F41"/>
  <c r="I41" s="1"/>
  <c r="F40"/>
  <c r="H40" s="1"/>
  <c r="H39"/>
  <c r="F38"/>
  <c r="H38" s="1"/>
  <c r="F37"/>
  <c r="I37" s="1"/>
  <c r="I36"/>
  <c r="H36"/>
  <c r="H34"/>
  <c r="H33"/>
  <c r="F32"/>
  <c r="H32" s="1"/>
  <c r="F31"/>
  <c r="I31" s="1"/>
  <c r="F30"/>
  <c r="H30" s="1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F20"/>
  <c r="H20" s="1"/>
  <c r="I19"/>
  <c r="F19"/>
  <c r="H19" s="1"/>
  <c r="F18"/>
  <c r="H18" s="1"/>
  <c r="I17"/>
  <c r="H17"/>
  <c r="F17"/>
  <c r="F16"/>
  <c r="H16" s="1"/>
  <c r="I94" i="40" l="1"/>
  <c r="H50" i="39"/>
  <c r="H47"/>
  <c r="H76"/>
  <c r="H31"/>
  <c r="H45"/>
  <c r="H52"/>
  <c r="H41"/>
  <c r="H37"/>
  <c r="I86"/>
  <c r="H86"/>
  <c r="I16"/>
  <c r="I18"/>
  <c r="I20"/>
  <c r="I30"/>
  <c r="I32"/>
  <c r="I38"/>
  <c r="I40"/>
  <c r="I43"/>
  <c r="I46"/>
  <c r="I48"/>
  <c r="I51"/>
  <c r="I54"/>
  <c r="I61"/>
  <c r="I79"/>
  <c r="I97" l="1"/>
  <c r="E87" i="38" l="1"/>
  <c r="F87" s="1"/>
  <c r="F86"/>
  <c r="I86" s="1"/>
  <c r="H84"/>
  <c r="H82"/>
  <c r="F80"/>
  <c r="I80" s="1"/>
  <c r="I78"/>
  <c r="H78"/>
  <c r="H88" s="1"/>
  <c r="F77"/>
  <c r="I77" s="1"/>
  <c r="H76"/>
  <c r="F75"/>
  <c r="H75" s="1"/>
  <c r="I74"/>
  <c r="F74"/>
  <c r="H74" s="1"/>
  <c r="H73"/>
  <c r="I71"/>
  <c r="F71"/>
  <c r="H71" s="1"/>
  <c r="I70"/>
  <c r="F70"/>
  <c r="H70" s="1"/>
  <c r="I69"/>
  <c r="F69"/>
  <c r="H69" s="1"/>
  <c r="I68"/>
  <c r="F68"/>
  <c r="H68" s="1"/>
  <c r="I67"/>
  <c r="F67"/>
  <c r="H67" s="1"/>
  <c r="I66"/>
  <c r="F66"/>
  <c r="H66" s="1"/>
  <c r="F65"/>
  <c r="H65" s="1"/>
  <c r="F64"/>
  <c r="H64" s="1"/>
  <c r="F62"/>
  <c r="H62" s="1"/>
  <c r="F61"/>
  <c r="H61" s="1"/>
  <c r="I59"/>
  <c r="H59"/>
  <c r="I58"/>
  <c r="F58"/>
  <c r="H58" s="1"/>
  <c r="F55"/>
  <c r="H55" s="1"/>
  <c r="I54"/>
  <c r="H54"/>
  <c r="F53"/>
  <c r="I53" s="1"/>
  <c r="F52"/>
  <c r="H52" s="1"/>
  <c r="F51"/>
  <c r="I51" s="1"/>
  <c r="I50"/>
  <c r="H50"/>
  <c r="F49"/>
  <c r="H49" s="1"/>
  <c r="F48"/>
  <c r="I48" s="1"/>
  <c r="F47"/>
  <c r="H47" s="1"/>
  <c r="F46"/>
  <c r="I46" s="1"/>
  <c r="F44"/>
  <c r="H44" s="1"/>
  <c r="I43"/>
  <c r="H43"/>
  <c r="F42"/>
  <c r="I42" s="1"/>
  <c r="F41"/>
  <c r="H41" s="1"/>
  <c r="H40"/>
  <c r="F39"/>
  <c r="H39" s="1"/>
  <c r="F38"/>
  <c r="I38" s="1"/>
  <c r="I37"/>
  <c r="H37"/>
  <c r="H35"/>
  <c r="H34"/>
  <c r="H80" l="1"/>
  <c r="H51"/>
  <c r="H48"/>
  <c r="H46"/>
  <c r="H42"/>
  <c r="H38"/>
  <c r="I87"/>
  <c r="H87"/>
  <c r="I39"/>
  <c r="I41"/>
  <c r="I44"/>
  <c r="I47"/>
  <c r="I49"/>
  <c r="I52"/>
  <c r="H53"/>
  <c r="I55"/>
  <c r="I62"/>
  <c r="H77"/>
  <c r="H86"/>
  <c r="I95" l="1"/>
  <c r="E87" i="37" l="1"/>
  <c r="F87" s="1"/>
  <c r="F86"/>
  <c r="I86" s="1"/>
  <c r="H84"/>
  <c r="H82"/>
  <c r="F80"/>
  <c r="H80" s="1"/>
  <c r="I78"/>
  <c r="H78"/>
  <c r="H88" s="1"/>
  <c r="F77"/>
  <c r="I77" s="1"/>
  <c r="H76"/>
  <c r="F75"/>
  <c r="H75" s="1"/>
  <c r="I74"/>
  <c r="F74"/>
  <c r="H74" s="1"/>
  <c r="H73"/>
  <c r="I71"/>
  <c r="F71"/>
  <c r="H71" s="1"/>
  <c r="I70"/>
  <c r="F70"/>
  <c r="H70" s="1"/>
  <c r="I69"/>
  <c r="F69"/>
  <c r="H69" s="1"/>
  <c r="I68"/>
  <c r="F68"/>
  <c r="H68" s="1"/>
  <c r="I67"/>
  <c r="F67"/>
  <c r="H67" s="1"/>
  <c r="I66"/>
  <c r="F66"/>
  <c r="H66" s="1"/>
  <c r="F65"/>
  <c r="H65" s="1"/>
  <c r="F64"/>
  <c r="H64" s="1"/>
  <c r="F62"/>
  <c r="H62" s="1"/>
  <c r="F61"/>
  <c r="H61" s="1"/>
  <c r="I59"/>
  <c r="H59"/>
  <c r="I58"/>
  <c r="F58"/>
  <c r="H58" s="1"/>
  <c r="F55"/>
  <c r="H55" s="1"/>
  <c r="I54"/>
  <c r="H54"/>
  <c r="F53"/>
  <c r="I53" s="1"/>
  <c r="F52"/>
  <c r="H52" s="1"/>
  <c r="F51"/>
  <c r="I51" s="1"/>
  <c r="I50"/>
  <c r="H50"/>
  <c r="F49"/>
  <c r="H49" s="1"/>
  <c r="F48"/>
  <c r="I48" s="1"/>
  <c r="F47"/>
  <c r="H47" s="1"/>
  <c r="F46"/>
  <c r="I46" s="1"/>
  <c r="F44"/>
  <c r="H44" s="1"/>
  <c r="I43"/>
  <c r="H43"/>
  <c r="F42"/>
  <c r="I42" s="1"/>
  <c r="F41"/>
  <c r="H41" s="1"/>
  <c r="H40"/>
  <c r="F39"/>
  <c r="H39" s="1"/>
  <c r="F38"/>
  <c r="I38" s="1"/>
  <c r="I37"/>
  <c r="H37"/>
  <c r="H35"/>
  <c r="H34"/>
  <c r="H86" l="1"/>
  <c r="H77"/>
  <c r="H53"/>
  <c r="H51"/>
  <c r="H48"/>
  <c r="H46"/>
  <c r="H42"/>
  <c r="H38"/>
  <c r="I87"/>
  <c r="I88" s="1"/>
  <c r="H87"/>
  <c r="I39"/>
  <c r="I41"/>
  <c r="I44"/>
  <c r="I47"/>
  <c r="I49"/>
  <c r="I52"/>
  <c r="I55"/>
  <c r="I62"/>
  <c r="I80"/>
  <c r="I100" l="1"/>
  <c r="I64" i="36" l="1"/>
  <c r="E87"/>
  <c r="F87" s="1"/>
  <c r="F86"/>
  <c r="I86" s="1"/>
  <c r="H84"/>
  <c r="H82"/>
  <c r="F80"/>
  <c r="H80" s="1"/>
  <c r="I78"/>
  <c r="H78"/>
  <c r="H88" s="1"/>
  <c r="F77"/>
  <c r="I77" s="1"/>
  <c r="H76"/>
  <c r="F75"/>
  <c r="H75" s="1"/>
  <c r="I74"/>
  <c r="F74"/>
  <c r="H74" s="1"/>
  <c r="H73"/>
  <c r="I71"/>
  <c r="F71"/>
  <c r="H71" s="1"/>
  <c r="I70"/>
  <c r="F70"/>
  <c r="H70" s="1"/>
  <c r="I69"/>
  <c r="F69"/>
  <c r="H69" s="1"/>
  <c r="I68"/>
  <c r="F68"/>
  <c r="H68" s="1"/>
  <c r="I67"/>
  <c r="F67"/>
  <c r="H67" s="1"/>
  <c r="I66"/>
  <c r="F66"/>
  <c r="H66" s="1"/>
  <c r="F65"/>
  <c r="H65" s="1"/>
  <c r="F64"/>
  <c r="H64" s="1"/>
  <c r="F62"/>
  <c r="I62" s="1"/>
  <c r="F61"/>
  <c r="H61" s="1"/>
  <c r="I59"/>
  <c r="H59"/>
  <c r="I58"/>
  <c r="F58"/>
  <c r="H58" s="1"/>
  <c r="F55"/>
  <c r="I55" s="1"/>
  <c r="I54"/>
  <c r="H54"/>
  <c r="F53"/>
  <c r="H53" s="1"/>
  <c r="F52"/>
  <c r="I52" s="1"/>
  <c r="F51"/>
  <c r="H51" s="1"/>
  <c r="I50"/>
  <c r="H50"/>
  <c r="F49"/>
  <c r="I49" s="1"/>
  <c r="F48"/>
  <c r="H48" s="1"/>
  <c r="F47"/>
  <c r="I47" s="1"/>
  <c r="F46"/>
  <c r="H46" s="1"/>
  <c r="F44"/>
  <c r="I44" s="1"/>
  <c r="I43"/>
  <c r="H43"/>
  <c r="F42"/>
  <c r="H42" s="1"/>
  <c r="F41"/>
  <c r="I41" s="1"/>
  <c r="H40"/>
  <c r="F39"/>
  <c r="I39" s="1"/>
  <c r="F38"/>
  <c r="H38" s="1"/>
  <c r="I37"/>
  <c r="H37"/>
  <c r="H35"/>
  <c r="H34"/>
  <c r="F33"/>
  <c r="I33" s="1"/>
  <c r="F32"/>
  <c r="I32" s="1"/>
  <c r="F31"/>
  <c r="H31" s="1"/>
  <c r="F28"/>
  <c r="I28" s="1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F20"/>
  <c r="H20" s="1"/>
  <c r="I19"/>
  <c r="F19"/>
  <c r="H19" s="1"/>
  <c r="F18"/>
  <c r="H18" s="1"/>
  <c r="F17"/>
  <c r="F16"/>
  <c r="H16" s="1"/>
  <c r="H17" l="1"/>
  <c r="I17"/>
  <c r="H32"/>
  <c r="H33"/>
  <c r="H62"/>
  <c r="H77"/>
  <c r="H28"/>
  <c r="H49"/>
  <c r="H47"/>
  <c r="H52"/>
  <c r="H55"/>
  <c r="H44"/>
  <c r="H41"/>
  <c r="H39"/>
  <c r="I87"/>
  <c r="H87"/>
  <c r="I16"/>
  <c r="I18"/>
  <c r="I20"/>
  <c r="I31"/>
  <c r="I38"/>
  <c r="I42"/>
  <c r="I46"/>
  <c r="I48"/>
  <c r="I51"/>
  <c r="I53"/>
  <c r="I80"/>
  <c r="H86"/>
  <c r="I88" l="1"/>
  <c r="I98" s="1"/>
  <c r="I18" i="34" l="1"/>
  <c r="I18" i="30"/>
  <c r="I71" i="35" l="1"/>
  <c r="I70"/>
  <c r="I69"/>
  <c r="I68"/>
  <c r="I67"/>
  <c r="I66"/>
  <c r="I26"/>
  <c r="I25"/>
  <c r="I24"/>
  <c r="I23"/>
  <c r="I22"/>
  <c r="I21"/>
  <c r="I19"/>
  <c r="E87"/>
  <c r="F87" s="1"/>
  <c r="F86"/>
  <c r="I86" s="1"/>
  <c r="H84"/>
  <c r="H82"/>
  <c r="F80"/>
  <c r="H80" s="1"/>
  <c r="I78"/>
  <c r="H78"/>
  <c r="H88" s="1"/>
  <c r="F77"/>
  <c r="I77" s="1"/>
  <c r="H76"/>
  <c r="F75"/>
  <c r="H75" s="1"/>
  <c r="I74"/>
  <c r="F74"/>
  <c r="H74" s="1"/>
  <c r="H73"/>
  <c r="F71"/>
  <c r="H71" s="1"/>
  <c r="F70"/>
  <c r="H70" s="1"/>
  <c r="F69"/>
  <c r="H69" s="1"/>
  <c r="F68"/>
  <c r="H68" s="1"/>
  <c r="F67"/>
  <c r="H67" s="1"/>
  <c r="F66"/>
  <c r="H66" s="1"/>
  <c r="F65"/>
  <c r="H65" s="1"/>
  <c r="F64"/>
  <c r="H64" s="1"/>
  <c r="F62"/>
  <c r="I62" s="1"/>
  <c r="F61"/>
  <c r="H61" s="1"/>
  <c r="I59"/>
  <c r="H59"/>
  <c r="I58"/>
  <c r="F58"/>
  <c r="H58" s="1"/>
  <c r="F55"/>
  <c r="I55" s="1"/>
  <c r="I54"/>
  <c r="H54"/>
  <c r="F53"/>
  <c r="H53" s="1"/>
  <c r="F52"/>
  <c r="I52" s="1"/>
  <c r="F51"/>
  <c r="H51" s="1"/>
  <c r="I50"/>
  <c r="H50"/>
  <c r="F49"/>
  <c r="I49" s="1"/>
  <c r="F48"/>
  <c r="H48" s="1"/>
  <c r="F47"/>
  <c r="I47" s="1"/>
  <c r="F46"/>
  <c r="H46" s="1"/>
  <c r="F44"/>
  <c r="I44" s="1"/>
  <c r="I43"/>
  <c r="H43"/>
  <c r="F42"/>
  <c r="H42" s="1"/>
  <c r="F41"/>
  <c r="I41" s="1"/>
  <c r="H40"/>
  <c r="F39"/>
  <c r="I39" s="1"/>
  <c r="F38"/>
  <c r="H38" s="1"/>
  <c r="I37"/>
  <c r="H37"/>
  <c r="H35"/>
  <c r="H34"/>
  <c r="F33"/>
  <c r="I33" s="1"/>
  <c r="F32"/>
  <c r="H32" s="1"/>
  <c r="F31"/>
  <c r="I31" s="1"/>
  <c r="F30"/>
  <c r="H30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H49" l="1"/>
  <c r="H20"/>
  <c r="H31"/>
  <c r="H62"/>
  <c r="H33"/>
  <c r="H47"/>
  <c r="H52"/>
  <c r="H77"/>
  <c r="H55"/>
  <c r="H39"/>
  <c r="H41"/>
  <c r="H44"/>
  <c r="I87"/>
  <c r="H87"/>
  <c r="I16"/>
  <c r="H17"/>
  <c r="I18"/>
  <c r="I30"/>
  <c r="I32"/>
  <c r="I38"/>
  <c r="I42"/>
  <c r="I46"/>
  <c r="I48"/>
  <c r="I51"/>
  <c r="I53"/>
  <c r="I80"/>
  <c r="H86"/>
  <c r="I88" l="1"/>
  <c r="I97" s="1"/>
  <c r="E88" i="34" l="1"/>
  <c r="F88" s="1"/>
  <c r="F87"/>
  <c r="H87" s="1"/>
  <c r="H85"/>
  <c r="H83"/>
  <c r="F81"/>
  <c r="I81" s="1"/>
  <c r="I79"/>
  <c r="H79"/>
  <c r="H89" s="1"/>
  <c r="F78"/>
  <c r="H78" s="1"/>
  <c r="H77"/>
  <c r="F76"/>
  <c r="H76" s="1"/>
  <c r="I75"/>
  <c r="F75"/>
  <c r="H75" s="1"/>
  <c r="H74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F63"/>
  <c r="H63" s="1"/>
  <c r="F62"/>
  <c r="H62" s="1"/>
  <c r="H60"/>
  <c r="F59"/>
  <c r="F56"/>
  <c r="H56" s="1"/>
  <c r="I55"/>
  <c r="H55"/>
  <c r="F54"/>
  <c r="I54" s="1"/>
  <c r="F53"/>
  <c r="H53" s="1"/>
  <c r="F52"/>
  <c r="I52" s="1"/>
  <c r="I51"/>
  <c r="H51"/>
  <c r="F50"/>
  <c r="H50" s="1"/>
  <c r="F49"/>
  <c r="I49" s="1"/>
  <c r="F48"/>
  <c r="H48" s="1"/>
  <c r="F47"/>
  <c r="I47" s="1"/>
  <c r="F45"/>
  <c r="H45" s="1"/>
  <c r="I44"/>
  <c r="H44"/>
  <c r="F43"/>
  <c r="I43" s="1"/>
  <c r="F42"/>
  <c r="H42" s="1"/>
  <c r="H41"/>
  <c r="F40"/>
  <c r="I40" s="1"/>
  <c r="F39"/>
  <c r="I39" s="1"/>
  <c r="H38"/>
  <c r="H36"/>
  <c r="H35"/>
  <c r="H34"/>
  <c r="F34"/>
  <c r="I34" s="1"/>
  <c r="E34"/>
  <c r="F33"/>
  <c r="I33" s="1"/>
  <c r="F32"/>
  <c r="I32" s="1"/>
  <c r="F31"/>
  <c r="I31" s="1"/>
  <c r="F30"/>
  <c r="I30" s="1"/>
  <c r="H26"/>
  <c r="F25"/>
  <c r="H25" s="1"/>
  <c r="F24"/>
  <c r="H24" s="1"/>
  <c r="F23"/>
  <c r="H23" s="1"/>
  <c r="F22"/>
  <c r="H22" s="1"/>
  <c r="F21"/>
  <c r="I21" s="1"/>
  <c r="F20"/>
  <c r="I20" s="1"/>
  <c r="F19"/>
  <c r="H19" s="1"/>
  <c r="F18"/>
  <c r="F17"/>
  <c r="I17" s="1"/>
  <c r="F16"/>
  <c r="I16" s="1"/>
  <c r="E88" i="32"/>
  <c r="F88" s="1"/>
  <c r="H88" s="1"/>
  <c r="F87"/>
  <c r="H87" s="1"/>
  <c r="H85"/>
  <c r="H83"/>
  <c r="F81"/>
  <c r="I81" s="1"/>
  <c r="I79"/>
  <c r="H79"/>
  <c r="H89" s="1"/>
  <c r="F78"/>
  <c r="H78" s="1"/>
  <c r="H77"/>
  <c r="F76"/>
  <c r="H76" s="1"/>
  <c r="F75"/>
  <c r="H75" s="1"/>
  <c r="H74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F63"/>
  <c r="H63" s="1"/>
  <c r="H62"/>
  <c r="H60"/>
  <c r="F59"/>
  <c r="H56"/>
  <c r="I55"/>
  <c r="H55"/>
  <c r="F54"/>
  <c r="I54" s="1"/>
  <c r="F53"/>
  <c r="H53" s="1"/>
  <c r="F52"/>
  <c r="I52" s="1"/>
  <c r="I51"/>
  <c r="H51"/>
  <c r="F50"/>
  <c r="H50" s="1"/>
  <c r="F49"/>
  <c r="I49" s="1"/>
  <c r="F48"/>
  <c r="H48" s="1"/>
  <c r="F47"/>
  <c r="I47" s="1"/>
  <c r="F45"/>
  <c r="H45" s="1"/>
  <c r="H44"/>
  <c r="F43"/>
  <c r="I43" s="1"/>
  <c r="F42"/>
  <c r="H42" s="1"/>
  <c r="H41"/>
  <c r="F40"/>
  <c r="H40" s="1"/>
  <c r="F39"/>
  <c r="I39" s="1"/>
  <c r="H38"/>
  <c r="H36"/>
  <c r="H35"/>
  <c r="H34"/>
  <c r="F34"/>
  <c r="I34" s="1"/>
  <c r="E34"/>
  <c r="F33"/>
  <c r="H33" s="1"/>
  <c r="F32"/>
  <c r="I32" s="1"/>
  <c r="F31"/>
  <c r="H31" s="1"/>
  <c r="F30"/>
  <c r="I30" s="1"/>
  <c r="I45" l="1"/>
  <c r="H40" i="34"/>
  <c r="H81"/>
  <c r="H17"/>
  <c r="H20"/>
  <c r="H31"/>
  <c r="H33"/>
  <c r="H88"/>
  <c r="I88"/>
  <c r="I89" s="1"/>
  <c r="H16"/>
  <c r="H18"/>
  <c r="H21"/>
  <c r="H30"/>
  <c r="H32"/>
  <c r="H39"/>
  <c r="I42"/>
  <c r="H43"/>
  <c r="I45"/>
  <c r="H47"/>
  <c r="I48"/>
  <c r="H49"/>
  <c r="I50"/>
  <c r="H52"/>
  <c r="I53"/>
  <c r="H54"/>
  <c r="I56"/>
  <c r="H59"/>
  <c r="I63"/>
  <c r="I78"/>
  <c r="I87"/>
  <c r="H32" i="32"/>
  <c r="H39"/>
  <c r="H54"/>
  <c r="H81"/>
  <c r="H30"/>
  <c r="H43"/>
  <c r="H52"/>
  <c r="H59"/>
  <c r="H47"/>
  <c r="H49"/>
  <c r="I31"/>
  <c r="I33"/>
  <c r="I40"/>
  <c r="I42"/>
  <c r="I48"/>
  <c r="I50"/>
  <c r="I53"/>
  <c r="I56"/>
  <c r="I63"/>
  <c r="I78"/>
  <c r="I87"/>
  <c r="I88"/>
  <c r="I89" l="1"/>
  <c r="I95" s="1"/>
  <c r="I94" i="34"/>
  <c r="F63" i="31" l="1"/>
  <c r="H63" s="1"/>
  <c r="E88"/>
  <c r="F88" s="1"/>
  <c r="H88" s="1"/>
  <c r="F87"/>
  <c r="H87" s="1"/>
  <c r="H85"/>
  <c r="H83"/>
  <c r="F81"/>
  <c r="I81" s="1"/>
  <c r="I79"/>
  <c r="H79"/>
  <c r="H89" s="1"/>
  <c r="F78"/>
  <c r="H78" s="1"/>
  <c r="H77"/>
  <c r="F76"/>
  <c r="H76" s="1"/>
  <c r="I75"/>
  <c r="F75"/>
  <c r="H75" s="1"/>
  <c r="H74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F62"/>
  <c r="H62" s="1"/>
  <c r="H60"/>
  <c r="F56"/>
  <c r="H56" s="1"/>
  <c r="I55"/>
  <c r="H55"/>
  <c r="F54"/>
  <c r="I54" s="1"/>
  <c r="F53"/>
  <c r="H53" s="1"/>
  <c r="F52"/>
  <c r="I52" s="1"/>
  <c r="I51"/>
  <c r="H51"/>
  <c r="F50"/>
  <c r="H50" s="1"/>
  <c r="F49"/>
  <c r="I49" s="1"/>
  <c r="F48"/>
  <c r="H48" s="1"/>
  <c r="F47"/>
  <c r="I47" s="1"/>
  <c r="F45"/>
  <c r="H45" s="1"/>
  <c r="H44"/>
  <c r="F43"/>
  <c r="I43" s="1"/>
  <c r="F42"/>
  <c r="H41"/>
  <c r="F40"/>
  <c r="F39"/>
  <c r="I39" s="1"/>
  <c r="H38"/>
  <c r="H36"/>
  <c r="H35"/>
  <c r="H34"/>
  <c r="F34"/>
  <c r="I34" s="1"/>
  <c r="E34"/>
  <c r="F33"/>
  <c r="H33" s="1"/>
  <c r="F32"/>
  <c r="I32" s="1"/>
  <c r="F31"/>
  <c r="H31" s="1"/>
  <c r="F30"/>
  <c r="I30" s="1"/>
  <c r="H26"/>
  <c r="H25"/>
  <c r="H24"/>
  <c r="H23"/>
  <c r="H22"/>
  <c r="I21"/>
  <c r="H20"/>
  <c r="H19"/>
  <c r="H17"/>
  <c r="F63" i="30"/>
  <c r="H63" s="1"/>
  <c r="E88"/>
  <c r="F88" s="1"/>
  <c r="F87"/>
  <c r="H87" s="1"/>
  <c r="H85"/>
  <c r="H83"/>
  <c r="I79"/>
  <c r="H79"/>
  <c r="H89" s="1"/>
  <c r="F78"/>
  <c r="H78" s="1"/>
  <c r="H77"/>
  <c r="F76"/>
  <c r="H76" s="1"/>
  <c r="I75"/>
  <c r="F75"/>
  <c r="H75" s="1"/>
  <c r="H74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I63"/>
  <c r="F62"/>
  <c r="H62" s="1"/>
  <c r="H60"/>
  <c r="F56"/>
  <c r="I56" s="1"/>
  <c r="I55"/>
  <c r="H55"/>
  <c r="F54"/>
  <c r="I54" s="1"/>
  <c r="F53"/>
  <c r="I53" s="1"/>
  <c r="F52"/>
  <c r="I52" s="1"/>
  <c r="I51"/>
  <c r="H51"/>
  <c r="F50"/>
  <c r="I50" s="1"/>
  <c r="F49"/>
  <c r="I49" s="1"/>
  <c r="F48"/>
  <c r="I48" s="1"/>
  <c r="F47"/>
  <c r="I47" s="1"/>
  <c r="F45"/>
  <c r="I45" s="1"/>
  <c r="H44"/>
  <c r="F43"/>
  <c r="I43" s="1"/>
  <c r="F42"/>
  <c r="I42" s="1"/>
  <c r="H41"/>
  <c r="F40"/>
  <c r="I40" s="1"/>
  <c r="F39"/>
  <c r="I39" s="1"/>
  <c r="H38"/>
  <c r="H36"/>
  <c r="H35"/>
  <c r="H34"/>
  <c r="F34"/>
  <c r="I34" s="1"/>
  <c r="E34"/>
  <c r="F33"/>
  <c r="I33" s="1"/>
  <c r="F32"/>
  <c r="I32" s="1"/>
  <c r="F31"/>
  <c r="I31" s="1"/>
  <c r="F30"/>
  <c r="I30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I16" s="1"/>
  <c r="H42" i="31" l="1"/>
  <c r="I42"/>
  <c r="H40"/>
  <c r="I40"/>
  <c r="H17" i="30"/>
  <c r="H33"/>
  <c r="H40"/>
  <c r="H48"/>
  <c r="H53"/>
  <c r="H20"/>
  <c r="H31"/>
  <c r="H42"/>
  <c r="H45"/>
  <c r="H50"/>
  <c r="H43" i="31"/>
  <c r="H49"/>
  <c r="H54"/>
  <c r="H81"/>
  <c r="H39"/>
  <c r="H47"/>
  <c r="H52"/>
  <c r="H16"/>
  <c r="H18"/>
  <c r="I20"/>
  <c r="H21"/>
  <c r="H30"/>
  <c r="I31"/>
  <c r="H32"/>
  <c r="I33"/>
  <c r="I45"/>
  <c r="I48"/>
  <c r="I50"/>
  <c r="I53"/>
  <c r="I56"/>
  <c r="I63"/>
  <c r="I78"/>
  <c r="I87"/>
  <c r="I88"/>
  <c r="H56" i="30"/>
  <c r="H88"/>
  <c r="I88"/>
  <c r="I89" s="1"/>
  <c r="I21"/>
  <c r="H16"/>
  <c r="H27"/>
  <c r="H30"/>
  <c r="H32"/>
  <c r="H39"/>
  <c r="H43"/>
  <c r="H47"/>
  <c r="H49"/>
  <c r="H52"/>
  <c r="H54"/>
  <c r="I78"/>
  <c r="I87"/>
  <c r="I89" i="31" l="1"/>
  <c r="I96" s="1"/>
  <c r="I99" i="30"/>
  <c r="E89" i="29" l="1"/>
  <c r="F89" s="1"/>
  <c r="F88"/>
  <c r="I88" s="1"/>
  <c r="H86"/>
  <c r="H84"/>
  <c r="F82"/>
  <c r="H82" s="1"/>
  <c r="I80"/>
  <c r="H80"/>
  <c r="H90" s="1"/>
  <c r="F79"/>
  <c r="I79" s="1"/>
  <c r="H78"/>
  <c r="F77"/>
  <c r="H77" s="1"/>
  <c r="I76"/>
  <c r="F76"/>
  <c r="H76" s="1"/>
  <c r="H75"/>
  <c r="F73"/>
  <c r="H73" s="1"/>
  <c r="F72"/>
  <c r="H72" s="1"/>
  <c r="F71"/>
  <c r="H71" s="1"/>
  <c r="F70"/>
  <c r="H70" s="1"/>
  <c r="F69"/>
  <c r="H69" s="1"/>
  <c r="F68"/>
  <c r="H68" s="1"/>
  <c r="F67"/>
  <c r="H67" s="1"/>
  <c r="F66"/>
  <c r="H66" s="1"/>
  <c r="F64"/>
  <c r="I64" s="1"/>
  <c r="F63"/>
  <c r="H63" s="1"/>
  <c r="H61"/>
  <c r="F60"/>
  <c r="H60" s="1"/>
  <c r="F57"/>
  <c r="I57" s="1"/>
  <c r="I56"/>
  <c r="H56"/>
  <c r="F55"/>
  <c r="H55" s="1"/>
  <c r="F54"/>
  <c r="I54" s="1"/>
  <c r="F53"/>
  <c r="I53" s="1"/>
  <c r="I52"/>
  <c r="H52"/>
  <c r="F51"/>
  <c r="I51" s="1"/>
  <c r="F50"/>
  <c r="I50" s="1"/>
  <c r="F49"/>
  <c r="I49" s="1"/>
  <c r="F48"/>
  <c r="I48" s="1"/>
  <c r="H39"/>
  <c r="H37"/>
  <c r="H36"/>
  <c r="H35"/>
  <c r="F35"/>
  <c r="I35" s="1"/>
  <c r="E35"/>
  <c r="F34"/>
  <c r="I34" s="1"/>
  <c r="F33"/>
  <c r="H33" s="1"/>
  <c r="F32"/>
  <c r="I32" s="1"/>
  <c r="F31"/>
  <c r="I31" s="1"/>
  <c r="F28"/>
  <c r="I28" s="1"/>
  <c r="I80" i="27"/>
  <c r="I76"/>
  <c r="I56"/>
  <c r="I52"/>
  <c r="E89"/>
  <c r="F89" s="1"/>
  <c r="H89" s="1"/>
  <c r="F88"/>
  <c r="H88" s="1"/>
  <c r="H86"/>
  <c r="H84"/>
  <c r="F82"/>
  <c r="H82" s="1"/>
  <c r="H80"/>
  <c r="F79"/>
  <c r="H79" s="1"/>
  <c r="H78"/>
  <c r="F77"/>
  <c r="H77" s="1"/>
  <c r="F76"/>
  <c r="H76" s="1"/>
  <c r="H75"/>
  <c r="F73"/>
  <c r="H73" s="1"/>
  <c r="F72"/>
  <c r="H72" s="1"/>
  <c r="F71"/>
  <c r="H71" s="1"/>
  <c r="F70"/>
  <c r="H70" s="1"/>
  <c r="F69"/>
  <c r="H69" s="1"/>
  <c r="F68"/>
  <c r="H68" s="1"/>
  <c r="F67"/>
  <c r="H67" s="1"/>
  <c r="F66"/>
  <c r="H66" s="1"/>
  <c r="F64"/>
  <c r="H64" s="1"/>
  <c r="F63"/>
  <c r="H63" s="1"/>
  <c r="H61"/>
  <c r="F60"/>
  <c r="H60" s="1"/>
  <c r="F57"/>
  <c r="H57" s="1"/>
  <c r="H56"/>
  <c r="F55"/>
  <c r="H55" s="1"/>
  <c r="F54"/>
  <c r="H54" s="1"/>
  <c r="F53"/>
  <c r="H53" s="1"/>
  <c r="H52"/>
  <c r="F51"/>
  <c r="H51" s="1"/>
  <c r="F50"/>
  <c r="H50" s="1"/>
  <c r="F49"/>
  <c r="H49" s="1"/>
  <c r="F48"/>
  <c r="H48" s="1"/>
  <c r="F46"/>
  <c r="H46" s="1"/>
  <c r="H45"/>
  <c r="F44"/>
  <c r="I44" s="1"/>
  <c r="F43"/>
  <c r="H43" s="1"/>
  <c r="H42"/>
  <c r="F41"/>
  <c r="H41" s="1"/>
  <c r="F40"/>
  <c r="H40" s="1"/>
  <c r="H39"/>
  <c r="F28"/>
  <c r="H28" s="1"/>
  <c r="H37"/>
  <c r="H36"/>
  <c r="H35"/>
  <c r="F35"/>
  <c r="I35" s="1"/>
  <c r="E35"/>
  <c r="F34"/>
  <c r="H34" s="1"/>
  <c r="F33"/>
  <c r="H33" s="1"/>
  <c r="F32"/>
  <c r="H32" s="1"/>
  <c r="F31"/>
  <c r="H31" s="1"/>
  <c r="H34" i="29" l="1"/>
  <c r="H64"/>
  <c r="H79"/>
  <c r="I88" i="27"/>
  <c r="H44"/>
  <c r="I64"/>
  <c r="I79"/>
  <c r="I82"/>
  <c r="I89"/>
  <c r="H88" i="29"/>
  <c r="H31"/>
  <c r="H50"/>
  <c r="H48"/>
  <c r="H53"/>
  <c r="H57"/>
  <c r="I89"/>
  <c r="H89"/>
  <c r="H28"/>
  <c r="H32"/>
  <c r="I33"/>
  <c r="H49"/>
  <c r="H51"/>
  <c r="H54"/>
  <c r="I55"/>
  <c r="I82"/>
  <c r="I50" i="27"/>
  <c r="I48"/>
  <c r="I57"/>
  <c r="I53"/>
  <c r="I51"/>
  <c r="I49"/>
  <c r="I54"/>
  <c r="I55"/>
  <c r="I43"/>
  <c r="I40"/>
  <c r="I46"/>
  <c r="I33"/>
  <c r="I28"/>
  <c r="I31"/>
  <c r="I34"/>
  <c r="I103" i="29" l="1"/>
  <c r="I41" i="27" l="1"/>
  <c r="I32"/>
  <c r="H90" l="1"/>
  <c r="I99" l="1"/>
</calcChain>
</file>

<file path=xl/sharedStrings.xml><?xml version="1.0" encoding="utf-8"?>
<sst xmlns="http://schemas.openxmlformats.org/spreadsheetml/2006/main" count="2863" uniqueCount="326">
  <si>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</si>
  <si>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</si>
  <si>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</si>
  <si>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</si>
  <si>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</si>
  <si>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</si>
  <si>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</si>
  <si>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</si>
  <si>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</si>
  <si>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</si>
  <si>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</si>
  <si>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</si>
  <si>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</si>
  <si>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</si>
  <si>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</si>
  <si>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</si>
  <si>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</si>
  <si>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</si>
  <si>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</si>
  <si>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</si>
  <si>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</si>
  <si>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</si>
  <si>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</si>
  <si>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</si>
  <si>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</si>
  <si>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</si>
  <si>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</si>
  <si>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</si>
  <si>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</si>
  <si>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</si>
  <si>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</si>
  <si>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</si>
  <si>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</si>
  <si>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</si>
  <si>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</si>
  <si>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</si>
  <si>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</si>
  <si>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</si>
  <si>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</si>
  <si>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</si>
  <si>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</si>
  <si>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</si>
  <si>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</si>
  <si>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</si>
  <si>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</si>
  <si>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</si>
  <si>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</si>
  <si>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</si>
  <si>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</si>
  <si>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</si>
  <si>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</si>
  <si>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</si>
  <si>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</si>
  <si>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</si>
  <si>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</si>
  <si>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</si>
  <si>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</si>
  <si>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</si>
  <si>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</si>
  <si>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</si>
  <si>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</si>
  <si>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</si>
  <si>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</si>
  <si>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</si>
  <si>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</si>
  <si>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</si>
  <si>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</si>
  <si>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</si>
  <si>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</si>
  <si>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</si>
  <si>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</si>
  <si>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</si>
  <si>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</si>
  <si>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</si>
  <si>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</si>
  <si>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</si>
  <si>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</si>
  <si>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</si>
  <si>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</si>
  <si>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</si>
  <si>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</si>
  <si>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</si>
  <si>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</si>
  <si>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</si>
  <si>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</si>
  <si>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</si>
  <si>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</si>
  <si>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</si>
  <si>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</si>
  <si>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</si>
  <si>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</si>
  <si>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</si>
  <si>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</si>
  <si>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</si>
  <si>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</si>
  <si>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</si>
  <si>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</si>
  <si>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</si>
  <si>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Уборка контейнерной площадки (16 кв.м.)</t>
  </si>
  <si>
    <t>Уборка газонов</t>
  </si>
  <si>
    <t>Сдвигание снега в дни снегопада (крыльца, тротуары)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</si>
  <si>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</si>
  <si>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</si>
  <si>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</si>
  <si>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</si>
  <si>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</si>
  <si>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</si>
  <si>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</si>
  <si>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</si>
  <si>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>Влажное подметание лестничных клеток 2-5 этажа</t>
  </si>
  <si>
    <t>Мытье лестничных  площадок и маршей 1-5 этаж.</t>
  </si>
  <si>
    <t>Очистка урн от мусора</t>
  </si>
  <si>
    <t>Подметание территории с усовершенствованным покрытием асф.: крыльца, контейнерн пл., проезд, тротуар</t>
  </si>
  <si>
    <t>Вывоз снега с придомовой территории</t>
  </si>
  <si>
    <t>1м3</t>
  </si>
  <si>
    <t>Дератизация</t>
  </si>
  <si>
    <t>Влажная протирка шкафов для щитов и слаботочн.ус.</t>
  </si>
  <si>
    <t>30 раз за сезон</t>
  </si>
  <si>
    <t>35 раз за сезон</t>
  </si>
  <si>
    <t>Осмотр шиферной кровли</t>
  </si>
  <si>
    <t>Прочистка каналов</t>
  </si>
  <si>
    <t xml:space="preserve">приемки оказанных услуг и выполненных работ по содержанию и текущему ремонту
общего имущества в многоквартирном доме №7 по ул.Строительная пгт.Ярега
</t>
  </si>
  <si>
    <t>III. Проведение технических осмотров</t>
  </si>
  <si>
    <t>IV. Содержание общего имущества МКД</t>
  </si>
  <si>
    <t>V. Прочие услуги</t>
  </si>
  <si>
    <t>IV. Прочие услуги</t>
  </si>
  <si>
    <t>III. Содержание общего имущества МКД</t>
  </si>
  <si>
    <t>АКТ №1</t>
  </si>
  <si>
    <t xml:space="preserve"> </t>
  </si>
  <si>
    <t>Очистка края кровли от слежавшегося снега со сбрасыванием сосулек (10% от S кровли)</t>
  </si>
  <si>
    <t>1 шт</t>
  </si>
  <si>
    <t>5 раз в год</t>
  </si>
  <si>
    <t>АКТ №2</t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</si>
  <si>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ул.Строительная, д.7</t>
    </r>
  </si>
  <si>
    <t>Итого затраты за месяц</t>
  </si>
  <si>
    <t>52 раза в сезон</t>
  </si>
  <si>
    <t>78 раз за сезон</t>
  </si>
  <si>
    <t>АКТ №11</t>
  </si>
  <si>
    <t>АКТ №12</t>
  </si>
  <si>
    <t>Очистка вручную от снега и наледи люков каналиационных и водопроводных колодцев</t>
  </si>
  <si>
    <t>2 раза в месяц</t>
  </si>
  <si>
    <t>Работы автовышки</t>
  </si>
  <si>
    <t>маш-час</t>
  </si>
  <si>
    <t>Смена светодиодных светильников (со стоимостью светильника)</t>
  </si>
  <si>
    <t>Смена плавкой вставки в электрощитке</t>
  </si>
  <si>
    <t>Смена светодиодных светильников н.о.</t>
  </si>
  <si>
    <t>Снятие показаний с общедомовых приборов учёта холодной воды</t>
  </si>
  <si>
    <t>Обслуживание прибора учета тепловой энергии</t>
  </si>
  <si>
    <t>Водоснабжение, канализация</t>
  </si>
  <si>
    <t>ТО внутренних сетей водопровода и канализации</t>
  </si>
  <si>
    <t>руб/м2 в мес</t>
  </si>
  <si>
    <t>АКТ №3</t>
  </si>
  <si>
    <t>АКТ №4</t>
  </si>
  <si>
    <t>Работы автовышки (2 ч)</t>
  </si>
  <si>
    <t>Очистка края кровли от слежавшегося снега со сбрасыванием сосулек (10% от S кровли) (2.04.2018)</t>
  </si>
  <si>
    <t>АКТ №5</t>
  </si>
  <si>
    <t xml:space="preserve">1 раз </t>
  </si>
  <si>
    <t>1 раз</t>
  </si>
  <si>
    <t>2 раза</t>
  </si>
  <si>
    <t xml:space="preserve">2 раза </t>
  </si>
  <si>
    <t xml:space="preserve">Работы автовышки </t>
  </si>
  <si>
    <t xml:space="preserve">1 раз   </t>
  </si>
  <si>
    <t xml:space="preserve">1 раз     </t>
  </si>
  <si>
    <t>1 рааз</t>
  </si>
  <si>
    <t>13 раз</t>
  </si>
  <si>
    <t>Осмотр СО (22 марта)</t>
  </si>
  <si>
    <t>Осмотр СО  (26 апреля)</t>
  </si>
  <si>
    <t>Осмотр СО (24 мая)</t>
  </si>
  <si>
    <t>АКТ №6</t>
  </si>
  <si>
    <t xml:space="preserve">Влажное подметание лестничных клеток 2-5 этажа </t>
  </si>
  <si>
    <t>ООО"Движение"</t>
  </si>
  <si>
    <r>
      <t xml:space="preserve">    Собственники помещений в многоквартирном доме, расположенном по адресу:  пгт.Ярега,  ул.Строительная,  д.7,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31.10.2017г. стороны,  и ООО «Движение»,  именуемое в дальнейшем "Исполнитель",  в лице генерального директора Куканова Юрия Леонидовича,  действующего на основании Устава,  с другой стороны, совместно именуемые "Стороны",  составили настоящий Акт о нижеследующем:</t>
    </r>
  </si>
  <si>
    <t>7 раз</t>
  </si>
  <si>
    <t>АКТ №7</t>
  </si>
  <si>
    <t>АКТ №8</t>
  </si>
  <si>
    <t>АКТ №9</t>
  </si>
  <si>
    <t>Осмотр СО</t>
  </si>
  <si>
    <t>АКТ №10</t>
  </si>
  <si>
    <t>ООО «Движение»</t>
  </si>
  <si>
    <t>10 м2</t>
  </si>
  <si>
    <t xml:space="preserve">Мытье лестничных  площадок и маршей 1-5 этаж. </t>
  </si>
  <si>
    <t xml:space="preserve">Очистка края кровли от слежавшегося снега со сбрасыванием сосулек (10% от S кровли) </t>
  </si>
  <si>
    <t>Осмотр электросетей, армазуры и электрооборудования на лестничных клетках</t>
  </si>
  <si>
    <t xml:space="preserve">Влажное подметание лестничных клеток 1 этажа </t>
  </si>
  <si>
    <t>Очистка канализационной сети внутренней</t>
  </si>
  <si>
    <t>м</t>
  </si>
  <si>
    <t>9 раз</t>
  </si>
  <si>
    <t>9 апреля (1  маш/час)</t>
  </si>
  <si>
    <t>6 раз</t>
  </si>
  <si>
    <t>5 раз</t>
  </si>
  <si>
    <t>25 раз</t>
  </si>
  <si>
    <t>26м3 (2 апреля)</t>
  </si>
  <si>
    <t>4 апреля</t>
  </si>
  <si>
    <t>4маш/час</t>
  </si>
  <si>
    <t>1 раз (19.06.2019)</t>
  </si>
  <si>
    <t>Организация и содержание мест накопления ТКО</t>
  </si>
  <si>
    <t>Смена внутренних трубопроводов на полипропиленовые трубы PN 25 Dу 20</t>
  </si>
  <si>
    <t>Смена внутренних трубопроводов на полипропиленовые трубы PN 25 Dу 25</t>
  </si>
  <si>
    <t>3 раза</t>
  </si>
  <si>
    <t>1 маш/час</t>
  </si>
  <si>
    <t>2 м/часа</t>
  </si>
  <si>
    <t>3,5 часа</t>
  </si>
  <si>
    <t>21 раз</t>
  </si>
  <si>
    <t xml:space="preserve">Механизированная уборка дворовой территории </t>
  </si>
  <si>
    <t>3 маш/час</t>
  </si>
  <si>
    <t>Установка хомута диаметром до 50 мм</t>
  </si>
  <si>
    <t>Осмотр водопроводов, канализации, отопления</t>
  </si>
  <si>
    <t>заглушка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</si>
  <si>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</si>
  <si>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</si>
  <si>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Смена арматуры - вентилей и клапанов обратных муфтовых диаметром до 20 мм ( без материалов)</t>
  </si>
  <si>
    <t>под.№3</t>
  </si>
  <si>
    <t>Герметизация стыков трубопроводов</t>
  </si>
  <si>
    <t>1 место</t>
  </si>
  <si>
    <t>кв.6</t>
  </si>
  <si>
    <r>
      <t xml:space="preserve">    Собственники помещений в многоквартирном доме, расположенном по адресу:  пгт.Ярега,  ул.Строительная,  д.7,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31.10.2017г. стороны,  и ООО «Движение»,  именуемое в дальнейшем "Исполнитель",  в лице генерального директора Кочановой Ирины Леонидовны,  действующего на основании Устава,  с другой стороны, совместно именуемые "Стороны",  составили настоящий Акт о нижеследующем:</t>
    </r>
  </si>
  <si>
    <t>Смена прокладок</t>
  </si>
  <si>
    <t>генеральный директор Кочанова И.Л.</t>
  </si>
  <si>
    <r>
      <t xml:space="preserve">    Собственники помещений в многоквартирном доме, расположенном по адресу:  пгт.Ярега,  ул.Строительная,  д.7,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31.10.2017г. стороны,  и ООО «Движение»,  именуемое в дальнейшем "Исполнитель",  в лице генерального директора Кочановой  Ирины Леонидовны,  действующего на основании Устава,  с другой стороны, совместно именуемые "Стороны",  составили настоящий Акт о нижеследующем:</t>
    </r>
  </si>
  <si>
    <t>за период с 01.01.2021 г. по 31.01.2021 г.</t>
  </si>
  <si>
    <t>2,5 ч ( 21,25,26,28 янв.)</t>
  </si>
  <si>
    <t>2 часа</t>
  </si>
  <si>
    <t>Установка заглушек диаметром трубопроводов до 100 мм ( без материалов)</t>
  </si>
  <si>
    <t>Установка  вентиляционных решеток</t>
  </si>
  <si>
    <t>чердак</t>
  </si>
  <si>
    <t>подвал, кан-ция 1 шт</t>
  </si>
  <si>
    <t>Смена автомата на ток до 25А</t>
  </si>
  <si>
    <t>Установка блока питания на СПТ 941</t>
  </si>
  <si>
    <t>2. Всего за период с 01.01.2021 по 31.01.2021 выполнено работ (оказано услуг) на общую сумму: 57942,13 руб.</t>
  </si>
  <si>
    <t>(пятьдесят семь тысяч девятьсот сорок два рубля 13 копеек)</t>
  </si>
  <si>
    <t>за период с 01.02.2021 г. по 29 02.2021 г.</t>
  </si>
  <si>
    <t>29.02.2021</t>
  </si>
  <si>
    <t>12 раз</t>
  </si>
  <si>
    <t>1,5 ч (1,5 февр)</t>
  </si>
  <si>
    <t>4 раза</t>
  </si>
  <si>
    <t>24 раза</t>
  </si>
  <si>
    <t>Установка досок объявлений</t>
  </si>
  <si>
    <t>руб</t>
  </si>
  <si>
    <t>Смазка дверных петель</t>
  </si>
  <si>
    <t>7м</t>
  </si>
  <si>
    <t>под.№1,2,3</t>
  </si>
  <si>
    <t>2. Всего за период с 01.02.2021 по 29.02.2021 выполнено работ (оказано услуг) на общую сумму: 51179,48 руб.</t>
  </si>
  <si>
    <t>(пятьдесят одна тысяча сто семьдесят девять рублей 48 копеек)</t>
  </si>
  <si>
    <t>за период с 01.03.2021 г. по 31.03.2021 г.</t>
  </si>
  <si>
    <t>5,15,18,25 марта</t>
  </si>
  <si>
    <t>12 марта 2021</t>
  </si>
  <si>
    <t>Восстановление шахты после работ ВДИС</t>
  </si>
  <si>
    <t>кв.5</t>
  </si>
  <si>
    <t>4 м</t>
  </si>
  <si>
    <t>2. Всего за период с 01.01.2021 по 31.01.2021 выполнено работ (оказано услуг) на общую сумму: 60152,73 руб.</t>
  </si>
  <si>
    <t>(шестьдесят тысяч сто  пятьдесят два рубля 73 копейки)</t>
  </si>
  <si>
    <t>за период с 01.04.2021 г. по 30.04.2021 г.</t>
  </si>
  <si>
    <t>1 шт. ГВС кв.39</t>
  </si>
  <si>
    <t>2. Всего за период с 01.04.2021 по 30.04.2021 выполнено работ (оказано услуг) на общую сумму: 39520,55 руб.</t>
  </si>
  <si>
    <t>(тридцать девять тысяч пятьсот двадцать рублей 55 копеек)</t>
  </si>
  <si>
    <t>за период с 01.05.2021 г. по 31.05.2021 г.</t>
  </si>
  <si>
    <t>Ремонт и регулировка доводчика (без стоимости доводчика)</t>
  </si>
  <si>
    <t>1шт.</t>
  </si>
  <si>
    <t>с/о кв.30-1 шт.</t>
  </si>
  <si>
    <t>Подборка мусора, налетевшего с контейнерной площадки</t>
  </si>
  <si>
    <t>за период с 01.06.2021 г. по 30.06.2021 г.</t>
  </si>
  <si>
    <t>Смена радиаторов отопительных  (без стоимости радиаторов)</t>
  </si>
  <si>
    <t>Замена пробки на батарее</t>
  </si>
  <si>
    <t>1 пробка</t>
  </si>
  <si>
    <t>Демонтаж кабеля</t>
  </si>
  <si>
    <t>10 м</t>
  </si>
  <si>
    <t>кв.4</t>
  </si>
  <si>
    <t>2 м</t>
  </si>
  <si>
    <t>1 м с/о кв.6</t>
  </si>
  <si>
    <t>2. Всего за период с 01.06.2021 по 30.06.2021 выполнено работ (оказано услуг) на общую сумму: 138666,75 руб.</t>
  </si>
  <si>
    <t>(сто тридцать восемь тысяч шестьсот шестьдесят шесть рублей 75 копеек)</t>
  </si>
  <si>
    <t>за период с 01.07.2021 г. по 31.07.2021 г.</t>
  </si>
  <si>
    <t>Сварочные работы</t>
  </si>
  <si>
    <t>час</t>
  </si>
  <si>
    <t>1 шт. ХВС кв.43</t>
  </si>
  <si>
    <t>1 м с/о кв.12</t>
  </si>
  <si>
    <t>2. Всего за период с 01.05.2021 по 31.05.2021 выполнено работ (оказано услуг) на общую сумму: 66109,18 руб.</t>
  </si>
  <si>
    <t>(шестьдесят шесть тысяч сто девять рублей 18 копеек)</t>
  </si>
  <si>
    <t>Подключение и отключение дожимного насоса</t>
  </si>
  <si>
    <t>14 шт. п/с кв.27</t>
  </si>
  <si>
    <t>Демонтаж "шахты" для работ ВДИС</t>
  </si>
  <si>
    <t>кв.27,30 ( с подъезда)</t>
  </si>
  <si>
    <t>кв.37 ГВС; кв.30</t>
  </si>
  <si>
    <t>2,5 м ГВС кв.30</t>
  </si>
  <si>
    <t>кв.37 ГВС 6 м; кв.27 ГВС 1,5 м; 5 м ГВС кв.30</t>
  </si>
  <si>
    <t>2. Всего за период с 01.07.2021 по 31.07.2021 выполнено работ (оказано услуг) на общую сумму: 64372,90 руб.</t>
  </si>
  <si>
    <t>(шестьдесят четыре тысячи  триста семьдесят два рубля 90 копеек)</t>
  </si>
  <si>
    <t>за период с 01.08.2021 г. по 31.08.2021 г.</t>
  </si>
  <si>
    <t>Укрепление железа на кровле</t>
  </si>
  <si>
    <t>Ремонт кирпичной кладки</t>
  </si>
  <si>
    <t>Оштукатуривание кирпичной стены</t>
  </si>
  <si>
    <t>0,2 м2</t>
  </si>
  <si>
    <t>2. Всего за период с 01.08.2021 по 31.08.2021 выполнено работ (оказано услуг) на общую сумму: 41788,63 руб.</t>
  </si>
  <si>
    <t>( сорок одна тысяча семьсот восемьдесят восемь рублей 63 копейки)</t>
  </si>
  <si>
    <t>за период с 01.09.2021 г. по 30.09.2021 г.</t>
  </si>
  <si>
    <t>Нумерация подъездов и квартир</t>
  </si>
  <si>
    <t>3 м</t>
  </si>
  <si>
    <t>2. Всего за период с 01.09.2021 по 30.09.2021 выполнено работ (оказано услуг) на общую сумму: 63461,58 руб.</t>
  </si>
  <si>
    <t>(шестьдесят три тысячи четыреста шестьдесят один рубль 58 копеек)</t>
  </si>
  <si>
    <t>за период с 01.10.2021 г. по 31.10.2021 г.</t>
  </si>
  <si>
    <t>Замена датчиков КТПТР-01 в р/у на с/о</t>
  </si>
  <si>
    <t>2 шт.</t>
  </si>
  <si>
    <t>2. Всего за период с 01.10.2021 по 31.10.2021 выполнено работ (оказано услуг) на общую сумму: 39868,37 руб.</t>
  </si>
  <si>
    <t>(тридцать девять тысяч восемьсот шестьдесят восемь рублей 37 копеек)</t>
  </si>
  <si>
    <t>за период с 01.11.2021 г. по 30.11.2021 г.</t>
  </si>
  <si>
    <t>Ремонт штукатурки внутренних стен по камню и бетону цементно-известковым раствором площадью до 10 м2 толщиной слоя до 20 мм</t>
  </si>
  <si>
    <t>Смена выключателей (без материалов)</t>
  </si>
  <si>
    <t>Подключение  приборов учета КТПТР</t>
  </si>
  <si>
    <t>Перекрытие вентиля</t>
  </si>
  <si>
    <t>кв.44</t>
  </si>
  <si>
    <t>6 м2 с 3 по 5 эт. Под.№2</t>
  </si>
  <si>
    <t>29 ноября</t>
  </si>
  <si>
    <t>2. Всего за период с 01.11.2021 по 30.11.2021 выполнено работ (оказано услуг) на общую сумму: 46771,96 руб.</t>
  </si>
  <si>
    <t>(сорок шесть тысяч семьсот семьдесят один рубль 96 копеек)</t>
  </si>
  <si>
    <t>за период с 01.12.2021 г. по 31.12.2021 г.</t>
  </si>
  <si>
    <t>01,16,30 декабря</t>
  </si>
  <si>
    <t>Рабиатор 7 секций</t>
  </si>
  <si>
    <t>Смена арматуры - вентилей и клапанов обратных муфтовых диаметром до 20 мм</t>
  </si>
  <si>
    <t>Демонтаж и монтаж ОДПУ с/о ВСТН-50</t>
  </si>
  <si>
    <t>Поверка ОДПУ с/о ВСТН - 50</t>
  </si>
  <si>
    <t>р/у</t>
  </si>
  <si>
    <t>3 шт. с/о кв.18</t>
  </si>
  <si>
    <t>1 шт. с/о кв.27</t>
  </si>
  <si>
    <t>1 шт. кв.18, 1 шт. кв.31</t>
  </si>
  <si>
    <t>2. Всего за период с 01.12.2021 по 31.12.2021 выполнено работ (оказано услуг) на общую сумму: 74025,23 руб.</t>
  </si>
  <si>
    <t>(семьдесят четыре тысячи двадцать пять рублей 23 копейки)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</si>
</sst>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9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3" fillId="0" borderId="3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" fontId="11" fillId="4" borderId="3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 wrapText="1"/>
    </xf>
    <xf numFmtId="4" fontId="17" fillId="2" borderId="7" xfId="0" applyNumberFormat="1" applyFont="1" applyFill="1" applyBorder="1" applyAlignment="1">
      <alignment horizontal="center" vertical="center" wrapText="1"/>
    </xf>
    <xf numFmtId="4" fontId="11" fillId="4" borderId="7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center" vertical="center"/>
    </xf>
    <xf numFmtId="4" fontId="11" fillId="4" borderId="7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/>
    </xf>
    <xf numFmtId="4" fontId="11" fillId="4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14" fontId="2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0" fillId="2" borderId="7" xfId="0" applyFont="1" applyFill="1" applyBorder="1" applyAlignment="1">
      <alignment horizontal="left" vertical="center" wrapText="1"/>
    </xf>
    <xf numFmtId="14" fontId="11" fillId="2" borderId="7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>
      <alignment horizontal="center" wrapText="1"/>
    </xf>
    <xf numFmtId="4" fontId="20" fillId="2" borderId="3" xfId="0" applyNumberFormat="1" applyFont="1" applyFill="1" applyBorder="1" applyAlignment="1">
      <alignment horizontal="center" vertical="center"/>
    </xf>
    <xf numFmtId="2" fontId="11" fillId="0" borderId="4" xfId="0" applyNumberFormat="1" applyFont="1" applyFill="1" applyBorder="1" applyAlignment="1">
      <alignment horizont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2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justify"/>
    </xf>
    <xf numFmtId="0" fontId="0" fillId="0" borderId="0" xfId="0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0"/>
  <sheetViews>
    <sheetView view="pageBreakPreview" topLeftCell="A87" zoomScale="60" zoomScaleNormal="100" workbookViewId="0">
      <selection activeCell="J103" sqref="J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21.28515625" customWidth="1"/>
    <col min="5" max="5" width="18.85546875" hidden="1" customWidth="1"/>
    <col min="6" max="6" width="19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5" t="s">
        <v>178</v>
      </c>
      <c r="I1" s="24"/>
      <c r="J1" s="1"/>
      <c r="K1" s="1"/>
      <c r="L1" s="1"/>
      <c r="M1" s="1"/>
    </row>
    <row r="2" spans="1:13" ht="15.75">
      <c r="A2" s="26" t="s">
        <v>61</v>
      </c>
      <c r="J2" s="2"/>
      <c r="K2" s="2"/>
      <c r="L2" s="2"/>
      <c r="M2" s="2"/>
    </row>
    <row r="3" spans="1:13" ht="15.75" customHeight="1">
      <c r="A3" s="179" t="s">
        <v>127</v>
      </c>
      <c r="B3" s="179"/>
      <c r="C3" s="179"/>
      <c r="D3" s="179"/>
      <c r="E3" s="179"/>
      <c r="F3" s="179"/>
      <c r="G3" s="179"/>
      <c r="H3" s="179"/>
      <c r="I3" s="179"/>
      <c r="J3" s="3"/>
      <c r="K3" s="3"/>
      <c r="L3" s="3"/>
    </row>
    <row r="4" spans="1:13" ht="31.5" customHeight="1">
      <c r="A4" s="180" t="s">
        <v>121</v>
      </c>
      <c r="B4" s="180"/>
      <c r="C4" s="180"/>
      <c r="D4" s="180"/>
      <c r="E4" s="180"/>
      <c r="F4" s="180"/>
      <c r="G4" s="180"/>
      <c r="H4" s="180"/>
      <c r="I4" s="180"/>
    </row>
    <row r="5" spans="1:13" ht="15.75">
      <c r="A5" s="179" t="s">
        <v>219</v>
      </c>
      <c r="B5" s="181"/>
      <c r="C5" s="181"/>
      <c r="D5" s="181"/>
      <c r="E5" s="181"/>
      <c r="F5" s="181"/>
      <c r="G5" s="181"/>
      <c r="H5" s="181"/>
      <c r="I5" s="181"/>
      <c r="J5" s="2"/>
      <c r="K5" s="2"/>
      <c r="L5" s="2"/>
      <c r="M5" s="2"/>
    </row>
    <row r="6" spans="1:13" ht="15.75">
      <c r="A6" s="2"/>
      <c r="B6" s="68"/>
      <c r="C6" s="68"/>
      <c r="D6" s="68"/>
      <c r="E6" s="68"/>
      <c r="F6" s="68"/>
      <c r="G6" s="68"/>
      <c r="H6" s="68"/>
      <c r="I6" s="28">
        <v>44227</v>
      </c>
      <c r="J6" s="2"/>
      <c r="K6" s="2"/>
      <c r="L6" s="2"/>
      <c r="M6" s="2"/>
    </row>
    <row r="7" spans="1:13" ht="15.75">
      <c r="B7" s="66"/>
      <c r="C7" s="66"/>
      <c r="D7" s="6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2" t="s">
        <v>215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3" t="s">
        <v>133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4" t="s">
        <v>58</v>
      </c>
      <c r="B14" s="184"/>
      <c r="C14" s="184"/>
      <c r="D14" s="184"/>
      <c r="E14" s="184"/>
      <c r="F14" s="184"/>
      <c r="G14" s="184"/>
      <c r="H14" s="184"/>
      <c r="I14" s="184"/>
      <c r="J14" s="8"/>
      <c r="K14" s="8"/>
      <c r="L14" s="8"/>
      <c r="M14" s="8"/>
    </row>
    <row r="15" spans="1:13" ht="15" customHeight="1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  <c r="J15" s="8"/>
      <c r="K15" s="8"/>
      <c r="L15" s="8"/>
      <c r="M15" s="8"/>
    </row>
    <row r="16" spans="1:13" ht="18.75" customHeight="1">
      <c r="A16" s="27">
        <v>1</v>
      </c>
      <c r="B16" s="70" t="s">
        <v>81</v>
      </c>
      <c r="C16" s="71" t="s">
        <v>82</v>
      </c>
      <c r="D16" s="150" t="s">
        <v>164</v>
      </c>
      <c r="E16" s="72">
        <v>49.72</v>
      </c>
      <c r="F16" s="73">
        <f>SUM(E16*156/100)</f>
        <v>77.563199999999995</v>
      </c>
      <c r="G16" s="73">
        <v>230</v>
      </c>
      <c r="H16" s="74">
        <f t="shared" ref="H16:H25" si="0">SUM(F16*G16/1000)</f>
        <v>17.839535999999999</v>
      </c>
      <c r="I16" s="13">
        <f>F16/12*G16</f>
        <v>1486.6279999999999</v>
      </c>
      <c r="J16" s="19"/>
      <c r="K16" s="8"/>
      <c r="L16" s="8"/>
      <c r="M16" s="8"/>
    </row>
    <row r="17" spans="1:13" ht="17.25" customHeight="1">
      <c r="A17" s="27">
        <v>2</v>
      </c>
      <c r="B17" s="70" t="s">
        <v>169</v>
      </c>
      <c r="C17" s="71" t="s">
        <v>82</v>
      </c>
      <c r="D17" s="150" t="s">
        <v>186</v>
      </c>
      <c r="E17" s="72">
        <v>198.88</v>
      </c>
      <c r="F17" s="73">
        <f>SUM(E17*104/100)</f>
        <v>206.83520000000001</v>
      </c>
      <c r="G17" s="73">
        <v>230</v>
      </c>
      <c r="H17" s="74">
        <f t="shared" si="0"/>
        <v>47.572096000000002</v>
      </c>
      <c r="I17" s="13">
        <f>G17*F17/12</f>
        <v>3964.3413333333338</v>
      </c>
      <c r="J17" s="20"/>
      <c r="K17" s="8"/>
      <c r="L17" s="8"/>
      <c r="M17" s="8"/>
    </row>
    <row r="18" spans="1:13" ht="19.5" customHeight="1">
      <c r="A18" s="27">
        <v>3</v>
      </c>
      <c r="B18" s="70" t="s">
        <v>180</v>
      </c>
      <c r="C18" s="71" t="s">
        <v>82</v>
      </c>
      <c r="D18" s="150" t="s">
        <v>158</v>
      </c>
      <c r="E18" s="72">
        <v>248.6</v>
      </c>
      <c r="F18" s="73">
        <f>SUM(E18*24/100)</f>
        <v>59.663999999999994</v>
      </c>
      <c r="G18" s="73">
        <v>661.67</v>
      </c>
      <c r="H18" s="74">
        <f t="shared" si="0"/>
        <v>39.477878879999999</v>
      </c>
      <c r="I18" s="13">
        <f>248.6/100*2*G18</f>
        <v>3289.8232399999993</v>
      </c>
      <c r="J18" s="20"/>
      <c r="K18" s="8"/>
      <c r="L18" s="8"/>
      <c r="M18" s="8"/>
    </row>
    <row r="19" spans="1:13" ht="15.75" hidden="1" customHeight="1">
      <c r="A19" s="27"/>
      <c r="B19" s="70" t="s">
        <v>89</v>
      </c>
      <c r="C19" s="71" t="s">
        <v>90</v>
      </c>
      <c r="D19" s="70" t="s">
        <v>91</v>
      </c>
      <c r="E19" s="72">
        <v>18.48</v>
      </c>
      <c r="F19" s="73">
        <f>SUM(E19/10)</f>
        <v>1.8480000000000001</v>
      </c>
      <c r="G19" s="73">
        <v>223.17</v>
      </c>
      <c r="H19" s="74">
        <f t="shared" si="0"/>
        <v>0.41241815999999998</v>
      </c>
      <c r="I19" s="13">
        <v>0</v>
      </c>
      <c r="J19" s="20"/>
      <c r="K19" s="8"/>
      <c r="L19" s="8"/>
      <c r="M19" s="8"/>
    </row>
    <row r="20" spans="1:13" ht="15.75" customHeight="1">
      <c r="A20" s="27">
        <v>4</v>
      </c>
      <c r="B20" s="70" t="s">
        <v>92</v>
      </c>
      <c r="C20" s="71" t="s">
        <v>82</v>
      </c>
      <c r="D20" s="70" t="s">
        <v>157</v>
      </c>
      <c r="E20" s="72">
        <v>10.5</v>
      </c>
      <c r="F20" s="73">
        <f>SUM(E20*12/100)</f>
        <v>1.26</v>
      </c>
      <c r="G20" s="73">
        <v>285.76</v>
      </c>
      <c r="H20" s="74">
        <f t="shared" si="0"/>
        <v>0.36005759999999998</v>
      </c>
      <c r="I20" s="13">
        <f>F20/12*G20</f>
        <v>30.004799999999999</v>
      </c>
      <c r="J20" s="20"/>
      <c r="K20" s="8"/>
      <c r="L20" s="8"/>
      <c r="M20" s="8"/>
    </row>
    <row r="21" spans="1:13" ht="15.75" hidden="1" customHeight="1">
      <c r="A21" s="27">
        <v>5</v>
      </c>
      <c r="B21" s="70" t="s">
        <v>93</v>
      </c>
      <c r="C21" s="71" t="s">
        <v>82</v>
      </c>
      <c r="D21" s="70" t="s">
        <v>41</v>
      </c>
      <c r="E21" s="72">
        <v>3</v>
      </c>
      <c r="F21" s="73">
        <f>SUM(E21*2/100)</f>
        <v>0.06</v>
      </c>
      <c r="G21" s="73">
        <v>283.44</v>
      </c>
      <c r="H21" s="74">
        <f t="shared" si="0"/>
        <v>1.7006399999999998E-2</v>
      </c>
      <c r="I21" s="13">
        <f>F21/6*G21</f>
        <v>2.8344</v>
      </c>
      <c r="J21" s="20"/>
      <c r="K21" s="8"/>
      <c r="L21" s="8"/>
      <c r="M21" s="8"/>
    </row>
    <row r="22" spans="1:13" ht="15.75" hidden="1" customHeight="1">
      <c r="A22" s="27"/>
      <c r="B22" s="70" t="s">
        <v>94</v>
      </c>
      <c r="C22" s="71" t="s">
        <v>52</v>
      </c>
      <c r="D22" s="70" t="s">
        <v>91</v>
      </c>
      <c r="E22" s="72">
        <v>267.75</v>
      </c>
      <c r="F22" s="73">
        <f>SUM(E22/100)</f>
        <v>2.6775000000000002</v>
      </c>
      <c r="G22" s="73">
        <v>353.14</v>
      </c>
      <c r="H22" s="74">
        <f t="shared" si="0"/>
        <v>0.94553235000000002</v>
      </c>
      <c r="I22" s="13">
        <v>0</v>
      </c>
      <c r="J22" s="20"/>
      <c r="K22" s="8"/>
      <c r="L22" s="8"/>
      <c r="M22" s="8"/>
    </row>
    <row r="23" spans="1:13" ht="15.75" hidden="1" customHeight="1">
      <c r="A23" s="27"/>
      <c r="B23" s="70" t="s">
        <v>95</v>
      </c>
      <c r="C23" s="71" t="s">
        <v>52</v>
      </c>
      <c r="D23" s="70" t="s">
        <v>91</v>
      </c>
      <c r="E23" s="75">
        <v>36.229999999999997</v>
      </c>
      <c r="F23" s="73">
        <f>SUM(E23/100)</f>
        <v>0.36229999999999996</v>
      </c>
      <c r="G23" s="73">
        <v>58.08</v>
      </c>
      <c r="H23" s="74">
        <f t="shared" si="0"/>
        <v>2.1042383999999997E-2</v>
      </c>
      <c r="I23" s="13">
        <v>0</v>
      </c>
      <c r="J23" s="20"/>
      <c r="K23" s="8"/>
      <c r="L23" s="8"/>
      <c r="M23" s="8"/>
    </row>
    <row r="24" spans="1:13" ht="15.75" hidden="1" customHeight="1">
      <c r="A24" s="27"/>
      <c r="B24" s="70" t="s">
        <v>96</v>
      </c>
      <c r="C24" s="71" t="s">
        <v>52</v>
      </c>
      <c r="D24" s="70" t="s">
        <v>53</v>
      </c>
      <c r="E24" s="72">
        <v>15</v>
      </c>
      <c r="F24" s="73">
        <f>SUM(E24/100)</f>
        <v>0.15</v>
      </c>
      <c r="G24" s="73">
        <v>511.12</v>
      </c>
      <c r="H24" s="74">
        <f t="shared" si="0"/>
        <v>7.6667999999999986E-2</v>
      </c>
      <c r="I24" s="13">
        <v>0</v>
      </c>
      <c r="J24" s="20"/>
      <c r="K24" s="8"/>
      <c r="L24" s="8"/>
      <c r="M24" s="8"/>
    </row>
    <row r="25" spans="1:13" ht="15.75" hidden="1" customHeight="1">
      <c r="A25" s="27"/>
      <c r="B25" s="70" t="s">
        <v>97</v>
      </c>
      <c r="C25" s="71" t="s">
        <v>52</v>
      </c>
      <c r="D25" s="70" t="s">
        <v>53</v>
      </c>
      <c r="E25" s="72">
        <v>6.38</v>
      </c>
      <c r="F25" s="73">
        <f>SUM(E25/100)</f>
        <v>6.3799999999999996E-2</v>
      </c>
      <c r="G25" s="73">
        <v>683.05</v>
      </c>
      <c r="H25" s="74">
        <f t="shared" si="0"/>
        <v>4.3578589999999993E-2</v>
      </c>
      <c r="I25" s="13">
        <v>0</v>
      </c>
      <c r="J25" s="20"/>
      <c r="K25" s="8"/>
      <c r="L25" s="8"/>
      <c r="M25" s="8"/>
    </row>
    <row r="26" spans="1:13" ht="15.75" hidden="1" customHeight="1">
      <c r="A26" s="27"/>
      <c r="B26" s="70" t="s">
        <v>116</v>
      </c>
      <c r="C26" s="71" t="s">
        <v>52</v>
      </c>
      <c r="D26" s="70" t="s">
        <v>53</v>
      </c>
      <c r="E26" s="72">
        <v>14.25</v>
      </c>
      <c r="F26" s="73">
        <v>0.14000000000000001</v>
      </c>
      <c r="G26" s="73">
        <v>283.44</v>
      </c>
      <c r="H26" s="74">
        <f>G26*F26/1000</f>
        <v>3.9681600000000004E-2</v>
      </c>
      <c r="I26" s="13">
        <v>0</v>
      </c>
      <c r="J26" s="20"/>
      <c r="K26" s="8"/>
      <c r="L26" s="8"/>
      <c r="M26" s="8"/>
    </row>
    <row r="27" spans="1:13" ht="15.75" customHeight="1">
      <c r="A27" s="27">
        <v>5</v>
      </c>
      <c r="B27" s="70" t="s">
        <v>195</v>
      </c>
      <c r="C27" s="71" t="s">
        <v>25</v>
      </c>
      <c r="D27" s="70" t="s">
        <v>202</v>
      </c>
      <c r="E27" s="77">
        <v>4.37</v>
      </c>
      <c r="F27" s="73">
        <f>E27*258</f>
        <v>1127.46</v>
      </c>
      <c r="G27" s="73">
        <v>10.39</v>
      </c>
      <c r="H27" s="74">
        <f>SUM(F27*G27/1000)</f>
        <v>11.714309400000001</v>
      </c>
      <c r="I27" s="13">
        <f>G27*F27/12</f>
        <v>976.19245000000012</v>
      </c>
      <c r="J27" s="21"/>
    </row>
    <row r="28" spans="1:13" ht="15.75" customHeight="1">
      <c r="A28" s="185" t="s">
        <v>80</v>
      </c>
      <c r="B28" s="185"/>
      <c r="C28" s="185"/>
      <c r="D28" s="185"/>
      <c r="E28" s="185"/>
      <c r="F28" s="185"/>
      <c r="G28" s="185"/>
      <c r="H28" s="185"/>
      <c r="I28" s="185"/>
      <c r="J28" s="20"/>
      <c r="K28" s="8"/>
      <c r="L28" s="8"/>
      <c r="M28" s="8"/>
    </row>
    <row r="29" spans="1:13" ht="15.75" hidden="1" customHeight="1">
      <c r="A29" s="27"/>
      <c r="B29" s="101" t="s">
        <v>28</v>
      </c>
      <c r="C29" s="71"/>
      <c r="D29" s="70"/>
      <c r="E29" s="72"/>
      <c r="F29" s="73"/>
      <c r="G29" s="73"/>
      <c r="H29" s="74"/>
      <c r="I29" s="13"/>
      <c r="J29" s="21"/>
    </row>
    <row r="30" spans="1:13" ht="15.75" hidden="1" customHeight="1">
      <c r="A30" s="27"/>
      <c r="B30" s="70" t="s">
        <v>99</v>
      </c>
      <c r="C30" s="71" t="s">
        <v>84</v>
      </c>
      <c r="D30" s="70" t="s">
        <v>135</v>
      </c>
      <c r="E30" s="73">
        <v>665</v>
      </c>
      <c r="F30" s="73">
        <f>SUM(E30*52/1000)</f>
        <v>34.58</v>
      </c>
      <c r="G30" s="73">
        <v>204.44</v>
      </c>
      <c r="H30" s="74">
        <f t="shared" ref="H30:H36" si="1">SUM(F30*G30/1000)</f>
        <v>7.0695351999999989</v>
      </c>
      <c r="I30" s="13">
        <f t="shared" ref="I30:I31" si="2">F30/6*G30</f>
        <v>1178.2558666666666</v>
      </c>
      <c r="J30" s="20"/>
      <c r="K30" s="8"/>
      <c r="L30" s="8"/>
      <c r="M30" s="8"/>
    </row>
    <row r="31" spans="1:13" ht="15.75" hidden="1" customHeight="1">
      <c r="A31" s="27"/>
      <c r="B31" s="70" t="s">
        <v>112</v>
      </c>
      <c r="C31" s="71" t="s">
        <v>84</v>
      </c>
      <c r="D31" s="70" t="s">
        <v>136</v>
      </c>
      <c r="E31" s="73">
        <v>81.5</v>
      </c>
      <c r="F31" s="73">
        <f>SUM(E31*78/1000)</f>
        <v>6.3570000000000002</v>
      </c>
      <c r="G31" s="73">
        <v>339.21</v>
      </c>
      <c r="H31" s="74">
        <f t="shared" si="1"/>
        <v>2.1563579700000002</v>
      </c>
      <c r="I31" s="13">
        <f t="shared" si="2"/>
        <v>359.39299500000004</v>
      </c>
      <c r="J31" s="20"/>
      <c r="K31" s="8"/>
      <c r="L31" s="8"/>
      <c r="M31" s="8"/>
    </row>
    <row r="32" spans="1:13" ht="15.75" hidden="1" customHeight="1">
      <c r="A32" s="27"/>
      <c r="B32" s="70" t="s">
        <v>27</v>
      </c>
      <c r="C32" s="71" t="s">
        <v>84</v>
      </c>
      <c r="D32" s="70" t="s">
        <v>53</v>
      </c>
      <c r="E32" s="73">
        <v>665</v>
      </c>
      <c r="F32" s="73">
        <f>SUM(E32/1000)</f>
        <v>0.66500000000000004</v>
      </c>
      <c r="G32" s="73">
        <v>3961.23</v>
      </c>
      <c r="H32" s="74">
        <f t="shared" si="1"/>
        <v>2.63421795</v>
      </c>
      <c r="I32" s="13">
        <f>F32*G32</f>
        <v>2634.2179500000002</v>
      </c>
      <c r="J32" s="20"/>
      <c r="K32" s="8"/>
      <c r="L32" s="8"/>
      <c r="M32" s="8"/>
    </row>
    <row r="33" spans="1:14" ht="15.75" hidden="1" customHeight="1">
      <c r="A33" s="27"/>
      <c r="B33" s="70" t="s">
        <v>111</v>
      </c>
      <c r="C33" s="71" t="s">
        <v>39</v>
      </c>
      <c r="D33" s="70" t="s">
        <v>62</v>
      </c>
      <c r="E33" s="73">
        <v>3</v>
      </c>
      <c r="F33" s="73">
        <f>E33*155/100</f>
        <v>4.6500000000000004</v>
      </c>
      <c r="G33" s="73">
        <v>1707.63</v>
      </c>
      <c r="H33" s="74">
        <f>G33*F33/1000</f>
        <v>7.9404795000000012</v>
      </c>
      <c r="I33" s="13">
        <f>F33/6*G33</f>
        <v>1323.4132500000001</v>
      </c>
      <c r="J33" s="20"/>
      <c r="K33" s="8"/>
      <c r="L33" s="8"/>
      <c r="M33" s="8"/>
    </row>
    <row r="34" spans="1:14" ht="15.75" hidden="1" customHeight="1">
      <c r="A34" s="27"/>
      <c r="B34" s="70" t="s">
        <v>98</v>
      </c>
      <c r="C34" s="71" t="s">
        <v>30</v>
      </c>
      <c r="D34" s="70" t="s">
        <v>62</v>
      </c>
      <c r="E34" s="76">
        <f>1/3</f>
        <v>0.33333333333333331</v>
      </c>
      <c r="F34" s="73">
        <f>155/3</f>
        <v>51.666666666666664</v>
      </c>
      <c r="G34" s="73">
        <v>74.349999999999994</v>
      </c>
      <c r="H34" s="74">
        <f>SUM(G34*155/3/1000)</f>
        <v>3.8414166666666665</v>
      </c>
      <c r="I34" s="13">
        <f>F34/6*G34</f>
        <v>640.23611111111109</v>
      </c>
      <c r="J34" s="20"/>
      <c r="K34" s="8"/>
    </row>
    <row r="35" spans="1:14" ht="15.75" hidden="1" customHeight="1">
      <c r="A35" s="27"/>
      <c r="B35" s="70" t="s">
        <v>63</v>
      </c>
      <c r="C35" s="71" t="s">
        <v>32</v>
      </c>
      <c r="D35" s="70" t="s">
        <v>65</v>
      </c>
      <c r="E35" s="72"/>
      <c r="F35" s="73">
        <v>1</v>
      </c>
      <c r="G35" s="73">
        <v>250.92</v>
      </c>
      <c r="H35" s="74">
        <f t="shared" si="1"/>
        <v>0.25091999999999998</v>
      </c>
      <c r="I35" s="13">
        <v>0</v>
      </c>
      <c r="J35" s="21"/>
    </row>
    <row r="36" spans="1:14" ht="15.75" hidden="1" customHeight="1">
      <c r="A36" s="27"/>
      <c r="B36" s="70" t="s">
        <v>64</v>
      </c>
      <c r="C36" s="71" t="s">
        <v>31</v>
      </c>
      <c r="D36" s="70" t="s">
        <v>65</v>
      </c>
      <c r="E36" s="72"/>
      <c r="F36" s="73">
        <v>1</v>
      </c>
      <c r="G36" s="73">
        <v>1490.31</v>
      </c>
      <c r="H36" s="74">
        <f t="shared" si="1"/>
        <v>1.49031</v>
      </c>
      <c r="I36" s="13">
        <v>0</v>
      </c>
      <c r="J36" s="21"/>
    </row>
    <row r="37" spans="1:14" ht="15.75" customHeight="1">
      <c r="A37" s="27"/>
      <c r="B37" s="101" t="s">
        <v>5</v>
      </c>
      <c r="C37" s="71"/>
      <c r="D37" s="70"/>
      <c r="E37" s="72"/>
      <c r="F37" s="73"/>
      <c r="G37" s="73"/>
      <c r="H37" s="74" t="s">
        <v>128</v>
      </c>
      <c r="I37" s="13"/>
      <c r="J37" s="21"/>
    </row>
    <row r="38" spans="1:14" ht="18.75" customHeight="1">
      <c r="A38" s="27">
        <v>6</v>
      </c>
      <c r="B38" s="79" t="s">
        <v>203</v>
      </c>
      <c r="C38" s="71" t="s">
        <v>31</v>
      </c>
      <c r="D38" s="124" t="s">
        <v>220</v>
      </c>
      <c r="E38" s="72"/>
      <c r="F38" s="73">
        <v>5</v>
      </c>
      <c r="G38" s="73">
        <v>2003</v>
      </c>
      <c r="H38" s="74">
        <f t="shared" ref="H38:H45" si="3">SUM(F38*G38/1000)</f>
        <v>10.015000000000001</v>
      </c>
      <c r="I38" s="13">
        <f>G38*2.5</f>
        <v>5007.5</v>
      </c>
      <c r="J38" s="21"/>
    </row>
    <row r="39" spans="1:14" ht="15.75" customHeight="1">
      <c r="A39" s="27">
        <v>7</v>
      </c>
      <c r="B39" s="79" t="s">
        <v>100</v>
      </c>
      <c r="C39" s="80" t="s">
        <v>29</v>
      </c>
      <c r="D39" s="70" t="s">
        <v>189</v>
      </c>
      <c r="E39" s="72">
        <v>81.5</v>
      </c>
      <c r="F39" s="81">
        <f>E39*30/1000</f>
        <v>2.4449999999999998</v>
      </c>
      <c r="G39" s="73">
        <v>2757.78</v>
      </c>
      <c r="H39" s="74">
        <f t="shared" si="3"/>
        <v>6.7427720999999998</v>
      </c>
      <c r="I39" s="13">
        <f t="shared" ref="I39:I45" si="4">F39/6*G39</f>
        <v>1123.7953500000001</v>
      </c>
      <c r="J39" s="21"/>
    </row>
    <row r="40" spans="1:14" ht="15.75" customHeight="1">
      <c r="A40" s="27">
        <v>8</v>
      </c>
      <c r="B40" s="70" t="s">
        <v>66</v>
      </c>
      <c r="C40" s="71" t="s">
        <v>29</v>
      </c>
      <c r="D40" s="70" t="s">
        <v>190</v>
      </c>
      <c r="E40" s="73">
        <v>81.5</v>
      </c>
      <c r="F40" s="81">
        <f>SUM(E40*155/1000)</f>
        <v>12.6325</v>
      </c>
      <c r="G40" s="73">
        <v>460.02</v>
      </c>
      <c r="H40" s="74">
        <f t="shared" si="3"/>
        <v>5.8112026500000002</v>
      </c>
      <c r="I40" s="13">
        <f t="shared" si="4"/>
        <v>968.53377499999999</v>
      </c>
      <c r="J40" s="21"/>
      <c r="L40" s="16"/>
      <c r="M40" s="17"/>
      <c r="N40" s="18"/>
    </row>
    <row r="41" spans="1:14" ht="15.75" hidden="1" customHeight="1">
      <c r="A41" s="27"/>
      <c r="B41" s="70" t="s">
        <v>113</v>
      </c>
      <c r="C41" s="71" t="s">
        <v>114</v>
      </c>
      <c r="D41" s="70" t="s">
        <v>65</v>
      </c>
      <c r="E41" s="72"/>
      <c r="F41" s="81">
        <v>26</v>
      </c>
      <c r="G41" s="73">
        <v>314</v>
      </c>
      <c r="H41" s="74">
        <f t="shared" si="3"/>
        <v>8.1639999999999997</v>
      </c>
      <c r="I41" s="13">
        <v>0</v>
      </c>
      <c r="J41" s="21"/>
      <c r="L41" s="16"/>
      <c r="M41" s="17"/>
      <c r="N41" s="18"/>
    </row>
    <row r="42" spans="1:14" ht="47.25" customHeight="1">
      <c r="A42" s="27">
        <v>9</v>
      </c>
      <c r="B42" s="70" t="s">
        <v>78</v>
      </c>
      <c r="C42" s="71" t="s">
        <v>84</v>
      </c>
      <c r="D42" s="70" t="s">
        <v>188</v>
      </c>
      <c r="E42" s="73">
        <v>81.5</v>
      </c>
      <c r="F42" s="81">
        <f>SUM(E42*35/1000)</f>
        <v>2.8525</v>
      </c>
      <c r="G42" s="73">
        <v>7611.16</v>
      </c>
      <c r="H42" s="74">
        <f t="shared" si="3"/>
        <v>21.710833900000001</v>
      </c>
      <c r="I42" s="13">
        <f t="shared" si="4"/>
        <v>3618.4723166666663</v>
      </c>
      <c r="J42" s="21"/>
      <c r="L42" s="16"/>
      <c r="M42" s="17"/>
      <c r="N42" s="18"/>
    </row>
    <row r="43" spans="1:14" ht="15.75" customHeight="1">
      <c r="A43" s="27">
        <v>10</v>
      </c>
      <c r="B43" s="70" t="s">
        <v>85</v>
      </c>
      <c r="C43" s="71" t="s">
        <v>84</v>
      </c>
      <c r="D43" s="70" t="s">
        <v>157</v>
      </c>
      <c r="E43" s="73">
        <v>81.5</v>
      </c>
      <c r="F43" s="81">
        <f>SUM(E43*45/1000)</f>
        <v>3.6675</v>
      </c>
      <c r="G43" s="73">
        <v>562.25</v>
      </c>
      <c r="H43" s="74">
        <f t="shared" si="3"/>
        <v>2.0620518750000003</v>
      </c>
      <c r="I43" s="13">
        <f>G43*F43/45*1</f>
        <v>45.823375000000006</v>
      </c>
      <c r="J43" s="21"/>
      <c r="L43" s="16"/>
      <c r="M43" s="17"/>
      <c r="N43" s="18"/>
    </row>
    <row r="44" spans="1:14" ht="15.75" customHeight="1">
      <c r="A44" s="27">
        <v>11</v>
      </c>
      <c r="B44" s="79" t="s">
        <v>68</v>
      </c>
      <c r="C44" s="80" t="s">
        <v>32</v>
      </c>
      <c r="D44" s="79"/>
      <c r="E44" s="77"/>
      <c r="F44" s="81">
        <v>0.9</v>
      </c>
      <c r="G44" s="81">
        <v>974.83</v>
      </c>
      <c r="H44" s="74">
        <f t="shared" si="3"/>
        <v>0.8773470000000001</v>
      </c>
      <c r="I44" s="13">
        <f>G44*F44/45*1</f>
        <v>19.496600000000001</v>
      </c>
      <c r="J44" s="21"/>
      <c r="L44" s="16"/>
      <c r="M44" s="17"/>
      <c r="N44" s="18"/>
    </row>
    <row r="45" spans="1:14" ht="33" customHeight="1">
      <c r="A45" s="27">
        <v>12</v>
      </c>
      <c r="B45" s="44" t="s">
        <v>139</v>
      </c>
      <c r="C45" s="45" t="s">
        <v>29</v>
      </c>
      <c r="D45" s="79" t="s">
        <v>159</v>
      </c>
      <c r="E45" s="77">
        <v>2.4</v>
      </c>
      <c r="F45" s="81">
        <f>SUM(E45*12/1000)</f>
        <v>2.8799999999999996E-2</v>
      </c>
      <c r="G45" s="81">
        <v>260.2</v>
      </c>
      <c r="H45" s="74">
        <f t="shared" si="3"/>
        <v>7.4937599999999986E-3</v>
      </c>
      <c r="I45" s="13">
        <f t="shared" si="4"/>
        <v>1.2489599999999998</v>
      </c>
      <c r="J45" s="21"/>
      <c r="L45" s="16"/>
      <c r="M45" s="17"/>
      <c r="N45" s="18"/>
    </row>
    <row r="46" spans="1:14" ht="15.75" customHeight="1">
      <c r="A46" s="186" t="s">
        <v>122</v>
      </c>
      <c r="B46" s="187"/>
      <c r="C46" s="187"/>
      <c r="D46" s="187"/>
      <c r="E46" s="187"/>
      <c r="F46" s="187"/>
      <c r="G46" s="187"/>
      <c r="H46" s="187"/>
      <c r="I46" s="188"/>
      <c r="J46" s="21"/>
      <c r="L46" s="16"/>
      <c r="M46" s="17"/>
      <c r="N46" s="18"/>
    </row>
    <row r="47" spans="1:14" ht="15.75" hidden="1" customHeight="1">
      <c r="A47" s="27"/>
      <c r="B47" s="70" t="s">
        <v>119</v>
      </c>
      <c r="C47" s="71" t="s">
        <v>84</v>
      </c>
      <c r="D47" s="70" t="s">
        <v>41</v>
      </c>
      <c r="E47" s="72">
        <v>1080</v>
      </c>
      <c r="F47" s="73">
        <f>SUM(E47*2/1000)</f>
        <v>2.16</v>
      </c>
      <c r="G47" s="31">
        <v>1172.4100000000001</v>
      </c>
      <c r="H47" s="74">
        <f t="shared" ref="H47:H55" si="5">SUM(F47*G47/1000)</f>
        <v>2.5324056000000006</v>
      </c>
      <c r="I47" s="13">
        <f t="shared" ref="I47:I50" si="6">F47/2*G47</f>
        <v>1266.2028000000003</v>
      </c>
      <c r="J47" s="21"/>
      <c r="L47" s="16"/>
      <c r="M47" s="17"/>
      <c r="N47" s="18"/>
    </row>
    <row r="48" spans="1:14" ht="15.75" hidden="1" customHeight="1">
      <c r="A48" s="27"/>
      <c r="B48" s="70" t="s">
        <v>34</v>
      </c>
      <c r="C48" s="71" t="s">
        <v>84</v>
      </c>
      <c r="D48" s="70" t="s">
        <v>41</v>
      </c>
      <c r="E48" s="72">
        <v>39</v>
      </c>
      <c r="F48" s="73">
        <f>SUM(E48*2/1000)</f>
        <v>7.8E-2</v>
      </c>
      <c r="G48" s="31">
        <v>4419.05</v>
      </c>
      <c r="H48" s="74">
        <f t="shared" si="5"/>
        <v>0.34468589999999999</v>
      </c>
      <c r="I48" s="13">
        <f t="shared" si="6"/>
        <v>172.34295</v>
      </c>
      <c r="J48" s="21"/>
      <c r="L48" s="16"/>
      <c r="M48" s="17"/>
      <c r="N48" s="18"/>
    </row>
    <row r="49" spans="1:22" ht="15.75" hidden="1" customHeight="1">
      <c r="A49" s="27"/>
      <c r="B49" s="70" t="s">
        <v>35</v>
      </c>
      <c r="C49" s="71" t="s">
        <v>84</v>
      </c>
      <c r="D49" s="70" t="s">
        <v>41</v>
      </c>
      <c r="E49" s="72">
        <v>1037</v>
      </c>
      <c r="F49" s="73">
        <f>SUM(E49*2/1000)</f>
        <v>2.0739999999999998</v>
      </c>
      <c r="G49" s="31">
        <v>1803.69</v>
      </c>
      <c r="H49" s="74">
        <f t="shared" si="5"/>
        <v>3.7408530600000001</v>
      </c>
      <c r="I49" s="13">
        <f t="shared" si="6"/>
        <v>1870.42653</v>
      </c>
      <c r="J49" s="21"/>
      <c r="L49" s="16"/>
      <c r="M49" s="17"/>
      <c r="N49" s="18"/>
    </row>
    <row r="50" spans="1:22" ht="15.75" hidden="1" customHeight="1">
      <c r="A50" s="27"/>
      <c r="B50" s="70" t="s">
        <v>36</v>
      </c>
      <c r="C50" s="71" t="s">
        <v>84</v>
      </c>
      <c r="D50" s="70" t="s">
        <v>41</v>
      </c>
      <c r="E50" s="72">
        <v>2274</v>
      </c>
      <c r="F50" s="73">
        <f>SUM(E50*2/1000)</f>
        <v>4.548</v>
      </c>
      <c r="G50" s="31">
        <v>1243.43</v>
      </c>
      <c r="H50" s="74">
        <f t="shared" si="5"/>
        <v>5.6551196399999997</v>
      </c>
      <c r="I50" s="13">
        <f t="shared" si="6"/>
        <v>2827.5598199999999</v>
      </c>
      <c r="J50" s="21"/>
      <c r="L50" s="16"/>
      <c r="M50" s="17"/>
      <c r="N50" s="18"/>
    </row>
    <row r="51" spans="1:22" ht="15.75" hidden="1" customHeight="1">
      <c r="A51" s="27"/>
      <c r="B51" s="70" t="s">
        <v>33</v>
      </c>
      <c r="C51" s="71" t="s">
        <v>52</v>
      </c>
      <c r="D51" s="70" t="s">
        <v>41</v>
      </c>
      <c r="E51" s="72">
        <v>83.04</v>
      </c>
      <c r="F51" s="73">
        <v>1.66</v>
      </c>
      <c r="G51" s="31">
        <v>1352.76</v>
      </c>
      <c r="H51" s="74">
        <f>SUM(F51*G51/1000)</f>
        <v>2.2455816</v>
      </c>
      <c r="I51" s="13">
        <f>F51/2*G51</f>
        <v>1122.7908</v>
      </c>
      <c r="J51" s="21"/>
      <c r="L51" s="16"/>
      <c r="M51" s="17"/>
      <c r="N51" s="18"/>
    </row>
    <row r="52" spans="1:22" ht="15.75" customHeight="1">
      <c r="A52" s="27">
        <v>13</v>
      </c>
      <c r="B52" s="70" t="s">
        <v>55</v>
      </c>
      <c r="C52" s="71" t="s">
        <v>84</v>
      </c>
      <c r="D52" s="70" t="s">
        <v>157</v>
      </c>
      <c r="E52" s="72">
        <v>2626.5</v>
      </c>
      <c r="F52" s="73">
        <f>SUM(E52*5/1000)</f>
        <v>13.1325</v>
      </c>
      <c r="G52" s="31">
        <v>1803.69</v>
      </c>
      <c r="H52" s="74">
        <f t="shared" ref="H52:H54" si="7">SUM(F52*G52/1000)</f>
        <v>23.686958925000003</v>
      </c>
      <c r="I52" s="13">
        <f>F52/5*G52</f>
        <v>4737.3917849999998</v>
      </c>
      <c r="J52" s="21"/>
      <c r="L52" s="16"/>
      <c r="M52" s="17"/>
      <c r="N52" s="18"/>
    </row>
    <row r="53" spans="1:22" ht="31.5" hidden="1" customHeight="1">
      <c r="A53" s="27"/>
      <c r="B53" s="70" t="s">
        <v>86</v>
      </c>
      <c r="C53" s="71" t="s">
        <v>84</v>
      </c>
      <c r="D53" s="70" t="s">
        <v>41</v>
      </c>
      <c r="E53" s="72">
        <v>2626.5</v>
      </c>
      <c r="F53" s="73">
        <f>SUM(E53*2/1000)</f>
        <v>5.2530000000000001</v>
      </c>
      <c r="G53" s="31">
        <v>1591.6</v>
      </c>
      <c r="H53" s="74">
        <f t="shared" si="7"/>
        <v>8.3606747999999982</v>
      </c>
      <c r="I53" s="13">
        <f>F53/2*G53</f>
        <v>4180.3373999999994</v>
      </c>
      <c r="J53" s="21"/>
      <c r="L53" s="16"/>
      <c r="M53" s="17"/>
      <c r="N53" s="18"/>
    </row>
    <row r="54" spans="1:22" ht="31.5" hidden="1" customHeight="1">
      <c r="A54" s="27"/>
      <c r="B54" s="70" t="s">
        <v>87</v>
      </c>
      <c r="C54" s="71" t="s">
        <v>37</v>
      </c>
      <c r="D54" s="70" t="s">
        <v>41</v>
      </c>
      <c r="E54" s="72">
        <v>15</v>
      </c>
      <c r="F54" s="73">
        <f>SUM(E54*2/100)</f>
        <v>0.3</v>
      </c>
      <c r="G54" s="31">
        <v>4058.32</v>
      </c>
      <c r="H54" s="74">
        <f t="shared" si="7"/>
        <v>1.2174960000000001</v>
      </c>
      <c r="I54" s="13">
        <f t="shared" ref="I54:I55" si="8">F54/2*G54</f>
        <v>608.74800000000005</v>
      </c>
      <c r="J54" s="21"/>
      <c r="L54" s="16"/>
      <c r="M54" s="17"/>
      <c r="N54" s="18"/>
    </row>
    <row r="55" spans="1:22" ht="15.75" hidden="1" customHeight="1">
      <c r="A55" s="27"/>
      <c r="B55" s="70" t="s">
        <v>38</v>
      </c>
      <c r="C55" s="71" t="s">
        <v>39</v>
      </c>
      <c r="D55" s="70" t="s">
        <v>41</v>
      </c>
      <c r="E55" s="72">
        <v>1</v>
      </c>
      <c r="F55" s="73">
        <v>0.02</v>
      </c>
      <c r="G55" s="31">
        <v>7412.92</v>
      </c>
      <c r="H55" s="74">
        <f t="shared" si="5"/>
        <v>0.14825839999999998</v>
      </c>
      <c r="I55" s="13">
        <f t="shared" si="8"/>
        <v>74.129199999999997</v>
      </c>
      <c r="J55" s="21"/>
      <c r="L55" s="16"/>
      <c r="M55" s="17"/>
      <c r="N55" s="18"/>
    </row>
    <row r="56" spans="1:22" ht="15.75" hidden="1" customHeight="1">
      <c r="A56" s="27">
        <v>15</v>
      </c>
      <c r="B56" s="70" t="s">
        <v>40</v>
      </c>
      <c r="C56" s="71" t="s">
        <v>101</v>
      </c>
      <c r="D56" s="70" t="s">
        <v>69</v>
      </c>
      <c r="E56" s="72">
        <v>90</v>
      </c>
      <c r="F56" s="73">
        <f>SUM(E56)*3</f>
        <v>270</v>
      </c>
      <c r="G56" s="69">
        <v>86.15</v>
      </c>
      <c r="H56" s="74">
        <f>SUM(F56*G56/1000)</f>
        <v>23.2605</v>
      </c>
      <c r="I56" s="13">
        <f>F56/3*G56</f>
        <v>7753.5000000000009</v>
      </c>
      <c r="J56" s="21"/>
      <c r="L56" s="16"/>
      <c r="M56" s="17"/>
      <c r="N56" s="18"/>
    </row>
    <row r="57" spans="1:22" ht="15.75" customHeight="1">
      <c r="A57" s="186" t="s">
        <v>123</v>
      </c>
      <c r="B57" s="187"/>
      <c r="C57" s="187"/>
      <c r="D57" s="187"/>
      <c r="E57" s="187"/>
      <c r="F57" s="187"/>
      <c r="G57" s="187"/>
      <c r="H57" s="187"/>
      <c r="I57" s="188"/>
      <c r="J57" s="21"/>
      <c r="L57" s="16"/>
    </row>
    <row r="58" spans="1:22" ht="15.75" customHeight="1">
      <c r="A58" s="27"/>
      <c r="B58" s="101" t="s">
        <v>42</v>
      </c>
      <c r="C58" s="71"/>
      <c r="D58" s="70"/>
      <c r="E58" s="72"/>
      <c r="F58" s="73"/>
      <c r="G58" s="73"/>
      <c r="H58" s="74"/>
      <c r="I58" s="13"/>
    </row>
    <row r="59" spans="1:22" ht="31.5" customHeight="1">
      <c r="A59" s="27">
        <v>14</v>
      </c>
      <c r="B59" s="70" t="s">
        <v>129</v>
      </c>
      <c r="C59" s="71" t="s">
        <v>82</v>
      </c>
      <c r="D59" s="70"/>
      <c r="E59" s="72">
        <v>111</v>
      </c>
      <c r="F59" s="73">
        <f>SUM(E59*6/100)</f>
        <v>6.66</v>
      </c>
      <c r="G59" s="31">
        <v>2029.3</v>
      </c>
      <c r="H59" s="74"/>
      <c r="I59" s="13">
        <f>G59*0.3</f>
        <v>608.79</v>
      </c>
    </row>
    <row r="60" spans="1:22" ht="15.75" customHeight="1">
      <c r="A60" s="27">
        <v>15</v>
      </c>
      <c r="B60" s="70" t="s">
        <v>141</v>
      </c>
      <c r="C60" s="71" t="s">
        <v>142</v>
      </c>
      <c r="D60" s="70" t="s">
        <v>221</v>
      </c>
      <c r="E60" s="72"/>
      <c r="F60" s="73">
        <v>3</v>
      </c>
      <c r="G60" s="158">
        <v>1582.05</v>
      </c>
      <c r="H60" s="74">
        <f>SUM(F60*G60/1000)</f>
        <v>4.7461499999999992</v>
      </c>
      <c r="I60" s="13">
        <f>G60*2</f>
        <v>3164.1</v>
      </c>
    </row>
    <row r="61" spans="1:22" ht="15.75" customHeight="1">
      <c r="A61" s="27"/>
      <c r="B61" s="102" t="s">
        <v>43</v>
      </c>
      <c r="C61" s="82"/>
      <c r="D61" s="83"/>
      <c r="E61" s="84"/>
      <c r="F61" s="85"/>
      <c r="G61" s="31"/>
      <c r="H61" s="86"/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8" hidden="1" customHeight="1">
      <c r="A62" s="27"/>
      <c r="B62" s="83" t="s">
        <v>44</v>
      </c>
      <c r="C62" s="82" t="s">
        <v>52</v>
      </c>
      <c r="D62" s="83" t="s">
        <v>53</v>
      </c>
      <c r="E62" s="84">
        <v>130</v>
      </c>
      <c r="F62" s="85">
        <f>E62/100</f>
        <v>1.3</v>
      </c>
      <c r="G62" s="31">
        <v>1040.8399999999999</v>
      </c>
      <c r="H62" s="86">
        <f>F62*G62/1000</f>
        <v>1.353092</v>
      </c>
      <c r="I62" s="13">
        <v>0</v>
      </c>
      <c r="J62" s="23"/>
      <c r="K62" s="2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8" customHeight="1">
      <c r="A63" s="27">
        <v>16</v>
      </c>
      <c r="B63" s="83" t="s">
        <v>115</v>
      </c>
      <c r="C63" s="82" t="s">
        <v>25</v>
      </c>
      <c r="D63" s="83" t="s">
        <v>156</v>
      </c>
      <c r="E63" s="84">
        <v>130</v>
      </c>
      <c r="F63" s="87">
        <f>E63*12</f>
        <v>1560</v>
      </c>
      <c r="G63" s="88">
        <v>1.4</v>
      </c>
      <c r="H63" s="85">
        <f>F63*G63/1000</f>
        <v>2.1840000000000002</v>
      </c>
      <c r="I63" s="13">
        <f t="shared" ref="I63" si="9">F63/12*G63</f>
        <v>182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1.25" hidden="1" customHeight="1">
      <c r="A64" s="27"/>
      <c r="B64" s="103" t="s">
        <v>45</v>
      </c>
      <c r="C64" s="82"/>
      <c r="D64" s="83"/>
      <c r="E64" s="84"/>
      <c r="F64" s="87"/>
      <c r="G64" s="87"/>
      <c r="H64" s="85" t="s">
        <v>128</v>
      </c>
      <c r="I64" s="13"/>
      <c r="J64" s="5"/>
      <c r="K64" s="5"/>
      <c r="L64" s="5"/>
      <c r="M64" s="5"/>
      <c r="N64" s="5"/>
      <c r="O64" s="5"/>
      <c r="P64" s="5"/>
      <c r="Q64" s="5"/>
      <c r="R64" s="162"/>
      <c r="S64" s="162"/>
      <c r="T64" s="162"/>
      <c r="U64" s="162"/>
    </row>
    <row r="65" spans="1:21" ht="15.75" hidden="1" customHeight="1">
      <c r="A65" s="27"/>
      <c r="B65" s="89" t="s">
        <v>46</v>
      </c>
      <c r="C65" s="90" t="s">
        <v>101</v>
      </c>
      <c r="D65" s="70" t="s">
        <v>65</v>
      </c>
      <c r="E65" s="15">
        <v>9</v>
      </c>
      <c r="F65" s="69">
        <f>SUM(E65)</f>
        <v>9</v>
      </c>
      <c r="G65" s="31">
        <v>291.68</v>
      </c>
      <c r="H65" s="63">
        <f t="shared" ref="H65:H83" si="10">SUM(F65*G65/1000)</f>
        <v>2.6251199999999999</v>
      </c>
      <c r="I65" s="13">
        <v>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8" hidden="1" customHeight="1">
      <c r="A66" s="27"/>
      <c r="B66" s="89" t="s">
        <v>47</v>
      </c>
      <c r="C66" s="90" t="s">
        <v>101</v>
      </c>
      <c r="D66" s="70" t="s">
        <v>65</v>
      </c>
      <c r="E66" s="15">
        <v>4</v>
      </c>
      <c r="F66" s="69">
        <f>SUM(E66)</f>
        <v>4</v>
      </c>
      <c r="G66" s="31">
        <v>100.01</v>
      </c>
      <c r="H66" s="63">
        <f t="shared" si="10"/>
        <v>0.40004000000000001</v>
      </c>
      <c r="I66" s="13">
        <v>0</v>
      </c>
    </row>
    <row r="67" spans="1:21" ht="17.25" hidden="1" customHeight="1">
      <c r="A67" s="27"/>
      <c r="B67" s="89" t="s">
        <v>48</v>
      </c>
      <c r="C67" s="91" t="s">
        <v>103</v>
      </c>
      <c r="D67" s="33" t="s">
        <v>53</v>
      </c>
      <c r="E67" s="72">
        <v>13287</v>
      </c>
      <c r="F67" s="69">
        <f>SUM(E67/100)</f>
        <v>132.87</v>
      </c>
      <c r="G67" s="31">
        <v>278.24</v>
      </c>
      <c r="H67" s="63">
        <f t="shared" si="10"/>
        <v>36.969748799999998</v>
      </c>
      <c r="I67" s="13">
        <v>0</v>
      </c>
    </row>
    <row r="68" spans="1:21" ht="19.5" hidden="1" customHeight="1">
      <c r="A68" s="27"/>
      <c r="B68" s="89" t="s">
        <v>49</v>
      </c>
      <c r="C68" s="90" t="s">
        <v>104</v>
      </c>
      <c r="D68" s="33" t="s">
        <v>53</v>
      </c>
      <c r="E68" s="72">
        <v>13287</v>
      </c>
      <c r="F68" s="31">
        <f>SUM(E68/1000)</f>
        <v>13.287000000000001</v>
      </c>
      <c r="G68" s="31">
        <v>216.68</v>
      </c>
      <c r="H68" s="63">
        <f t="shared" si="10"/>
        <v>2.8790271600000001</v>
      </c>
      <c r="I68" s="13">
        <v>0</v>
      </c>
    </row>
    <row r="69" spans="1:21" ht="15.75" hidden="1" customHeight="1">
      <c r="A69" s="27"/>
      <c r="B69" s="89" t="s">
        <v>50</v>
      </c>
      <c r="C69" s="90" t="s">
        <v>74</v>
      </c>
      <c r="D69" s="33" t="s">
        <v>53</v>
      </c>
      <c r="E69" s="72">
        <v>2110</v>
      </c>
      <c r="F69" s="31">
        <f>SUM(E69/100)</f>
        <v>21.1</v>
      </c>
      <c r="G69" s="31">
        <v>2720.94</v>
      </c>
      <c r="H69" s="63">
        <f>SUM(F69*G69/1000)</f>
        <v>57.411834000000006</v>
      </c>
      <c r="I69" s="13">
        <v>0</v>
      </c>
    </row>
    <row r="70" spans="1:21" ht="18" hidden="1" customHeight="1">
      <c r="A70" s="27"/>
      <c r="B70" s="92" t="s">
        <v>105</v>
      </c>
      <c r="C70" s="90" t="s">
        <v>32</v>
      </c>
      <c r="D70" s="33"/>
      <c r="E70" s="72">
        <v>8.6</v>
      </c>
      <c r="F70" s="31">
        <f>SUM(E70)</f>
        <v>8.6</v>
      </c>
      <c r="G70" s="31">
        <v>42.61</v>
      </c>
      <c r="H70" s="63">
        <f t="shared" si="10"/>
        <v>0.36644599999999999</v>
      </c>
      <c r="I70" s="13">
        <v>0</v>
      </c>
    </row>
    <row r="71" spans="1:21" ht="18.75" hidden="1" customHeight="1">
      <c r="A71" s="27"/>
      <c r="B71" s="92" t="s">
        <v>106</v>
      </c>
      <c r="C71" s="90" t="s">
        <v>32</v>
      </c>
      <c r="D71" s="33"/>
      <c r="E71" s="72">
        <v>8.6</v>
      </c>
      <c r="F71" s="31">
        <f>SUM(E71)</f>
        <v>8.6</v>
      </c>
      <c r="G71" s="31">
        <v>46.04</v>
      </c>
      <c r="H71" s="63">
        <f t="shared" si="10"/>
        <v>0.39594399999999996</v>
      </c>
      <c r="I71" s="13">
        <v>0</v>
      </c>
    </row>
    <row r="72" spans="1:21" ht="18.75" hidden="1" customHeight="1">
      <c r="A72" s="27"/>
      <c r="B72" s="33" t="s">
        <v>56</v>
      </c>
      <c r="C72" s="90" t="s">
        <v>57</v>
      </c>
      <c r="D72" s="33" t="s">
        <v>53</v>
      </c>
      <c r="E72" s="15">
        <v>3</v>
      </c>
      <c r="F72" s="31">
        <f>SUM(E72)</f>
        <v>3</v>
      </c>
      <c r="G72" s="31">
        <v>65.42</v>
      </c>
      <c r="H72" s="63">
        <f t="shared" si="10"/>
        <v>0.19625999999999999</v>
      </c>
      <c r="I72" s="13">
        <v>0</v>
      </c>
    </row>
    <row r="73" spans="1:21" ht="15.75" customHeight="1">
      <c r="A73" s="27"/>
      <c r="B73" s="104" t="s">
        <v>70</v>
      </c>
      <c r="C73" s="90"/>
      <c r="D73" s="33"/>
      <c r="E73" s="15"/>
      <c r="F73" s="31"/>
      <c r="G73" s="31"/>
      <c r="H73" s="63" t="s">
        <v>128</v>
      </c>
      <c r="I73" s="13"/>
    </row>
    <row r="74" spans="1:21" ht="31.5" hidden="1" customHeight="1">
      <c r="A74" s="27"/>
      <c r="B74" s="33" t="s">
        <v>143</v>
      </c>
      <c r="C74" s="90" t="s">
        <v>101</v>
      </c>
      <c r="D74" s="70" t="s">
        <v>65</v>
      </c>
      <c r="E74" s="15">
        <v>1</v>
      </c>
      <c r="F74" s="31">
        <v>1</v>
      </c>
      <c r="G74" s="31">
        <v>1543.4</v>
      </c>
      <c r="H74" s="63">
        <f t="shared" ref="H74:H76" si="11">SUM(F74*G74/1000)</f>
        <v>1.5434000000000001</v>
      </c>
      <c r="I74" s="13">
        <v>0</v>
      </c>
    </row>
    <row r="75" spans="1:21" ht="15.75" hidden="1" customHeight="1">
      <c r="A75" s="27">
        <v>17</v>
      </c>
      <c r="B75" s="33" t="s">
        <v>71</v>
      </c>
      <c r="C75" s="90" t="s">
        <v>72</v>
      </c>
      <c r="D75" s="70" t="s">
        <v>65</v>
      </c>
      <c r="E75" s="15">
        <v>3</v>
      </c>
      <c r="F75" s="31">
        <f>E75/10</f>
        <v>0.3</v>
      </c>
      <c r="G75" s="31">
        <v>657.87</v>
      </c>
      <c r="H75" s="63">
        <f t="shared" si="11"/>
        <v>0.19736099999999998</v>
      </c>
      <c r="I75" s="13">
        <f>G75*0.9</f>
        <v>592.08299999999997</v>
      </c>
    </row>
    <row r="76" spans="1:21" ht="15.75" hidden="1" customHeight="1">
      <c r="A76" s="27"/>
      <c r="B76" s="33" t="s">
        <v>144</v>
      </c>
      <c r="C76" s="90" t="s">
        <v>101</v>
      </c>
      <c r="D76" s="70" t="s">
        <v>65</v>
      </c>
      <c r="E76" s="15">
        <v>2</v>
      </c>
      <c r="F76" s="73">
        <f>SUM(E76)</f>
        <v>2</v>
      </c>
      <c r="G76" s="31">
        <v>1118.72</v>
      </c>
      <c r="H76" s="63">
        <f t="shared" si="11"/>
        <v>2.2374399999999999</v>
      </c>
      <c r="I76" s="13">
        <v>0</v>
      </c>
    </row>
    <row r="77" spans="1:21" ht="15.75" hidden="1" customHeight="1">
      <c r="A77" s="27"/>
      <c r="B77" s="44" t="s">
        <v>145</v>
      </c>
      <c r="C77" s="45" t="s">
        <v>101</v>
      </c>
      <c r="D77" s="70" t="s">
        <v>65</v>
      </c>
      <c r="E77" s="15">
        <v>1</v>
      </c>
      <c r="F77" s="88">
        <v>1</v>
      </c>
      <c r="G77" s="31">
        <v>1605.83</v>
      </c>
      <c r="H77" s="63">
        <f>SUM(F77*G77/1000)</f>
        <v>1.6058299999999999</v>
      </c>
      <c r="I77" s="13">
        <v>0</v>
      </c>
    </row>
    <row r="78" spans="1:21" ht="15.75" customHeight="1">
      <c r="A78" s="27">
        <v>17</v>
      </c>
      <c r="B78" s="44" t="s">
        <v>146</v>
      </c>
      <c r="C78" s="45" t="s">
        <v>101</v>
      </c>
      <c r="D78" s="33" t="s">
        <v>157</v>
      </c>
      <c r="E78" s="93">
        <v>2</v>
      </c>
      <c r="F78" s="87">
        <f>E78*12</f>
        <v>24</v>
      </c>
      <c r="G78" s="94">
        <v>53.42</v>
      </c>
      <c r="H78" s="63">
        <f t="shared" ref="H78:H79" si="12">SUM(F78*G78/1000)</f>
        <v>1.2820799999999999</v>
      </c>
      <c r="I78" s="13">
        <f t="shared" ref="I78:I81" si="13">F78/12*G78</f>
        <v>106.84</v>
      </c>
    </row>
    <row r="79" spans="1:21" ht="19.5" customHeight="1">
      <c r="A79" s="27">
        <v>18</v>
      </c>
      <c r="B79" s="52" t="s">
        <v>147</v>
      </c>
      <c r="C79" s="90"/>
      <c r="D79" s="33" t="s">
        <v>156</v>
      </c>
      <c r="E79" s="15">
        <v>1</v>
      </c>
      <c r="F79" s="31">
        <v>12</v>
      </c>
      <c r="G79" s="31">
        <v>1194</v>
      </c>
      <c r="H79" s="63">
        <f t="shared" si="12"/>
        <v>14.327999999999999</v>
      </c>
      <c r="I79" s="13">
        <f t="shared" si="13"/>
        <v>1194</v>
      </c>
    </row>
    <row r="80" spans="1:21" ht="15.75" customHeight="1">
      <c r="A80" s="27"/>
      <c r="B80" s="105" t="s">
        <v>148</v>
      </c>
      <c r="C80" s="45"/>
      <c r="D80" s="33"/>
      <c r="E80" s="15"/>
      <c r="F80" s="31"/>
      <c r="G80" s="31"/>
      <c r="H80" s="63"/>
      <c r="I80" s="13"/>
    </row>
    <row r="81" spans="1:9" ht="15.75" customHeight="1">
      <c r="A81" s="27">
        <v>19</v>
      </c>
      <c r="B81" s="33" t="s">
        <v>149</v>
      </c>
      <c r="C81" s="95" t="s">
        <v>150</v>
      </c>
      <c r="D81" s="70" t="s">
        <v>156</v>
      </c>
      <c r="E81" s="15">
        <v>2626.5</v>
      </c>
      <c r="F81" s="31">
        <f>SUM(E81*12)</f>
        <v>31518</v>
      </c>
      <c r="G81" s="31">
        <v>2.2799999999999998</v>
      </c>
      <c r="H81" s="63">
        <f t="shared" ref="H81" si="14">SUM(F81*G81/1000)</f>
        <v>71.861039999999988</v>
      </c>
      <c r="I81" s="13">
        <f t="shared" si="13"/>
        <v>5988.4199999999992</v>
      </c>
    </row>
    <row r="82" spans="1:9" ht="15.75" hidden="1" customHeight="1">
      <c r="A82" s="27"/>
      <c r="B82" s="106" t="s">
        <v>73</v>
      </c>
      <c r="C82" s="90"/>
      <c r="D82" s="33"/>
      <c r="E82" s="15"/>
      <c r="F82" s="31"/>
      <c r="G82" s="31" t="s">
        <v>128</v>
      </c>
      <c r="H82" s="63" t="s">
        <v>128</v>
      </c>
      <c r="I82" s="13"/>
    </row>
    <row r="83" spans="1:9" ht="15.75" hidden="1" customHeight="1">
      <c r="A83" s="27"/>
      <c r="B83" s="96" t="s">
        <v>120</v>
      </c>
      <c r="C83" s="91" t="s">
        <v>74</v>
      </c>
      <c r="D83" s="89"/>
      <c r="E83" s="97"/>
      <c r="F83" s="69">
        <v>0.5</v>
      </c>
      <c r="G83" s="69">
        <v>3619.09</v>
      </c>
      <c r="H83" s="63">
        <f t="shared" si="10"/>
        <v>1.8095450000000002</v>
      </c>
      <c r="I83" s="13"/>
    </row>
    <row r="84" spans="1:9" ht="15.75" customHeight="1">
      <c r="A84" s="27"/>
      <c r="B84" s="57" t="s">
        <v>88</v>
      </c>
      <c r="C84" s="13"/>
      <c r="D84" s="13"/>
      <c r="E84" s="13"/>
      <c r="F84" s="13"/>
      <c r="G84" s="13"/>
      <c r="H84" s="13"/>
      <c r="I84" s="13"/>
    </row>
    <row r="85" spans="1:9" ht="15.75" customHeight="1">
      <c r="A85" s="27">
        <v>20</v>
      </c>
      <c r="B85" s="70" t="s">
        <v>107</v>
      </c>
      <c r="C85" s="98"/>
      <c r="D85" s="99"/>
      <c r="E85" s="100"/>
      <c r="F85" s="32">
        <v>1</v>
      </c>
      <c r="G85" s="32">
        <v>243</v>
      </c>
      <c r="H85" s="63">
        <f>G85*F85/1000</f>
        <v>0.24299999999999999</v>
      </c>
      <c r="I85" s="13">
        <f>G85*1</f>
        <v>243</v>
      </c>
    </row>
    <row r="86" spans="1:9" ht="15" customHeight="1">
      <c r="A86" s="174" t="s">
        <v>124</v>
      </c>
      <c r="B86" s="175"/>
      <c r="C86" s="175"/>
      <c r="D86" s="175"/>
      <c r="E86" s="175"/>
      <c r="F86" s="175"/>
      <c r="G86" s="175"/>
      <c r="H86" s="175"/>
      <c r="I86" s="176"/>
    </row>
    <row r="87" spans="1:9" ht="15.75" customHeight="1">
      <c r="A87" s="27">
        <v>21</v>
      </c>
      <c r="B87" s="70" t="s">
        <v>108</v>
      </c>
      <c r="C87" s="90" t="s">
        <v>54</v>
      </c>
      <c r="D87" s="56"/>
      <c r="E87" s="31">
        <v>2626.5</v>
      </c>
      <c r="F87" s="31">
        <f>SUM(E87*12)</f>
        <v>31518</v>
      </c>
      <c r="G87" s="31">
        <v>3.1</v>
      </c>
      <c r="H87" s="63">
        <f>SUM(F87*G87/1000)</f>
        <v>97.705799999999996</v>
      </c>
      <c r="I87" s="13">
        <f t="shared" ref="I87:I88" si="15">F87/12*G87</f>
        <v>8142.1500000000005</v>
      </c>
    </row>
    <row r="88" spans="1:9" ht="31.5" customHeight="1">
      <c r="A88" s="27">
        <v>22</v>
      </c>
      <c r="B88" s="33" t="s">
        <v>75</v>
      </c>
      <c r="C88" s="90"/>
      <c r="D88" s="56"/>
      <c r="E88" s="72">
        <f>E87</f>
        <v>2626.5</v>
      </c>
      <c r="F88" s="31">
        <f>E88*12</f>
        <v>31518</v>
      </c>
      <c r="G88" s="31">
        <v>3.5</v>
      </c>
      <c r="H88" s="63">
        <f>F88*G88/1000</f>
        <v>110.313</v>
      </c>
      <c r="I88" s="13">
        <f t="shared" si="15"/>
        <v>9192.75</v>
      </c>
    </row>
    <row r="89" spans="1:9" ht="15.75" customHeight="1">
      <c r="A89" s="27"/>
      <c r="B89" s="34" t="s">
        <v>77</v>
      </c>
      <c r="C89" s="54"/>
      <c r="D89" s="53"/>
      <c r="E89" s="50"/>
      <c r="F89" s="50"/>
      <c r="G89" s="50"/>
      <c r="H89" s="55">
        <f>H79</f>
        <v>14.327999999999999</v>
      </c>
      <c r="I89" s="50">
        <f>I88+I87+I81+I79+I78+I63+I60+I59+I52+I45+I44+I43+I42+I40+I39+I38+I27+I20+I18+I17+I16+I85</f>
        <v>54091.301984999998</v>
      </c>
    </row>
    <row r="90" spans="1:9" ht="15.75" customHeight="1">
      <c r="A90" s="163" t="s">
        <v>59</v>
      </c>
      <c r="B90" s="164"/>
      <c r="C90" s="164"/>
      <c r="D90" s="164"/>
      <c r="E90" s="164"/>
      <c r="F90" s="164"/>
      <c r="G90" s="164"/>
      <c r="H90" s="164"/>
      <c r="I90" s="165"/>
    </row>
    <row r="91" spans="1:9" ht="31.5" customHeight="1">
      <c r="A91" s="27">
        <v>23</v>
      </c>
      <c r="B91" s="44" t="s">
        <v>222</v>
      </c>
      <c r="C91" s="45" t="s">
        <v>207</v>
      </c>
      <c r="D91" s="152" t="s">
        <v>225</v>
      </c>
      <c r="E91" s="31"/>
      <c r="F91" s="31">
        <v>1</v>
      </c>
      <c r="G91" s="31">
        <v>729.1</v>
      </c>
      <c r="H91" s="51"/>
      <c r="I91" s="13">
        <f>G91*1</f>
        <v>729.1</v>
      </c>
    </row>
    <row r="92" spans="1:9" ht="14.25" customHeight="1">
      <c r="A92" s="27">
        <v>24</v>
      </c>
      <c r="B92" s="44" t="s">
        <v>223</v>
      </c>
      <c r="C92" s="45" t="s">
        <v>130</v>
      </c>
      <c r="D92" s="152" t="s">
        <v>224</v>
      </c>
      <c r="E92" s="31"/>
      <c r="F92" s="31">
        <v>1</v>
      </c>
      <c r="G92" s="31">
        <v>468.32</v>
      </c>
      <c r="H92" s="51"/>
      <c r="I92" s="13">
        <f>G92*1</f>
        <v>468.32</v>
      </c>
    </row>
    <row r="93" spans="1:9" ht="18.75" customHeight="1">
      <c r="A93" s="27">
        <v>25</v>
      </c>
      <c r="B93" s="44" t="s">
        <v>206</v>
      </c>
      <c r="C93" s="45" t="s">
        <v>39</v>
      </c>
      <c r="D93" s="152" t="s">
        <v>157</v>
      </c>
      <c r="E93" s="31"/>
      <c r="F93" s="31">
        <v>0.01</v>
      </c>
      <c r="G93" s="31">
        <v>28224.75</v>
      </c>
      <c r="H93" s="51"/>
      <c r="I93" s="13">
        <v>0</v>
      </c>
    </row>
    <row r="94" spans="1:9" ht="18.75" customHeight="1">
      <c r="A94" s="27">
        <v>26</v>
      </c>
      <c r="B94" s="44" t="s">
        <v>226</v>
      </c>
      <c r="C94" s="45" t="s">
        <v>101</v>
      </c>
      <c r="D94" s="152"/>
      <c r="E94" s="31"/>
      <c r="F94" s="31">
        <v>1</v>
      </c>
      <c r="G94" s="31">
        <v>725.12</v>
      </c>
      <c r="H94" s="51"/>
      <c r="I94" s="13">
        <f>G94*1</f>
        <v>725.12</v>
      </c>
    </row>
    <row r="95" spans="1:9" ht="18.75" customHeight="1">
      <c r="A95" s="27">
        <v>27</v>
      </c>
      <c r="B95" s="44" t="s">
        <v>227</v>
      </c>
      <c r="C95" s="45" t="s">
        <v>101</v>
      </c>
      <c r="D95" s="152"/>
      <c r="E95" s="31"/>
      <c r="F95" s="31">
        <v>1</v>
      </c>
      <c r="G95" s="31">
        <v>1928.29</v>
      </c>
      <c r="H95" s="51"/>
      <c r="I95" s="13">
        <f>G95*1</f>
        <v>1928.29</v>
      </c>
    </row>
    <row r="96" spans="1:9" ht="29.25" customHeight="1">
      <c r="A96" s="27">
        <v>28</v>
      </c>
      <c r="B96" s="44" t="s">
        <v>182</v>
      </c>
      <c r="C96" s="45" t="s">
        <v>37</v>
      </c>
      <c r="D96" s="152" t="s">
        <v>157</v>
      </c>
      <c r="E96" s="31"/>
      <c r="F96" s="31">
        <v>0.01</v>
      </c>
      <c r="G96" s="31">
        <v>4233.72</v>
      </c>
      <c r="H96" s="51"/>
      <c r="I96" s="13">
        <v>0</v>
      </c>
    </row>
    <row r="97" spans="1:9" ht="16.5" customHeight="1">
      <c r="A97" s="27"/>
      <c r="B97" s="39" t="s">
        <v>51</v>
      </c>
      <c r="C97" s="35"/>
      <c r="D97" s="42"/>
      <c r="E97" s="35">
        <v>1</v>
      </c>
      <c r="F97" s="35"/>
      <c r="G97" s="35"/>
      <c r="H97" s="35"/>
      <c r="I97" s="29">
        <f>SUM(I91:I96)</f>
        <v>3850.83</v>
      </c>
    </row>
    <row r="98" spans="1:9" ht="15.75" customHeight="1">
      <c r="A98" s="27"/>
      <c r="B98" s="41" t="s">
        <v>76</v>
      </c>
      <c r="C98" s="14"/>
      <c r="D98" s="14"/>
      <c r="E98" s="36"/>
      <c r="F98" s="36"/>
      <c r="G98" s="37"/>
      <c r="H98" s="37"/>
      <c r="I98" s="15">
        <v>0</v>
      </c>
    </row>
    <row r="99" spans="1:9" ht="15.75" customHeight="1">
      <c r="A99" s="43"/>
      <c r="B99" s="40" t="s">
        <v>134</v>
      </c>
      <c r="C99" s="30"/>
      <c r="D99" s="30"/>
      <c r="E99" s="30"/>
      <c r="F99" s="30"/>
      <c r="G99" s="30"/>
      <c r="H99" s="30"/>
      <c r="I99" s="38">
        <f>I89+I97</f>
        <v>57942.131985</v>
      </c>
    </row>
    <row r="100" spans="1:9" ht="15.75" customHeight="1">
      <c r="A100" s="166" t="s">
        <v>228</v>
      </c>
      <c r="B100" s="166"/>
      <c r="C100" s="166"/>
      <c r="D100" s="166"/>
      <c r="E100" s="166"/>
      <c r="F100" s="166"/>
      <c r="G100" s="166"/>
      <c r="H100" s="166"/>
      <c r="I100" s="166"/>
    </row>
    <row r="101" spans="1:9" ht="15.75">
      <c r="A101" s="46"/>
      <c r="B101" s="167" t="s">
        <v>229</v>
      </c>
      <c r="C101" s="167"/>
      <c r="D101" s="167"/>
      <c r="E101" s="167"/>
      <c r="F101" s="167"/>
      <c r="G101" s="167"/>
      <c r="H101" s="49"/>
      <c r="I101" s="3"/>
    </row>
    <row r="102" spans="1:9">
      <c r="A102" s="64"/>
      <c r="B102" s="168" t="s">
        <v>6</v>
      </c>
      <c r="C102" s="168"/>
      <c r="D102" s="168"/>
      <c r="E102" s="168"/>
      <c r="F102" s="168"/>
      <c r="G102" s="168"/>
      <c r="H102" s="22"/>
      <c r="I102" s="5"/>
    </row>
    <row r="103" spans="1:9" ht="15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 customHeight="1">
      <c r="A104" s="169" t="s">
        <v>7</v>
      </c>
      <c r="B104" s="169"/>
      <c r="C104" s="169"/>
      <c r="D104" s="169"/>
      <c r="E104" s="169"/>
      <c r="F104" s="169"/>
      <c r="G104" s="169"/>
      <c r="H104" s="169"/>
      <c r="I104" s="169"/>
    </row>
    <row r="105" spans="1:9" ht="15.75">
      <c r="A105" s="169" t="s">
        <v>8</v>
      </c>
      <c r="B105" s="169"/>
      <c r="C105" s="169"/>
      <c r="D105" s="169"/>
      <c r="E105" s="169"/>
      <c r="F105" s="169"/>
      <c r="G105" s="169"/>
      <c r="H105" s="169"/>
      <c r="I105" s="169"/>
    </row>
    <row r="106" spans="1:9" ht="15.75">
      <c r="A106" s="170" t="s">
        <v>60</v>
      </c>
      <c r="B106" s="170"/>
      <c r="C106" s="170"/>
      <c r="D106" s="170"/>
      <c r="E106" s="170"/>
      <c r="F106" s="170"/>
      <c r="G106" s="170"/>
      <c r="H106" s="170"/>
      <c r="I106" s="170"/>
    </row>
    <row r="107" spans="1:9" ht="15.75">
      <c r="A107" s="177"/>
      <c r="B107" s="178"/>
    </row>
    <row r="108" spans="1:9" ht="15.75">
      <c r="A108" s="171" t="s">
        <v>9</v>
      </c>
      <c r="B108" s="171"/>
      <c r="C108" s="171"/>
      <c r="D108" s="171"/>
      <c r="E108" s="171"/>
      <c r="F108" s="171"/>
      <c r="G108" s="171"/>
      <c r="H108" s="171"/>
      <c r="I108" s="171"/>
    </row>
    <row r="109" spans="1:9" ht="15.75" customHeight="1">
      <c r="A109" s="4"/>
    </row>
    <row r="110" spans="1:9" ht="15.75">
      <c r="B110" s="66" t="s">
        <v>10</v>
      </c>
      <c r="C110" s="172" t="s">
        <v>217</v>
      </c>
      <c r="D110" s="172"/>
      <c r="E110" s="172"/>
      <c r="F110" s="47"/>
      <c r="I110" s="67"/>
    </row>
    <row r="111" spans="1:9">
      <c r="A111" s="64"/>
      <c r="C111" s="168" t="s">
        <v>11</v>
      </c>
      <c r="D111" s="168"/>
      <c r="E111" s="168"/>
      <c r="F111" s="22"/>
      <c r="I111" s="65" t="s">
        <v>12</v>
      </c>
    </row>
    <row r="112" spans="1:9" ht="15.75" customHeight="1">
      <c r="A112" s="23"/>
      <c r="C112" s="12"/>
      <c r="D112" s="12"/>
      <c r="G112" s="12"/>
      <c r="H112" s="12"/>
    </row>
    <row r="113" spans="1:9" ht="15.75" customHeight="1">
      <c r="B113" s="66" t="s">
        <v>13</v>
      </c>
      <c r="C113" s="173"/>
      <c r="D113" s="173"/>
      <c r="E113" s="173"/>
      <c r="F113" s="48"/>
      <c r="I113" s="67"/>
    </row>
    <row r="114" spans="1:9" ht="15.75" customHeight="1">
      <c r="A114" s="64"/>
      <c r="C114" s="162" t="s">
        <v>11</v>
      </c>
      <c r="D114" s="162"/>
      <c r="E114" s="162"/>
      <c r="F114" s="64"/>
      <c r="I114" s="65" t="s">
        <v>12</v>
      </c>
    </row>
    <row r="115" spans="1:9" ht="15.75">
      <c r="A115" s="4" t="s">
        <v>14</v>
      </c>
    </row>
    <row r="116" spans="1:9">
      <c r="A116" s="189" t="s">
        <v>15</v>
      </c>
      <c r="B116" s="189"/>
      <c r="C116" s="189"/>
      <c r="D116" s="189"/>
      <c r="E116" s="189"/>
      <c r="F116" s="189"/>
      <c r="G116" s="189"/>
      <c r="H116" s="189"/>
      <c r="I116" s="189"/>
    </row>
    <row r="117" spans="1:9" ht="45" customHeight="1">
      <c r="A117" s="190" t="s">
        <v>16</v>
      </c>
      <c r="B117" s="190"/>
      <c r="C117" s="190"/>
      <c r="D117" s="190"/>
      <c r="E117" s="190"/>
      <c r="F117" s="190"/>
      <c r="G117" s="190"/>
      <c r="H117" s="190"/>
      <c r="I117" s="190"/>
    </row>
    <row r="118" spans="1:9" ht="30" customHeight="1">
      <c r="A118" s="190" t="s">
        <v>17</v>
      </c>
      <c r="B118" s="190"/>
      <c r="C118" s="190"/>
      <c r="D118" s="190"/>
      <c r="E118" s="190"/>
      <c r="F118" s="190"/>
      <c r="G118" s="190"/>
      <c r="H118" s="190"/>
      <c r="I118" s="190"/>
    </row>
    <row r="119" spans="1:9" ht="30" customHeight="1">
      <c r="A119" s="190" t="s">
        <v>21</v>
      </c>
      <c r="B119" s="190"/>
      <c r="C119" s="190"/>
      <c r="D119" s="190"/>
      <c r="E119" s="190"/>
      <c r="F119" s="190"/>
      <c r="G119" s="190"/>
      <c r="H119" s="190"/>
      <c r="I119" s="190"/>
    </row>
    <row r="120" spans="1:9" ht="15" customHeight="1">
      <c r="A120" s="190" t="s">
        <v>20</v>
      </c>
      <c r="B120" s="190"/>
      <c r="C120" s="190"/>
      <c r="D120" s="190"/>
      <c r="E120" s="190"/>
      <c r="F120" s="190"/>
      <c r="G120" s="190"/>
      <c r="H120" s="190"/>
      <c r="I120" s="190"/>
    </row>
  </sheetData>
  <autoFilter ref="I12:I58"/>
  <mergeCells count="30">
    <mergeCell ref="A116:I116"/>
    <mergeCell ref="A117:I117"/>
    <mergeCell ref="A118:I118"/>
    <mergeCell ref="A119:I119"/>
    <mergeCell ref="A120:I120"/>
    <mergeCell ref="A14:I14"/>
    <mergeCell ref="A15:I15"/>
    <mergeCell ref="A28:I28"/>
    <mergeCell ref="A46:I46"/>
    <mergeCell ref="A57:I57"/>
    <mergeCell ref="A3:I3"/>
    <mergeCell ref="A4:I4"/>
    <mergeCell ref="A5:I5"/>
    <mergeCell ref="A8:I8"/>
    <mergeCell ref="A10:I10"/>
    <mergeCell ref="R64:U64"/>
    <mergeCell ref="C114:E114"/>
    <mergeCell ref="A90:I90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86:I86"/>
    <mergeCell ref="A107:B107"/>
  </mergeCells>
  <pageMargins left="0.70866141732283472" right="0" top="0.27559055118110237" bottom="0.27559055118110237" header="0.31496062992125984" footer="0.31496062992125984"/>
  <pageSetup paperSize="9" scale="57" orientation="portrait" r:id="rId1"/>
  <rowBreaks count="2" manualBreakCount="2">
    <brk id="114" max="8" man="1"/>
    <brk id="121" max="8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115"/>
  <sheetViews>
    <sheetView topLeftCell="A56" workbookViewId="0">
      <selection activeCell="A95" sqref="A95:I95"/>
    </sheetView>
  </sheetViews>
  <sheetFormatPr defaultRowHeight="15"/>
  <cols>
    <col min="1" max="1" width="11.140625" customWidth="1"/>
    <col min="2" max="2" width="55" customWidth="1"/>
    <col min="3" max="3" width="18.85546875" customWidth="1"/>
    <col min="4" max="4" width="21.28515625" customWidth="1"/>
    <col min="5" max="6" width="0" hidden="1" customWidth="1"/>
    <col min="7" max="7" width="17.5703125" customWidth="1"/>
    <col min="8" max="8" width="0" hidden="1" customWidth="1"/>
    <col min="9" max="9" width="17.5703125" customWidth="1"/>
  </cols>
  <sheetData>
    <row r="1" spans="1:9" ht="15.75">
      <c r="A1" s="25" t="s">
        <v>170</v>
      </c>
      <c r="I1" s="24"/>
    </row>
    <row r="2" spans="1:9" ht="15.75">
      <c r="A2" s="26" t="s">
        <v>61</v>
      </c>
    </row>
    <row r="3" spans="1:9" ht="15.75">
      <c r="A3" s="179" t="s">
        <v>177</v>
      </c>
      <c r="B3" s="179"/>
      <c r="C3" s="179"/>
      <c r="D3" s="179"/>
      <c r="E3" s="179"/>
      <c r="F3" s="179"/>
      <c r="G3" s="179"/>
      <c r="H3" s="179"/>
      <c r="I3" s="179"/>
    </row>
    <row r="4" spans="1:9" ht="31.5" customHeight="1">
      <c r="A4" s="180" t="s">
        <v>121</v>
      </c>
      <c r="B4" s="180"/>
      <c r="C4" s="180"/>
      <c r="D4" s="180"/>
      <c r="E4" s="180"/>
      <c r="F4" s="180"/>
      <c r="G4" s="180"/>
      <c r="H4" s="180"/>
      <c r="I4" s="180"/>
    </row>
    <row r="5" spans="1:9" ht="15.75">
      <c r="A5" s="179" t="s">
        <v>299</v>
      </c>
      <c r="B5" s="181"/>
      <c r="C5" s="181"/>
      <c r="D5" s="181"/>
      <c r="E5" s="181"/>
      <c r="F5" s="181"/>
      <c r="G5" s="181"/>
      <c r="H5" s="181"/>
      <c r="I5" s="181"/>
    </row>
    <row r="6" spans="1:9" ht="15.75">
      <c r="A6" s="2"/>
      <c r="B6" s="149"/>
      <c r="C6" s="149"/>
      <c r="D6" s="149"/>
      <c r="E6" s="149"/>
      <c r="F6" s="149"/>
      <c r="G6" s="149"/>
      <c r="H6" s="149"/>
      <c r="I6" s="118">
        <v>44500</v>
      </c>
    </row>
    <row r="7" spans="1:9" ht="15.75">
      <c r="B7" s="147"/>
      <c r="C7" s="147"/>
      <c r="D7" s="147"/>
      <c r="E7" s="3"/>
      <c r="F7" s="3"/>
      <c r="G7" s="3"/>
      <c r="H7" s="3"/>
    </row>
    <row r="8" spans="1:9" ht="87" customHeight="1">
      <c r="A8" s="182" t="s">
        <v>215</v>
      </c>
      <c r="B8" s="182"/>
      <c r="C8" s="182"/>
      <c r="D8" s="182"/>
      <c r="E8" s="182"/>
      <c r="F8" s="182"/>
      <c r="G8" s="182"/>
      <c r="H8" s="182"/>
      <c r="I8" s="182"/>
    </row>
    <row r="9" spans="1:9" ht="15.75">
      <c r="A9" s="4"/>
    </row>
    <row r="10" spans="1:9" ht="63.75" customHeight="1">
      <c r="A10" s="183" t="s">
        <v>133</v>
      </c>
      <c r="B10" s="183"/>
      <c r="C10" s="183"/>
      <c r="D10" s="183"/>
      <c r="E10" s="183"/>
      <c r="F10" s="183"/>
      <c r="G10" s="183"/>
      <c r="H10" s="183"/>
      <c r="I10" s="183"/>
    </row>
    <row r="11" spans="1:9" ht="15.75">
      <c r="A11" s="4"/>
    </row>
    <row r="12" spans="1:9" ht="60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84" t="s">
        <v>58</v>
      </c>
      <c r="B14" s="184"/>
      <c r="C14" s="184"/>
      <c r="D14" s="184"/>
      <c r="E14" s="184"/>
      <c r="F14" s="184"/>
      <c r="G14" s="184"/>
      <c r="H14" s="184"/>
      <c r="I14" s="184"/>
    </row>
    <row r="15" spans="1:9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</row>
    <row r="16" spans="1:9" ht="19.5" customHeight="1">
      <c r="A16" s="27">
        <v>1</v>
      </c>
      <c r="B16" s="70" t="s">
        <v>183</v>
      </c>
      <c r="C16" s="71" t="s">
        <v>82</v>
      </c>
      <c r="D16" s="70" t="s">
        <v>164</v>
      </c>
      <c r="E16" s="72">
        <v>49.72</v>
      </c>
      <c r="F16" s="73">
        <f>SUM(E16*156/100)</f>
        <v>77.563199999999995</v>
      </c>
      <c r="G16" s="73">
        <v>230</v>
      </c>
      <c r="H16" s="74">
        <f t="shared" ref="H16:H25" si="0">SUM(F16*G16/1000)</f>
        <v>17.839535999999999</v>
      </c>
      <c r="I16" s="13">
        <f>F16/12*G16</f>
        <v>1486.6279999999999</v>
      </c>
    </row>
    <row r="17" spans="1:9" ht="15" customHeight="1">
      <c r="A17" s="27">
        <v>2</v>
      </c>
      <c r="B17" s="70" t="s">
        <v>109</v>
      </c>
      <c r="C17" s="71" t="s">
        <v>82</v>
      </c>
      <c r="D17" s="70" t="s">
        <v>186</v>
      </c>
      <c r="E17" s="72">
        <v>198.88</v>
      </c>
      <c r="F17" s="73">
        <f>SUM(E17*104/100)</f>
        <v>206.83520000000001</v>
      </c>
      <c r="G17" s="73">
        <v>230</v>
      </c>
      <c r="H17" s="74">
        <f t="shared" si="0"/>
        <v>47.572096000000002</v>
      </c>
      <c r="I17" s="13">
        <f>G17*F17/12</f>
        <v>3964.3413333333338</v>
      </c>
    </row>
    <row r="18" spans="1:9" ht="16.5" customHeight="1">
      <c r="A18" s="27">
        <v>3</v>
      </c>
      <c r="B18" s="70" t="s">
        <v>110</v>
      </c>
      <c r="C18" s="71" t="s">
        <v>82</v>
      </c>
      <c r="D18" s="70" t="s">
        <v>158</v>
      </c>
      <c r="E18" s="72">
        <v>248.6</v>
      </c>
      <c r="F18" s="73">
        <f>SUM(E18*24/100)</f>
        <v>59.663999999999994</v>
      </c>
      <c r="G18" s="73">
        <v>661.67</v>
      </c>
      <c r="H18" s="74">
        <f t="shared" si="0"/>
        <v>39.477878879999999</v>
      </c>
      <c r="I18" s="13">
        <f>F18/12*G18</f>
        <v>3289.8232399999993</v>
      </c>
    </row>
    <row r="19" spans="1:9" hidden="1">
      <c r="A19" s="27">
        <v>4</v>
      </c>
      <c r="B19" s="70" t="s">
        <v>89</v>
      </c>
      <c r="C19" s="71" t="s">
        <v>90</v>
      </c>
      <c r="D19" s="70" t="s">
        <v>91</v>
      </c>
      <c r="E19" s="72">
        <v>18.48</v>
      </c>
      <c r="F19" s="73">
        <f>SUM(E19/10)</f>
        <v>1.8480000000000001</v>
      </c>
      <c r="G19" s="73">
        <v>223.17</v>
      </c>
      <c r="H19" s="74">
        <f t="shared" si="0"/>
        <v>0.41241815999999998</v>
      </c>
      <c r="I19" s="13">
        <f>1.848*G19</f>
        <v>412.41816</v>
      </c>
    </row>
    <row r="20" spans="1:9" ht="16.5" customHeight="1">
      <c r="A20" s="27">
        <v>4</v>
      </c>
      <c r="B20" s="70" t="s">
        <v>92</v>
      </c>
      <c r="C20" s="71" t="s">
        <v>82</v>
      </c>
      <c r="D20" s="70" t="s">
        <v>162</v>
      </c>
      <c r="E20" s="72">
        <v>10.5</v>
      </c>
      <c r="F20" s="73">
        <f>SUM(E20*12/100)</f>
        <v>1.26</v>
      </c>
      <c r="G20" s="73">
        <v>285.76</v>
      </c>
      <c r="H20" s="74">
        <f t="shared" si="0"/>
        <v>0.36005759999999998</v>
      </c>
      <c r="I20" s="13">
        <f>F20/12*G20</f>
        <v>30.004799999999999</v>
      </c>
    </row>
    <row r="21" spans="1:9" hidden="1">
      <c r="A21" s="27">
        <v>5</v>
      </c>
      <c r="B21" s="70" t="s">
        <v>93</v>
      </c>
      <c r="C21" s="71" t="s">
        <v>82</v>
      </c>
      <c r="D21" s="70" t="s">
        <v>41</v>
      </c>
      <c r="E21" s="72">
        <v>3</v>
      </c>
      <c r="F21" s="73">
        <f>SUM(E21*2/100)</f>
        <v>0.06</v>
      </c>
      <c r="G21" s="73">
        <v>283.44</v>
      </c>
      <c r="H21" s="74">
        <f t="shared" si="0"/>
        <v>1.7006399999999998E-2</v>
      </c>
      <c r="I21" s="13">
        <f>0.03*G21</f>
        <v>8.5031999999999996</v>
      </c>
    </row>
    <row r="22" spans="1:9" hidden="1">
      <c r="A22" s="27">
        <v>7</v>
      </c>
      <c r="B22" s="70" t="s">
        <v>94</v>
      </c>
      <c r="C22" s="71" t="s">
        <v>52</v>
      </c>
      <c r="D22" s="70" t="s">
        <v>91</v>
      </c>
      <c r="E22" s="72">
        <v>267.75</v>
      </c>
      <c r="F22" s="73">
        <f>SUM(E22/100)</f>
        <v>2.6775000000000002</v>
      </c>
      <c r="G22" s="73">
        <v>353.14</v>
      </c>
      <c r="H22" s="74">
        <f t="shared" si="0"/>
        <v>0.94553235000000002</v>
      </c>
      <c r="I22" s="13">
        <f>2.6775*G22</f>
        <v>945.53235000000006</v>
      </c>
    </row>
    <row r="23" spans="1:9" hidden="1">
      <c r="A23" s="27">
        <v>8</v>
      </c>
      <c r="B23" s="70" t="s">
        <v>95</v>
      </c>
      <c r="C23" s="71" t="s">
        <v>52</v>
      </c>
      <c r="D23" s="70" t="s">
        <v>91</v>
      </c>
      <c r="E23" s="75">
        <v>36.229999999999997</v>
      </c>
      <c r="F23" s="73">
        <f>SUM(E23/100)</f>
        <v>0.36229999999999996</v>
      </c>
      <c r="G23" s="73">
        <v>58.08</v>
      </c>
      <c r="H23" s="74">
        <f t="shared" si="0"/>
        <v>2.1042383999999997E-2</v>
      </c>
      <c r="I23" s="13">
        <f>0.3623*G23</f>
        <v>21.042383999999998</v>
      </c>
    </row>
    <row r="24" spans="1:9" hidden="1">
      <c r="A24" s="27">
        <v>9</v>
      </c>
      <c r="B24" s="70" t="s">
        <v>96</v>
      </c>
      <c r="C24" s="71" t="s">
        <v>52</v>
      </c>
      <c r="D24" s="70" t="s">
        <v>53</v>
      </c>
      <c r="E24" s="72">
        <v>15</v>
      </c>
      <c r="F24" s="73">
        <f>SUM(E24/100)</f>
        <v>0.15</v>
      </c>
      <c r="G24" s="73">
        <v>511.12</v>
      </c>
      <c r="H24" s="74">
        <f t="shared" si="0"/>
        <v>7.6667999999999986E-2</v>
      </c>
      <c r="I24" s="13">
        <f>0.15*G24</f>
        <v>76.667999999999992</v>
      </c>
    </row>
    <row r="25" spans="1:9" hidden="1">
      <c r="A25" s="27">
        <v>10</v>
      </c>
      <c r="B25" s="70" t="s">
        <v>97</v>
      </c>
      <c r="C25" s="71" t="s">
        <v>52</v>
      </c>
      <c r="D25" s="70" t="s">
        <v>53</v>
      </c>
      <c r="E25" s="72">
        <v>6.38</v>
      </c>
      <c r="F25" s="73">
        <f>SUM(E25/100)</f>
        <v>6.3799999999999996E-2</v>
      </c>
      <c r="G25" s="73">
        <v>683.05</v>
      </c>
      <c r="H25" s="74">
        <f t="shared" si="0"/>
        <v>4.3578589999999993E-2</v>
      </c>
      <c r="I25" s="13">
        <f>0.0638*G25</f>
        <v>43.578589999999991</v>
      </c>
    </row>
    <row r="26" spans="1:9" ht="30" hidden="1">
      <c r="A26" s="27">
        <v>11</v>
      </c>
      <c r="B26" s="70" t="s">
        <v>116</v>
      </c>
      <c r="C26" s="71" t="s">
        <v>52</v>
      </c>
      <c r="D26" s="70" t="s">
        <v>53</v>
      </c>
      <c r="E26" s="72">
        <v>14.25</v>
      </c>
      <c r="F26" s="73">
        <v>0.14000000000000001</v>
      </c>
      <c r="G26" s="73">
        <v>283.44</v>
      </c>
      <c r="H26" s="74">
        <f>G26*F26/1000</f>
        <v>3.9681600000000004E-2</v>
      </c>
      <c r="I26" s="13">
        <f>0.14*G26</f>
        <v>39.681600000000003</v>
      </c>
    </row>
    <row r="27" spans="1:9" ht="18" hidden="1" customHeight="1">
      <c r="A27" s="27">
        <v>5</v>
      </c>
      <c r="B27" s="70" t="s">
        <v>195</v>
      </c>
      <c r="C27" s="71" t="s">
        <v>25</v>
      </c>
      <c r="D27" s="70" t="s">
        <v>202</v>
      </c>
      <c r="E27" s="77">
        <v>4.37</v>
      </c>
      <c r="F27" s="73">
        <f>E27*258</f>
        <v>1127.46</v>
      </c>
      <c r="G27" s="73">
        <v>10.39</v>
      </c>
      <c r="H27" s="74">
        <f>SUM(F27*G27/1000)</f>
        <v>11.714309400000001</v>
      </c>
      <c r="I27" s="13">
        <f>G27*F27/12</f>
        <v>976.19245000000012</v>
      </c>
    </row>
    <row r="28" spans="1:9">
      <c r="A28" s="185" t="s">
        <v>80</v>
      </c>
      <c r="B28" s="185"/>
      <c r="C28" s="185"/>
      <c r="D28" s="185"/>
      <c r="E28" s="185"/>
      <c r="F28" s="185"/>
      <c r="G28" s="185"/>
      <c r="H28" s="185"/>
      <c r="I28" s="185"/>
    </row>
    <row r="29" spans="1:9" ht="17.25" customHeight="1">
      <c r="A29" s="27"/>
      <c r="B29" s="101" t="s">
        <v>28</v>
      </c>
      <c r="C29" s="71"/>
      <c r="D29" s="70"/>
      <c r="E29" s="72"/>
      <c r="F29" s="73"/>
      <c r="G29" s="73"/>
      <c r="H29" s="74"/>
      <c r="I29" s="13"/>
    </row>
    <row r="30" spans="1:9" ht="16.5" customHeight="1">
      <c r="A30" s="27">
        <v>5</v>
      </c>
      <c r="B30" s="70" t="s">
        <v>99</v>
      </c>
      <c r="C30" s="71" t="s">
        <v>84</v>
      </c>
      <c r="D30" s="70" t="s">
        <v>186</v>
      </c>
      <c r="E30" s="73">
        <v>665</v>
      </c>
      <c r="F30" s="73">
        <f>SUM(E30*52/1000)</f>
        <v>34.58</v>
      </c>
      <c r="G30" s="73">
        <v>204.44</v>
      </c>
      <c r="H30" s="74">
        <f t="shared" ref="H30:H32" si="1">SUM(F30*G30/1000)</f>
        <v>7.0695351999999989</v>
      </c>
      <c r="I30" s="13">
        <f t="shared" ref="I30:I31" si="2">F30/6*G30</f>
        <v>1178.2558666666666</v>
      </c>
    </row>
    <row r="31" spans="1:9" ht="50.25" customHeight="1">
      <c r="A31" s="27">
        <v>6</v>
      </c>
      <c r="B31" s="70" t="s">
        <v>112</v>
      </c>
      <c r="C31" s="71" t="s">
        <v>84</v>
      </c>
      <c r="D31" s="70" t="s">
        <v>164</v>
      </c>
      <c r="E31" s="73">
        <v>81.5</v>
      </c>
      <c r="F31" s="73">
        <f>SUM(E31*78/1000)</f>
        <v>6.3570000000000002</v>
      </c>
      <c r="G31" s="73">
        <v>339.21</v>
      </c>
      <c r="H31" s="74">
        <f t="shared" si="1"/>
        <v>2.1563579700000002</v>
      </c>
      <c r="I31" s="13">
        <f t="shared" si="2"/>
        <v>359.39299500000004</v>
      </c>
    </row>
    <row r="32" spans="1:9" ht="17.25" hidden="1" customHeight="1">
      <c r="A32" s="27">
        <v>9</v>
      </c>
      <c r="B32" s="70" t="s">
        <v>27</v>
      </c>
      <c r="C32" s="71" t="s">
        <v>84</v>
      </c>
      <c r="D32" s="70" t="s">
        <v>157</v>
      </c>
      <c r="E32" s="73">
        <v>665</v>
      </c>
      <c r="F32" s="73">
        <f>SUM(E32/1000)</f>
        <v>0.66500000000000004</v>
      </c>
      <c r="G32" s="73">
        <v>3961.23</v>
      </c>
      <c r="H32" s="74">
        <f t="shared" si="1"/>
        <v>2.63421795</v>
      </c>
      <c r="I32" s="13">
        <f>F32*G32</f>
        <v>2634.2179500000002</v>
      </c>
    </row>
    <row r="33" spans="1:9" ht="18" customHeight="1">
      <c r="A33" s="27">
        <v>7</v>
      </c>
      <c r="B33" s="70" t="s">
        <v>111</v>
      </c>
      <c r="C33" s="71" t="s">
        <v>39</v>
      </c>
      <c r="D33" s="70" t="s">
        <v>190</v>
      </c>
      <c r="E33" s="73">
        <v>3</v>
      </c>
      <c r="F33" s="73">
        <f>E33*155/100</f>
        <v>4.6500000000000004</v>
      </c>
      <c r="G33" s="73">
        <v>1707.63</v>
      </c>
      <c r="H33" s="74">
        <f>G33*F33/1000</f>
        <v>7.9404795000000012</v>
      </c>
      <c r="I33" s="13">
        <f>F33/6*G33</f>
        <v>1323.4132500000001</v>
      </c>
    </row>
    <row r="34" spans="1:9" hidden="1">
      <c r="A34" s="27"/>
      <c r="B34" s="70" t="s">
        <v>63</v>
      </c>
      <c r="C34" s="71" t="s">
        <v>32</v>
      </c>
      <c r="D34" s="70" t="s">
        <v>65</v>
      </c>
      <c r="E34" s="72"/>
      <c r="F34" s="73">
        <v>1</v>
      </c>
      <c r="G34" s="73">
        <v>250.92</v>
      </c>
      <c r="H34" s="74">
        <f t="shared" ref="H34:H35" si="3">SUM(F34*G34/1000)</f>
        <v>0.25091999999999998</v>
      </c>
      <c r="I34" s="13">
        <v>0</v>
      </c>
    </row>
    <row r="35" spans="1:9" hidden="1">
      <c r="A35" s="27"/>
      <c r="B35" s="70" t="s">
        <v>64</v>
      </c>
      <c r="C35" s="71" t="s">
        <v>31</v>
      </c>
      <c r="D35" s="70" t="s">
        <v>65</v>
      </c>
      <c r="E35" s="72"/>
      <c r="F35" s="73">
        <v>1</v>
      </c>
      <c r="G35" s="73">
        <v>1490.31</v>
      </c>
      <c r="H35" s="74">
        <f t="shared" si="3"/>
        <v>1.49031</v>
      </c>
      <c r="I35" s="13">
        <v>0</v>
      </c>
    </row>
    <row r="36" spans="1:9" hidden="1">
      <c r="A36" s="27"/>
      <c r="B36" s="101" t="s">
        <v>5</v>
      </c>
      <c r="C36" s="71"/>
      <c r="D36" s="70"/>
      <c r="E36" s="72"/>
      <c r="F36" s="73"/>
      <c r="G36" s="73"/>
      <c r="H36" s="74" t="s">
        <v>128</v>
      </c>
      <c r="I36" s="13"/>
    </row>
    <row r="37" spans="1:9" hidden="1">
      <c r="A37" s="27">
        <v>7</v>
      </c>
      <c r="B37" s="79" t="s">
        <v>26</v>
      </c>
      <c r="C37" s="71" t="s">
        <v>31</v>
      </c>
      <c r="D37" s="70"/>
      <c r="E37" s="72"/>
      <c r="F37" s="73">
        <v>5</v>
      </c>
      <c r="G37" s="73">
        <v>2003</v>
      </c>
      <c r="H37" s="74">
        <f t="shared" ref="H37:H44" si="4">SUM(F37*G37/1000)</f>
        <v>10.015000000000001</v>
      </c>
      <c r="I37" s="13">
        <f t="shared" ref="I37:I41" si="5">F37/6*G37</f>
        <v>1669.1666666666667</v>
      </c>
    </row>
    <row r="38" spans="1:9" ht="30" hidden="1">
      <c r="A38" s="27">
        <v>8</v>
      </c>
      <c r="B38" s="79" t="s">
        <v>100</v>
      </c>
      <c r="C38" s="80" t="s">
        <v>29</v>
      </c>
      <c r="D38" s="70" t="s">
        <v>117</v>
      </c>
      <c r="E38" s="72">
        <v>81.5</v>
      </c>
      <c r="F38" s="81">
        <f>E38*30/1000</f>
        <v>2.4449999999999998</v>
      </c>
      <c r="G38" s="73">
        <v>2757.78</v>
      </c>
      <c r="H38" s="74">
        <f t="shared" si="4"/>
        <v>6.7427720999999998</v>
      </c>
      <c r="I38" s="13">
        <f t="shared" si="5"/>
        <v>1123.7953500000001</v>
      </c>
    </row>
    <row r="39" spans="1:9" ht="30" hidden="1">
      <c r="A39" s="27">
        <v>9</v>
      </c>
      <c r="B39" s="70" t="s">
        <v>66</v>
      </c>
      <c r="C39" s="71" t="s">
        <v>29</v>
      </c>
      <c r="D39" s="70" t="s">
        <v>83</v>
      </c>
      <c r="E39" s="73">
        <v>81.5</v>
      </c>
      <c r="F39" s="81">
        <f>SUM(E39*155/1000)</f>
        <v>12.6325</v>
      </c>
      <c r="G39" s="73">
        <v>460.02</v>
      </c>
      <c r="H39" s="74">
        <f t="shared" si="4"/>
        <v>5.8112026500000002</v>
      </c>
      <c r="I39" s="13">
        <f t="shared" si="5"/>
        <v>968.53377499999999</v>
      </c>
    </row>
    <row r="40" spans="1:9" hidden="1">
      <c r="A40" s="27"/>
      <c r="B40" s="70" t="s">
        <v>113</v>
      </c>
      <c r="C40" s="71" t="s">
        <v>114</v>
      </c>
      <c r="D40" s="70" t="s">
        <v>65</v>
      </c>
      <c r="E40" s="72"/>
      <c r="F40" s="81">
        <v>26</v>
      </c>
      <c r="G40" s="73">
        <v>314</v>
      </c>
      <c r="H40" s="74">
        <f t="shared" si="4"/>
        <v>8.1639999999999997</v>
      </c>
      <c r="I40" s="13">
        <v>0</v>
      </c>
    </row>
    <row r="41" spans="1:9" ht="60" hidden="1">
      <c r="A41" s="27">
        <v>10</v>
      </c>
      <c r="B41" s="70" t="s">
        <v>78</v>
      </c>
      <c r="C41" s="71" t="s">
        <v>84</v>
      </c>
      <c r="D41" s="70" t="s">
        <v>118</v>
      </c>
      <c r="E41" s="73">
        <v>81.5</v>
      </c>
      <c r="F41" s="81">
        <f>SUM(E41*35/1000)</f>
        <v>2.8525</v>
      </c>
      <c r="G41" s="73">
        <v>7611.16</v>
      </c>
      <c r="H41" s="74">
        <f t="shared" si="4"/>
        <v>21.710833900000001</v>
      </c>
      <c r="I41" s="13">
        <f t="shared" si="5"/>
        <v>3618.4723166666663</v>
      </c>
    </row>
    <row r="42" spans="1:9" hidden="1">
      <c r="A42" s="27">
        <v>11</v>
      </c>
      <c r="B42" s="70" t="s">
        <v>85</v>
      </c>
      <c r="C42" s="71" t="s">
        <v>84</v>
      </c>
      <c r="D42" s="70" t="s">
        <v>67</v>
      </c>
      <c r="E42" s="73">
        <v>81.5</v>
      </c>
      <c r="F42" s="81">
        <f>SUM(E42*45/1000)</f>
        <v>3.6675</v>
      </c>
      <c r="G42" s="73">
        <v>562.25</v>
      </c>
      <c r="H42" s="74">
        <f t="shared" si="4"/>
        <v>2.0620518750000003</v>
      </c>
      <c r="I42" s="13">
        <f>(F42/7.5*1.5)*G42</f>
        <v>412.41037500000004</v>
      </c>
    </row>
    <row r="43" spans="1:9" hidden="1">
      <c r="A43" s="27">
        <v>12</v>
      </c>
      <c r="B43" s="79" t="s">
        <v>68</v>
      </c>
      <c r="C43" s="80" t="s">
        <v>32</v>
      </c>
      <c r="D43" s="79"/>
      <c r="E43" s="77"/>
      <c r="F43" s="81">
        <v>0.9</v>
      </c>
      <c r="G43" s="81">
        <v>974.83</v>
      </c>
      <c r="H43" s="74">
        <f t="shared" si="4"/>
        <v>0.8773470000000001</v>
      </c>
      <c r="I43" s="13">
        <f>(F43/7.5*1.5)*G43</f>
        <v>175.46940000000004</v>
      </c>
    </row>
    <row r="44" spans="1:9" ht="30" hidden="1">
      <c r="A44" s="27">
        <v>9</v>
      </c>
      <c r="B44" s="44" t="s">
        <v>139</v>
      </c>
      <c r="C44" s="45" t="s">
        <v>29</v>
      </c>
      <c r="D44" s="79" t="s">
        <v>157</v>
      </c>
      <c r="E44" s="77">
        <v>2.4</v>
      </c>
      <c r="F44" s="81">
        <f>SUM(E44*12/1000)</f>
        <v>2.8799999999999996E-2</v>
      </c>
      <c r="G44" s="81">
        <v>260.2</v>
      </c>
      <c r="H44" s="74">
        <f t="shared" si="4"/>
        <v>7.4937599999999986E-3</v>
      </c>
      <c r="I44" s="13">
        <f>G44*2.4/1000</f>
        <v>0.62447999999999992</v>
      </c>
    </row>
    <row r="45" spans="1:9" hidden="1">
      <c r="A45" s="186" t="s">
        <v>122</v>
      </c>
      <c r="B45" s="187"/>
      <c r="C45" s="187"/>
      <c r="D45" s="187"/>
      <c r="E45" s="187"/>
      <c r="F45" s="187"/>
      <c r="G45" s="187"/>
      <c r="H45" s="187"/>
      <c r="I45" s="188"/>
    </row>
    <row r="46" spans="1:9" hidden="1">
      <c r="A46" s="27">
        <v>12</v>
      </c>
      <c r="B46" s="70" t="s">
        <v>119</v>
      </c>
      <c r="C46" s="71" t="s">
        <v>84</v>
      </c>
      <c r="D46" s="70" t="s">
        <v>157</v>
      </c>
      <c r="E46" s="72">
        <v>1080</v>
      </c>
      <c r="F46" s="73">
        <f>SUM(E46*2/1000)</f>
        <v>2.16</v>
      </c>
      <c r="G46" s="31">
        <v>1172.4100000000001</v>
      </c>
      <c r="H46" s="74">
        <f t="shared" ref="H46:H54" si="6">SUM(F46*G46/1000)</f>
        <v>2.5324056000000006</v>
      </c>
      <c r="I46" s="13">
        <f t="shared" ref="I46:I49" si="7">F46/2*G46</f>
        <v>1266.2028000000003</v>
      </c>
    </row>
    <row r="47" spans="1:9" hidden="1">
      <c r="A47" s="27">
        <v>13</v>
      </c>
      <c r="B47" s="70" t="s">
        <v>34</v>
      </c>
      <c r="C47" s="71" t="s">
        <v>84</v>
      </c>
      <c r="D47" s="70" t="s">
        <v>157</v>
      </c>
      <c r="E47" s="72">
        <v>39</v>
      </c>
      <c r="F47" s="73">
        <f>SUM(E47*2/1000)</f>
        <v>7.8E-2</v>
      </c>
      <c r="G47" s="31">
        <v>4419.05</v>
      </c>
      <c r="H47" s="74">
        <f t="shared" si="6"/>
        <v>0.34468589999999999</v>
      </c>
      <c r="I47" s="13">
        <f t="shared" si="7"/>
        <v>172.34295</v>
      </c>
    </row>
    <row r="48" spans="1:9" hidden="1">
      <c r="A48" s="27">
        <v>14</v>
      </c>
      <c r="B48" s="70" t="s">
        <v>35</v>
      </c>
      <c r="C48" s="71" t="s">
        <v>84</v>
      </c>
      <c r="D48" s="70" t="s">
        <v>163</v>
      </c>
      <c r="E48" s="72">
        <v>1037</v>
      </c>
      <c r="F48" s="73">
        <f>SUM(E48*2/1000)</f>
        <v>2.0739999999999998</v>
      </c>
      <c r="G48" s="31">
        <v>1803.69</v>
      </c>
      <c r="H48" s="74">
        <f t="shared" si="6"/>
        <v>3.7408530600000001</v>
      </c>
      <c r="I48" s="13">
        <f t="shared" si="7"/>
        <v>1870.42653</v>
      </c>
    </row>
    <row r="49" spans="1:9" hidden="1">
      <c r="A49" s="27">
        <v>15</v>
      </c>
      <c r="B49" s="70" t="s">
        <v>36</v>
      </c>
      <c r="C49" s="71" t="s">
        <v>84</v>
      </c>
      <c r="D49" s="70" t="s">
        <v>157</v>
      </c>
      <c r="E49" s="72">
        <v>2274</v>
      </c>
      <c r="F49" s="73">
        <f>SUM(E49*2/1000)</f>
        <v>4.548</v>
      </c>
      <c r="G49" s="31">
        <v>1243.43</v>
      </c>
      <c r="H49" s="74">
        <f t="shared" si="6"/>
        <v>5.6551196399999997</v>
      </c>
      <c r="I49" s="13">
        <f t="shared" si="7"/>
        <v>2827.5598199999999</v>
      </c>
    </row>
    <row r="50" spans="1:9" hidden="1">
      <c r="A50" s="27">
        <v>16</v>
      </c>
      <c r="B50" s="70" t="s">
        <v>33</v>
      </c>
      <c r="C50" s="71" t="s">
        <v>52</v>
      </c>
      <c r="D50" s="70" t="s">
        <v>157</v>
      </c>
      <c r="E50" s="72">
        <v>83.04</v>
      </c>
      <c r="F50" s="73">
        <v>1.66</v>
      </c>
      <c r="G50" s="31">
        <v>1352.76</v>
      </c>
      <c r="H50" s="74">
        <f>SUM(F50*G50/1000)</f>
        <v>2.2455816</v>
      </c>
      <c r="I50" s="13">
        <f>F50/2*G50</f>
        <v>1122.7908</v>
      </c>
    </row>
    <row r="51" spans="1:9" hidden="1">
      <c r="A51" s="27">
        <v>17</v>
      </c>
      <c r="B51" s="70" t="s">
        <v>176</v>
      </c>
      <c r="C51" s="71" t="s">
        <v>84</v>
      </c>
      <c r="D51" s="70" t="s">
        <v>157</v>
      </c>
      <c r="E51" s="72">
        <v>2626.5</v>
      </c>
      <c r="F51" s="73">
        <f>SUM(E51*5/1000)</f>
        <v>13.1325</v>
      </c>
      <c r="G51" s="31">
        <v>1803.69</v>
      </c>
      <c r="H51" s="74">
        <f t="shared" ref="H51:H53" si="8">SUM(F51*G51/1000)</f>
        <v>23.686958925000003</v>
      </c>
      <c r="I51" s="13">
        <f>F51/5*G51</f>
        <v>4737.3917849999998</v>
      </c>
    </row>
    <row r="52" spans="1:9" ht="46.5" hidden="1" customHeight="1">
      <c r="A52" s="27">
        <v>11</v>
      </c>
      <c r="B52" s="70" t="s">
        <v>86</v>
      </c>
      <c r="C52" s="71" t="s">
        <v>84</v>
      </c>
      <c r="D52" s="70" t="s">
        <v>157</v>
      </c>
      <c r="E52" s="72">
        <v>2626.5</v>
      </c>
      <c r="F52" s="73">
        <f>SUM(E52*2/1000)</f>
        <v>5.2530000000000001</v>
      </c>
      <c r="G52" s="31">
        <v>1591.6</v>
      </c>
      <c r="H52" s="74">
        <f t="shared" si="8"/>
        <v>8.3606747999999982</v>
      </c>
      <c r="I52" s="13">
        <f>F52/2*G52</f>
        <v>4180.3373999999994</v>
      </c>
    </row>
    <row r="53" spans="1:9" ht="30" hidden="1" customHeight="1">
      <c r="A53" s="27">
        <v>12</v>
      </c>
      <c r="B53" s="70" t="s">
        <v>87</v>
      </c>
      <c r="C53" s="71" t="s">
        <v>37</v>
      </c>
      <c r="D53" s="70" t="s">
        <v>157</v>
      </c>
      <c r="E53" s="72">
        <v>15</v>
      </c>
      <c r="F53" s="73">
        <f>SUM(E53*2/100)</f>
        <v>0.3</v>
      </c>
      <c r="G53" s="31">
        <v>4058.32</v>
      </c>
      <c r="H53" s="74">
        <f t="shared" si="8"/>
        <v>1.2174960000000001</v>
      </c>
      <c r="I53" s="13">
        <f t="shared" ref="I53:I54" si="9">F53/2*G53</f>
        <v>608.74800000000005</v>
      </c>
    </row>
    <row r="54" spans="1:9" ht="16.5" hidden="1" customHeight="1">
      <c r="A54" s="27">
        <v>13</v>
      </c>
      <c r="B54" s="70" t="s">
        <v>38</v>
      </c>
      <c r="C54" s="71" t="s">
        <v>39</v>
      </c>
      <c r="D54" s="70" t="s">
        <v>157</v>
      </c>
      <c r="E54" s="72">
        <v>1</v>
      </c>
      <c r="F54" s="73">
        <v>0.02</v>
      </c>
      <c r="G54" s="31">
        <v>7412.92</v>
      </c>
      <c r="H54" s="74">
        <f t="shared" si="6"/>
        <v>0.14825839999999998</v>
      </c>
      <c r="I54" s="13">
        <f t="shared" si="9"/>
        <v>74.129199999999997</v>
      </c>
    </row>
    <row r="55" spans="1:9" hidden="1">
      <c r="A55" s="27">
        <v>11</v>
      </c>
      <c r="B55" s="70" t="s">
        <v>40</v>
      </c>
      <c r="C55" s="71" t="s">
        <v>101</v>
      </c>
      <c r="D55" s="70" t="s">
        <v>69</v>
      </c>
      <c r="E55" s="72">
        <v>90</v>
      </c>
      <c r="F55" s="73">
        <f>SUM(E55)*3</f>
        <v>270</v>
      </c>
      <c r="G55" s="69">
        <v>86.15</v>
      </c>
      <c r="H55" s="74">
        <f>SUM(F55*G55/1000)</f>
        <v>23.2605</v>
      </c>
      <c r="I55" s="13">
        <f>F55/3*G55</f>
        <v>7753.5000000000009</v>
      </c>
    </row>
    <row r="56" spans="1:9">
      <c r="A56" s="186" t="s">
        <v>126</v>
      </c>
      <c r="B56" s="187"/>
      <c r="C56" s="187"/>
      <c r="D56" s="187"/>
      <c r="E56" s="187"/>
      <c r="F56" s="187"/>
      <c r="G56" s="187"/>
      <c r="H56" s="187"/>
      <c r="I56" s="188"/>
    </row>
    <row r="57" spans="1:9" hidden="1">
      <c r="A57" s="27"/>
      <c r="B57" s="101" t="s">
        <v>42</v>
      </c>
      <c r="C57" s="71"/>
      <c r="D57" s="70"/>
      <c r="E57" s="72"/>
      <c r="F57" s="73"/>
      <c r="G57" s="73"/>
      <c r="H57" s="74"/>
      <c r="I57" s="13"/>
    </row>
    <row r="58" spans="1:9" ht="30" hidden="1">
      <c r="A58" s="27">
        <v>15</v>
      </c>
      <c r="B58" s="70" t="s">
        <v>154</v>
      </c>
      <c r="C58" s="71" t="s">
        <v>82</v>
      </c>
      <c r="D58" s="70" t="s">
        <v>102</v>
      </c>
      <c r="E58" s="72">
        <v>111</v>
      </c>
      <c r="F58" s="73">
        <f>SUM(E58*6/100)</f>
        <v>6.66</v>
      </c>
      <c r="G58" s="31">
        <v>2029.3</v>
      </c>
      <c r="H58" s="74">
        <f>SUM(F58*G58/1000)</f>
        <v>13.515138</v>
      </c>
      <c r="I58" s="13">
        <f>G58*0.76</f>
        <v>1542.268</v>
      </c>
    </row>
    <row r="59" spans="1:9" hidden="1">
      <c r="A59" s="27">
        <v>16</v>
      </c>
      <c r="B59" s="70" t="s">
        <v>153</v>
      </c>
      <c r="C59" s="71" t="s">
        <v>142</v>
      </c>
      <c r="D59" s="70" t="s">
        <v>65</v>
      </c>
      <c r="E59" s="72"/>
      <c r="F59" s="73">
        <v>3</v>
      </c>
      <c r="G59" s="31">
        <v>1582.05</v>
      </c>
      <c r="H59" s="74">
        <f>SUM(F59*G59/1000)</f>
        <v>4.7461499999999992</v>
      </c>
      <c r="I59" s="13">
        <f>G59*2</f>
        <v>3164.1</v>
      </c>
    </row>
    <row r="60" spans="1:9" ht="17.25" customHeight="1">
      <c r="A60" s="27"/>
      <c r="B60" s="102" t="s">
        <v>43</v>
      </c>
      <c r="C60" s="82"/>
      <c r="D60" s="83"/>
      <c r="E60" s="84"/>
      <c r="F60" s="85"/>
      <c r="G60" s="31"/>
      <c r="H60" s="86"/>
      <c r="I60" s="13"/>
    </row>
    <row r="61" spans="1:9" hidden="1">
      <c r="A61" s="27"/>
      <c r="B61" s="83" t="s">
        <v>44</v>
      </c>
      <c r="C61" s="82" t="s">
        <v>52</v>
      </c>
      <c r="D61" s="83" t="s">
        <v>53</v>
      </c>
      <c r="E61" s="84">
        <v>130</v>
      </c>
      <c r="F61" s="85">
        <f>E61/100</f>
        <v>1.3</v>
      </c>
      <c r="G61" s="31">
        <v>1040.8399999999999</v>
      </c>
      <c r="H61" s="86">
        <f>F61*G61/1000</f>
        <v>1.353092</v>
      </c>
      <c r="I61" s="13">
        <v>0</v>
      </c>
    </row>
    <row r="62" spans="1:9" ht="18.75" customHeight="1">
      <c r="A62" s="27">
        <v>8</v>
      </c>
      <c r="B62" s="83" t="s">
        <v>115</v>
      </c>
      <c r="C62" s="82" t="s">
        <v>25</v>
      </c>
      <c r="D62" s="83" t="s">
        <v>156</v>
      </c>
      <c r="E62" s="84">
        <v>130</v>
      </c>
      <c r="F62" s="87">
        <f>E62*12</f>
        <v>1560</v>
      </c>
      <c r="G62" s="88">
        <v>1.4</v>
      </c>
      <c r="H62" s="85">
        <f>F62*G62/1000</f>
        <v>2.1840000000000002</v>
      </c>
      <c r="I62" s="13">
        <f t="shared" ref="I62" si="10">F62/12*G62</f>
        <v>182</v>
      </c>
    </row>
    <row r="63" spans="1:9" hidden="1">
      <c r="A63" s="27"/>
      <c r="B63" s="103" t="s">
        <v>45</v>
      </c>
      <c r="C63" s="82"/>
      <c r="D63" s="83"/>
      <c r="E63" s="84"/>
      <c r="F63" s="87"/>
      <c r="G63" s="87"/>
      <c r="H63" s="85" t="s">
        <v>128</v>
      </c>
      <c r="I63" s="13"/>
    </row>
    <row r="64" spans="1:9" hidden="1">
      <c r="A64" s="27">
        <v>19</v>
      </c>
      <c r="B64" s="89" t="s">
        <v>46</v>
      </c>
      <c r="C64" s="90" t="s">
        <v>101</v>
      </c>
      <c r="D64" s="70" t="s">
        <v>65</v>
      </c>
      <c r="E64" s="15">
        <v>9</v>
      </c>
      <c r="F64" s="69">
        <f>SUM(E64)</f>
        <v>9</v>
      </c>
      <c r="G64" s="31">
        <v>291.68</v>
      </c>
      <c r="H64" s="63">
        <f t="shared" ref="H64:H82" si="11">SUM(F64*G64/1000)</f>
        <v>2.6251199999999999</v>
      </c>
      <c r="I64" s="13">
        <f>G64*2</f>
        <v>583.36</v>
      </c>
    </row>
    <row r="65" spans="1:9" hidden="1">
      <c r="A65" s="27"/>
      <c r="B65" s="89" t="s">
        <v>47</v>
      </c>
      <c r="C65" s="90" t="s">
        <v>101</v>
      </c>
      <c r="D65" s="70" t="s">
        <v>65</v>
      </c>
      <c r="E65" s="15">
        <v>4</v>
      </c>
      <c r="F65" s="69">
        <f>SUM(E65)</f>
        <v>4</v>
      </c>
      <c r="G65" s="31">
        <v>100.01</v>
      </c>
      <c r="H65" s="63">
        <f t="shared" si="11"/>
        <v>0.40004000000000001</v>
      </c>
      <c r="I65" s="13">
        <v>0</v>
      </c>
    </row>
    <row r="66" spans="1:9" hidden="1">
      <c r="A66" s="27">
        <v>29</v>
      </c>
      <c r="B66" s="89" t="s">
        <v>48</v>
      </c>
      <c r="C66" s="91" t="s">
        <v>103</v>
      </c>
      <c r="D66" s="33" t="s">
        <v>156</v>
      </c>
      <c r="E66" s="72">
        <v>13287</v>
      </c>
      <c r="F66" s="69">
        <f>SUM(E66/100)</f>
        <v>132.87</v>
      </c>
      <c r="G66" s="31">
        <v>278.24</v>
      </c>
      <c r="H66" s="63">
        <f t="shared" si="11"/>
        <v>36.969748799999998</v>
      </c>
      <c r="I66" s="13">
        <f>132.87*G66</f>
        <v>36969.748800000001</v>
      </c>
    </row>
    <row r="67" spans="1:9" hidden="1">
      <c r="A67" s="27">
        <v>30</v>
      </c>
      <c r="B67" s="89" t="s">
        <v>49</v>
      </c>
      <c r="C67" s="90" t="s">
        <v>104</v>
      </c>
      <c r="D67" s="33" t="s">
        <v>156</v>
      </c>
      <c r="E67" s="72">
        <v>13287</v>
      </c>
      <c r="F67" s="31">
        <f>SUM(E67/1000)</f>
        <v>13.287000000000001</v>
      </c>
      <c r="G67" s="31">
        <v>216.68</v>
      </c>
      <c r="H67" s="63">
        <f t="shared" si="11"/>
        <v>2.8790271600000001</v>
      </c>
      <c r="I67" s="13">
        <f>13.287*G67</f>
        <v>2879.0271600000001</v>
      </c>
    </row>
    <row r="68" spans="1:9" hidden="1">
      <c r="A68" s="27">
        <v>31</v>
      </c>
      <c r="B68" s="89" t="s">
        <v>50</v>
      </c>
      <c r="C68" s="90" t="s">
        <v>74</v>
      </c>
      <c r="D68" s="33" t="s">
        <v>156</v>
      </c>
      <c r="E68" s="72">
        <v>2110</v>
      </c>
      <c r="F68" s="31">
        <f>SUM(E68/100)</f>
        <v>21.1</v>
      </c>
      <c r="G68" s="31">
        <v>2720.94</v>
      </c>
      <c r="H68" s="63">
        <f>SUM(F68*G68/1000)</f>
        <v>57.411834000000006</v>
      </c>
      <c r="I68" s="13">
        <f>21.1*G68</f>
        <v>57411.834000000003</v>
      </c>
    </row>
    <row r="69" spans="1:9" hidden="1">
      <c r="A69" s="27">
        <v>32</v>
      </c>
      <c r="B69" s="92" t="s">
        <v>105</v>
      </c>
      <c r="C69" s="90" t="s">
        <v>32</v>
      </c>
      <c r="D69" s="33"/>
      <c r="E69" s="72">
        <v>8.6</v>
      </c>
      <c r="F69" s="31">
        <f>SUM(E69)</f>
        <v>8.6</v>
      </c>
      <c r="G69" s="31">
        <v>42.61</v>
      </c>
      <c r="H69" s="63">
        <f t="shared" si="11"/>
        <v>0.36644599999999999</v>
      </c>
      <c r="I69" s="13">
        <f>8.6*G69</f>
        <v>366.44599999999997</v>
      </c>
    </row>
    <row r="70" spans="1:9" hidden="1">
      <c r="A70" s="27">
        <v>33</v>
      </c>
      <c r="B70" s="92" t="s">
        <v>106</v>
      </c>
      <c r="C70" s="90" t="s">
        <v>32</v>
      </c>
      <c r="D70" s="33"/>
      <c r="E70" s="72">
        <v>8.6</v>
      </c>
      <c r="F70" s="31">
        <f>SUM(E70)</f>
        <v>8.6</v>
      </c>
      <c r="G70" s="31">
        <v>46.04</v>
      </c>
      <c r="H70" s="63">
        <f t="shared" si="11"/>
        <v>0.39594399999999996</v>
      </c>
      <c r="I70" s="13">
        <f>8.6*G70</f>
        <v>395.94399999999996</v>
      </c>
    </row>
    <row r="71" spans="1:9" hidden="1">
      <c r="A71" s="27">
        <v>19</v>
      </c>
      <c r="B71" s="33" t="s">
        <v>56</v>
      </c>
      <c r="C71" s="90" t="s">
        <v>57</v>
      </c>
      <c r="D71" s="33" t="s">
        <v>53</v>
      </c>
      <c r="E71" s="15">
        <v>3</v>
      </c>
      <c r="F71" s="31">
        <f>SUM(E71)</f>
        <v>3</v>
      </c>
      <c r="G71" s="31">
        <v>65.42</v>
      </c>
      <c r="H71" s="63">
        <f t="shared" si="11"/>
        <v>0.19625999999999999</v>
      </c>
      <c r="I71" s="13">
        <f>3*G71</f>
        <v>196.26</v>
      </c>
    </row>
    <row r="72" spans="1:9" ht="17.25" customHeight="1">
      <c r="A72" s="27"/>
      <c r="B72" s="104" t="s">
        <v>70</v>
      </c>
      <c r="C72" s="90"/>
      <c r="D72" s="33"/>
      <c r="E72" s="15"/>
      <c r="F72" s="31"/>
      <c r="G72" s="31"/>
      <c r="H72" s="63" t="s">
        <v>128</v>
      </c>
      <c r="I72" s="13"/>
    </row>
    <row r="73" spans="1:9" ht="30" hidden="1">
      <c r="A73" s="27"/>
      <c r="B73" s="33" t="s">
        <v>143</v>
      </c>
      <c r="C73" s="90" t="s">
        <v>101</v>
      </c>
      <c r="D73" s="70" t="s">
        <v>65</v>
      </c>
      <c r="E73" s="15">
        <v>1</v>
      </c>
      <c r="F73" s="31">
        <v>1</v>
      </c>
      <c r="G73" s="31">
        <v>1543.4</v>
      </c>
      <c r="H73" s="63">
        <f t="shared" ref="H73:H75" si="12">SUM(F73*G73/1000)</f>
        <v>1.5434000000000001</v>
      </c>
      <c r="I73" s="13">
        <v>0</v>
      </c>
    </row>
    <row r="74" spans="1:9">
      <c r="A74" s="27">
        <v>9</v>
      </c>
      <c r="B74" s="33" t="s">
        <v>71</v>
      </c>
      <c r="C74" s="90" t="s">
        <v>72</v>
      </c>
      <c r="D74" s="70" t="s">
        <v>301</v>
      </c>
      <c r="E74" s="15">
        <v>3</v>
      </c>
      <c r="F74" s="31">
        <f>E74/10</f>
        <v>0.3</v>
      </c>
      <c r="G74" s="31">
        <v>657.87</v>
      </c>
      <c r="H74" s="63">
        <f t="shared" si="12"/>
        <v>0.19736099999999998</v>
      </c>
      <c r="I74" s="13">
        <f>G74*0.2</f>
        <v>131.57400000000001</v>
      </c>
    </row>
    <row r="75" spans="1:9" hidden="1">
      <c r="A75" s="27"/>
      <c r="B75" s="33" t="s">
        <v>144</v>
      </c>
      <c r="C75" s="90" t="s">
        <v>101</v>
      </c>
      <c r="D75" s="70" t="s">
        <v>65</v>
      </c>
      <c r="E75" s="15">
        <v>2</v>
      </c>
      <c r="F75" s="73">
        <f>SUM(E75)</f>
        <v>2</v>
      </c>
      <c r="G75" s="31">
        <v>1118.72</v>
      </c>
      <c r="H75" s="63">
        <f t="shared" si="12"/>
        <v>2.2374399999999999</v>
      </c>
      <c r="I75" s="13">
        <v>0</v>
      </c>
    </row>
    <row r="76" spans="1:9" hidden="1">
      <c r="A76" s="27"/>
      <c r="B76" s="44" t="s">
        <v>145</v>
      </c>
      <c r="C76" s="45" t="s">
        <v>101</v>
      </c>
      <c r="D76" s="70" t="s">
        <v>65</v>
      </c>
      <c r="E76" s="15">
        <v>1</v>
      </c>
      <c r="F76" s="88">
        <v>1</v>
      </c>
      <c r="G76" s="31">
        <v>1605.83</v>
      </c>
      <c r="H76" s="63">
        <f>SUM(F76*G76/1000)</f>
        <v>1.6058299999999999</v>
      </c>
      <c r="I76" s="13">
        <v>0</v>
      </c>
    </row>
    <row r="77" spans="1:9" ht="32.25" customHeight="1">
      <c r="A77" s="27">
        <v>10</v>
      </c>
      <c r="B77" s="44" t="s">
        <v>146</v>
      </c>
      <c r="C77" s="45" t="s">
        <v>101</v>
      </c>
      <c r="D77" s="33" t="s">
        <v>156</v>
      </c>
      <c r="E77" s="93">
        <v>2</v>
      </c>
      <c r="F77" s="87">
        <f>E77*12</f>
        <v>24</v>
      </c>
      <c r="G77" s="94">
        <v>53.42</v>
      </c>
      <c r="H77" s="63">
        <f t="shared" ref="H77:H78" si="13">SUM(F77*G77/1000)</f>
        <v>1.2820799999999999</v>
      </c>
      <c r="I77" s="13">
        <f t="shared" ref="I77:I80" si="14">F77/12*G77</f>
        <v>106.84</v>
      </c>
    </row>
    <row r="78" spans="1:9" ht="18" customHeight="1">
      <c r="A78" s="27">
        <v>11</v>
      </c>
      <c r="B78" s="52" t="s">
        <v>147</v>
      </c>
      <c r="C78" s="90"/>
      <c r="D78" s="33" t="s">
        <v>156</v>
      </c>
      <c r="E78" s="15">
        <v>1</v>
      </c>
      <c r="F78" s="31">
        <v>12</v>
      </c>
      <c r="G78" s="31">
        <v>1194</v>
      </c>
      <c r="H78" s="63">
        <f t="shared" si="13"/>
        <v>14.327999999999999</v>
      </c>
      <c r="I78" s="13">
        <f t="shared" si="14"/>
        <v>1194</v>
      </c>
    </row>
    <row r="79" spans="1:9" ht="14.25" customHeight="1">
      <c r="A79" s="27"/>
      <c r="B79" s="105" t="s">
        <v>148</v>
      </c>
      <c r="C79" s="45"/>
      <c r="D79" s="33"/>
      <c r="E79" s="15"/>
      <c r="F79" s="31"/>
      <c r="G79" s="31"/>
      <c r="H79" s="63"/>
      <c r="I79" s="13"/>
    </row>
    <row r="80" spans="1:9" ht="21" customHeight="1">
      <c r="A80" s="27">
        <v>12</v>
      </c>
      <c r="B80" s="33" t="s">
        <v>149</v>
      </c>
      <c r="C80" s="95" t="s">
        <v>150</v>
      </c>
      <c r="D80" s="70" t="s">
        <v>157</v>
      </c>
      <c r="E80" s="15">
        <v>2626.5</v>
      </c>
      <c r="F80" s="31">
        <f>SUM(E80*12)</f>
        <v>31518</v>
      </c>
      <c r="G80" s="31">
        <v>2.2799999999999998</v>
      </c>
      <c r="H80" s="63">
        <f t="shared" ref="H80" si="15">SUM(F80*G80/1000)</f>
        <v>71.861039999999988</v>
      </c>
      <c r="I80" s="13">
        <f t="shared" si="14"/>
        <v>5988.4199999999992</v>
      </c>
    </row>
    <row r="81" spans="1:9" hidden="1">
      <c r="A81" s="27"/>
      <c r="B81" s="106" t="s">
        <v>73</v>
      </c>
      <c r="C81" s="90"/>
      <c r="D81" s="33"/>
      <c r="E81" s="15"/>
      <c r="F81" s="31"/>
      <c r="G81" s="31" t="s">
        <v>128</v>
      </c>
      <c r="H81" s="63" t="s">
        <v>128</v>
      </c>
      <c r="I81" s="13"/>
    </row>
    <row r="82" spans="1:9" hidden="1">
      <c r="A82" s="27"/>
      <c r="B82" s="96" t="s">
        <v>120</v>
      </c>
      <c r="C82" s="91" t="s">
        <v>74</v>
      </c>
      <c r="D82" s="89"/>
      <c r="E82" s="97"/>
      <c r="F82" s="69">
        <v>0.5</v>
      </c>
      <c r="G82" s="69">
        <v>3619.09</v>
      </c>
      <c r="H82" s="63">
        <f t="shared" si="11"/>
        <v>1.8095450000000002</v>
      </c>
      <c r="I82" s="13"/>
    </row>
    <row r="83" spans="1:9" ht="28.5" hidden="1">
      <c r="A83" s="27"/>
      <c r="B83" s="57" t="s">
        <v>88</v>
      </c>
      <c r="C83" s="13"/>
      <c r="D83" s="13"/>
      <c r="E83" s="13"/>
      <c r="F83" s="13"/>
      <c r="G83" s="13"/>
      <c r="H83" s="13"/>
      <c r="I83" s="13"/>
    </row>
    <row r="84" spans="1:9" hidden="1">
      <c r="A84" s="27"/>
      <c r="B84" s="70" t="s">
        <v>107</v>
      </c>
      <c r="C84" s="98"/>
      <c r="D84" s="99"/>
      <c r="E84" s="100"/>
      <c r="F84" s="32">
        <v>1</v>
      </c>
      <c r="G84" s="32">
        <v>8275.7000000000007</v>
      </c>
      <c r="H84" s="63">
        <f>G84*F84/1000</f>
        <v>8.2757000000000005</v>
      </c>
      <c r="I84" s="13"/>
    </row>
    <row r="85" spans="1:9">
      <c r="A85" s="174" t="s">
        <v>125</v>
      </c>
      <c r="B85" s="175"/>
      <c r="C85" s="175"/>
      <c r="D85" s="175"/>
      <c r="E85" s="175"/>
      <c r="F85" s="175"/>
      <c r="G85" s="175"/>
      <c r="H85" s="175"/>
      <c r="I85" s="176"/>
    </row>
    <row r="86" spans="1:9" ht="17.25" customHeight="1">
      <c r="A86" s="27">
        <v>13</v>
      </c>
      <c r="B86" s="70" t="s">
        <v>108</v>
      </c>
      <c r="C86" s="90" t="s">
        <v>54</v>
      </c>
      <c r="D86" s="56"/>
      <c r="E86" s="31">
        <v>2626.5</v>
      </c>
      <c r="F86" s="31">
        <f>SUM(E86*12)</f>
        <v>31518</v>
      </c>
      <c r="G86" s="31">
        <v>3.1</v>
      </c>
      <c r="H86" s="63">
        <f>SUM(F86*G86/1000)</f>
        <v>97.705799999999996</v>
      </c>
      <c r="I86" s="13">
        <f t="shared" ref="I86:I87" si="16">F86/12*G86</f>
        <v>8142.1500000000005</v>
      </c>
    </row>
    <row r="87" spans="1:9" ht="33.75" customHeight="1">
      <c r="A87" s="27">
        <v>14</v>
      </c>
      <c r="B87" s="33" t="s">
        <v>75</v>
      </c>
      <c r="C87" s="90"/>
      <c r="D87" s="56"/>
      <c r="E87" s="72">
        <f>E86</f>
        <v>2626.5</v>
      </c>
      <c r="F87" s="31">
        <f>E87*12</f>
        <v>31518</v>
      </c>
      <c r="G87" s="31">
        <v>3.5</v>
      </c>
      <c r="H87" s="63">
        <f>F87*G87/1000</f>
        <v>110.313</v>
      </c>
      <c r="I87" s="13">
        <f t="shared" si="16"/>
        <v>9192.75</v>
      </c>
    </row>
    <row r="88" spans="1:9">
      <c r="A88" s="27"/>
      <c r="B88" s="34" t="s">
        <v>77</v>
      </c>
      <c r="C88" s="54"/>
      <c r="D88" s="53"/>
      <c r="E88" s="50"/>
      <c r="F88" s="50"/>
      <c r="G88" s="50"/>
      <c r="H88" s="55">
        <f>H78</f>
        <v>14.327999999999999</v>
      </c>
      <c r="I88" s="50">
        <f>I87+I86+I80+I78+I77+I62+I33+I31+I30+I20+I18+I17+I16+I74</f>
        <v>36569.593484999998</v>
      </c>
    </row>
    <row r="89" spans="1:9">
      <c r="A89" s="163" t="s">
        <v>59</v>
      </c>
      <c r="B89" s="164"/>
      <c r="C89" s="164"/>
      <c r="D89" s="164"/>
      <c r="E89" s="164"/>
      <c r="F89" s="164"/>
      <c r="G89" s="164"/>
      <c r="H89" s="164"/>
      <c r="I89" s="165"/>
    </row>
    <row r="90" spans="1:9" ht="14.25" customHeight="1">
      <c r="A90" s="27">
        <v>15</v>
      </c>
      <c r="B90" s="44" t="s">
        <v>184</v>
      </c>
      <c r="C90" s="45" t="s">
        <v>185</v>
      </c>
      <c r="D90" s="152">
        <v>2</v>
      </c>
      <c r="E90" s="31"/>
      <c r="F90" s="31">
        <v>18</v>
      </c>
      <c r="G90" s="31">
        <v>295.36</v>
      </c>
      <c r="H90" s="27"/>
      <c r="I90" s="161">
        <v>0</v>
      </c>
    </row>
    <row r="91" spans="1:9">
      <c r="A91" s="27">
        <v>16</v>
      </c>
      <c r="B91" s="44" t="s">
        <v>300</v>
      </c>
      <c r="C91" s="45" t="s">
        <v>101</v>
      </c>
      <c r="D91" s="152"/>
      <c r="E91" s="31"/>
      <c r="F91" s="31">
        <v>1</v>
      </c>
      <c r="G91" s="31">
        <v>3298.78</v>
      </c>
      <c r="H91" s="35"/>
      <c r="I91" s="35">
        <f>G91*1</f>
        <v>3298.78</v>
      </c>
    </row>
    <row r="92" spans="1:9" ht="16.5" customHeight="1">
      <c r="A92" s="27"/>
      <c r="B92" s="39" t="s">
        <v>51</v>
      </c>
      <c r="C92" s="35"/>
      <c r="D92" s="42"/>
      <c r="E92" s="35">
        <v>1</v>
      </c>
      <c r="F92" s="35"/>
      <c r="G92" s="35"/>
      <c r="H92" s="35"/>
      <c r="I92" s="29">
        <f>SUM(I90:I91)</f>
        <v>3298.78</v>
      </c>
    </row>
    <row r="93" spans="1:9">
      <c r="A93" s="27"/>
      <c r="B93" s="41" t="s">
        <v>76</v>
      </c>
      <c r="C93" s="14"/>
      <c r="D93" s="14"/>
      <c r="E93" s="36"/>
      <c r="F93" s="36"/>
      <c r="G93" s="37"/>
      <c r="H93" s="37"/>
      <c r="I93" s="15">
        <v>0</v>
      </c>
    </row>
    <row r="94" spans="1:9">
      <c r="A94" s="43"/>
      <c r="B94" s="40" t="s">
        <v>134</v>
      </c>
      <c r="C94" s="30"/>
      <c r="D94" s="30"/>
      <c r="E94" s="30"/>
      <c r="F94" s="30"/>
      <c r="G94" s="30"/>
      <c r="H94" s="30"/>
      <c r="I94" s="38">
        <f>I88+I92</f>
        <v>39868.373484999996</v>
      </c>
    </row>
    <row r="95" spans="1:9" ht="15.75">
      <c r="A95" s="166" t="s">
        <v>302</v>
      </c>
      <c r="B95" s="166"/>
      <c r="C95" s="166"/>
      <c r="D95" s="166"/>
      <c r="E95" s="166"/>
      <c r="F95" s="166"/>
      <c r="G95" s="166"/>
      <c r="H95" s="166"/>
      <c r="I95" s="166"/>
    </row>
    <row r="96" spans="1:9" ht="15.75">
      <c r="A96" s="46"/>
      <c r="B96" s="167" t="s">
        <v>303</v>
      </c>
      <c r="C96" s="167"/>
      <c r="D96" s="167"/>
      <c r="E96" s="167"/>
      <c r="F96" s="167"/>
      <c r="G96" s="167"/>
      <c r="H96" s="49"/>
      <c r="I96" s="3"/>
    </row>
    <row r="97" spans="1:9">
      <c r="A97" s="145"/>
      <c r="B97" s="168" t="s">
        <v>6</v>
      </c>
      <c r="C97" s="168"/>
      <c r="D97" s="168"/>
      <c r="E97" s="168"/>
      <c r="F97" s="168"/>
      <c r="G97" s="168"/>
      <c r="H97" s="22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69" t="s">
        <v>7</v>
      </c>
      <c r="B99" s="169"/>
      <c r="C99" s="169"/>
      <c r="D99" s="169"/>
      <c r="E99" s="169"/>
      <c r="F99" s="169"/>
      <c r="G99" s="169"/>
      <c r="H99" s="169"/>
      <c r="I99" s="169"/>
    </row>
    <row r="100" spans="1:9" ht="15.75">
      <c r="A100" s="169" t="s">
        <v>8</v>
      </c>
      <c r="B100" s="169"/>
      <c r="C100" s="169"/>
      <c r="D100" s="169"/>
      <c r="E100" s="169"/>
      <c r="F100" s="169"/>
      <c r="G100" s="169"/>
      <c r="H100" s="169"/>
      <c r="I100" s="169"/>
    </row>
    <row r="101" spans="1:9" ht="15.75">
      <c r="A101" s="170" t="s">
        <v>60</v>
      </c>
      <c r="B101" s="170"/>
      <c r="C101" s="170"/>
      <c r="D101" s="170"/>
      <c r="E101" s="170"/>
      <c r="F101" s="170"/>
      <c r="G101" s="170"/>
      <c r="H101" s="170"/>
      <c r="I101" s="170"/>
    </row>
    <row r="102" spans="1:9" ht="15.75">
      <c r="A102" s="11"/>
    </row>
    <row r="103" spans="1:9" ht="15.75">
      <c r="A103" s="171" t="s">
        <v>9</v>
      </c>
      <c r="B103" s="171"/>
      <c r="C103" s="171"/>
      <c r="D103" s="171"/>
      <c r="E103" s="171"/>
      <c r="F103" s="171"/>
      <c r="G103" s="171"/>
      <c r="H103" s="171"/>
      <c r="I103" s="171"/>
    </row>
    <row r="104" spans="1:9" ht="15.75">
      <c r="A104" s="4"/>
    </row>
    <row r="105" spans="1:9" ht="15.75">
      <c r="B105" s="147" t="s">
        <v>10</v>
      </c>
      <c r="C105" s="172" t="s">
        <v>217</v>
      </c>
      <c r="D105" s="172"/>
      <c r="E105" s="172"/>
      <c r="F105" s="47"/>
      <c r="I105" s="148"/>
    </row>
    <row r="106" spans="1:9">
      <c r="A106" s="145"/>
      <c r="C106" s="168" t="s">
        <v>11</v>
      </c>
      <c r="D106" s="168"/>
      <c r="E106" s="168"/>
      <c r="F106" s="22"/>
      <c r="I106" s="146" t="s">
        <v>12</v>
      </c>
    </row>
    <row r="107" spans="1:9" ht="15.75">
      <c r="A107" s="23"/>
      <c r="C107" s="12"/>
      <c r="D107" s="12"/>
      <c r="G107" s="12"/>
      <c r="H107" s="12"/>
    </row>
    <row r="108" spans="1:9" ht="15.75">
      <c r="B108" s="147" t="s">
        <v>13</v>
      </c>
      <c r="C108" s="173"/>
      <c r="D108" s="173"/>
      <c r="E108" s="173"/>
      <c r="F108" s="48"/>
      <c r="I108" s="148"/>
    </row>
    <row r="109" spans="1:9">
      <c r="A109" s="145"/>
      <c r="C109" s="162" t="s">
        <v>11</v>
      </c>
      <c r="D109" s="162"/>
      <c r="E109" s="162"/>
      <c r="F109" s="145"/>
      <c r="I109" s="146" t="s">
        <v>12</v>
      </c>
    </row>
    <row r="110" spans="1:9" ht="15.75">
      <c r="A110" s="4" t="s">
        <v>14</v>
      </c>
    </row>
    <row r="111" spans="1:9">
      <c r="A111" s="189" t="s">
        <v>15</v>
      </c>
      <c r="B111" s="189"/>
      <c r="C111" s="189"/>
      <c r="D111" s="189"/>
      <c r="E111" s="189"/>
      <c r="F111" s="189"/>
      <c r="G111" s="189"/>
      <c r="H111" s="189"/>
      <c r="I111" s="189"/>
    </row>
    <row r="112" spans="1:9" ht="48.75" customHeight="1">
      <c r="A112" s="190" t="s">
        <v>16</v>
      </c>
      <c r="B112" s="190"/>
      <c r="C112" s="190"/>
      <c r="D112" s="190"/>
      <c r="E112" s="190"/>
      <c r="F112" s="190"/>
      <c r="G112" s="190"/>
      <c r="H112" s="190"/>
      <c r="I112" s="190"/>
    </row>
    <row r="113" spans="1:9" ht="40.5" customHeight="1">
      <c r="A113" s="190" t="s">
        <v>17</v>
      </c>
      <c r="B113" s="190"/>
      <c r="C113" s="190"/>
      <c r="D113" s="190"/>
      <c r="E113" s="190"/>
      <c r="F113" s="190"/>
      <c r="G113" s="190"/>
      <c r="H113" s="190"/>
      <c r="I113" s="190"/>
    </row>
    <row r="114" spans="1:9" ht="34.5" customHeight="1">
      <c r="A114" s="190" t="s">
        <v>21</v>
      </c>
      <c r="B114" s="190"/>
      <c r="C114" s="190"/>
      <c r="D114" s="190"/>
      <c r="E114" s="190"/>
      <c r="F114" s="190"/>
      <c r="G114" s="190"/>
      <c r="H114" s="190"/>
      <c r="I114" s="190"/>
    </row>
    <row r="115" spans="1:9" ht="15.75">
      <c r="A115" s="190" t="s">
        <v>20</v>
      </c>
      <c r="B115" s="190"/>
      <c r="C115" s="190"/>
      <c r="D115" s="190"/>
      <c r="E115" s="190"/>
      <c r="F115" s="190"/>
      <c r="G115" s="190"/>
      <c r="H115" s="190"/>
      <c r="I115" s="190"/>
    </row>
  </sheetData>
  <mergeCells count="28">
    <mergeCell ref="A14:I14"/>
    <mergeCell ref="A3:I3"/>
    <mergeCell ref="A4:I4"/>
    <mergeCell ref="A5:I5"/>
    <mergeCell ref="A8:I8"/>
    <mergeCell ref="A10:I10"/>
    <mergeCell ref="A100:I100"/>
    <mergeCell ref="A15:I15"/>
    <mergeCell ref="A28:I28"/>
    <mergeCell ref="A45:I45"/>
    <mergeCell ref="A56:I56"/>
    <mergeCell ref="A85:I85"/>
    <mergeCell ref="A89:I89"/>
    <mergeCell ref="A95:I95"/>
    <mergeCell ref="B96:G96"/>
    <mergeCell ref="B97:G97"/>
    <mergeCell ref="A99:I99"/>
    <mergeCell ref="A101:I101"/>
    <mergeCell ref="A103:I103"/>
    <mergeCell ref="C105:E105"/>
    <mergeCell ref="C106:E106"/>
    <mergeCell ref="C108:E108"/>
    <mergeCell ref="A115:I115"/>
    <mergeCell ref="C109:E109"/>
    <mergeCell ref="A111:I111"/>
    <mergeCell ref="A112:I112"/>
    <mergeCell ref="A113:I113"/>
    <mergeCell ref="A114:I114"/>
  </mergeCells>
  <pageMargins left="0.70866141732283472" right="0" top="0.74803149606299213" bottom="0.74803149606299213" header="0.31496062992125984" footer="0.31496062992125984"/>
  <pageSetup paperSize="9" scale="62" orientation="portrait" horizontalDpi="0" verticalDpi="0" r:id="rId1"/>
  <rowBreaks count="1" manualBreakCount="1">
    <brk id="10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20"/>
  <sheetViews>
    <sheetView view="pageBreakPreview" topLeftCell="A46" zoomScale="60" zoomScaleNormal="100" workbookViewId="0">
      <selection activeCell="A106" sqref="A106:I10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5" t="s">
        <v>178</v>
      </c>
      <c r="I1" s="24"/>
      <c r="J1" s="1"/>
      <c r="K1" s="1"/>
      <c r="L1" s="1"/>
      <c r="M1" s="1"/>
    </row>
    <row r="2" spans="1:13" ht="15.75">
      <c r="A2" s="26" t="s">
        <v>61</v>
      </c>
      <c r="J2" s="2"/>
      <c r="K2" s="2"/>
      <c r="L2" s="2"/>
      <c r="M2" s="2"/>
    </row>
    <row r="3" spans="1:13" ht="15.75" customHeight="1">
      <c r="A3" s="179" t="s">
        <v>137</v>
      </c>
      <c r="B3" s="179"/>
      <c r="C3" s="179"/>
      <c r="D3" s="179"/>
      <c r="E3" s="179"/>
      <c r="F3" s="179"/>
      <c r="G3" s="179"/>
      <c r="H3" s="179"/>
      <c r="I3" s="179"/>
      <c r="J3" s="3"/>
      <c r="K3" s="3"/>
      <c r="L3" s="3"/>
    </row>
    <row r="4" spans="1:13" ht="31.5" customHeight="1">
      <c r="A4" s="180" t="s">
        <v>121</v>
      </c>
      <c r="B4" s="180"/>
      <c r="C4" s="180"/>
      <c r="D4" s="180"/>
      <c r="E4" s="180"/>
      <c r="F4" s="180"/>
      <c r="G4" s="180"/>
      <c r="H4" s="180"/>
      <c r="I4" s="180"/>
    </row>
    <row r="5" spans="1:13" ht="15.75">
      <c r="A5" s="179" t="s">
        <v>304</v>
      </c>
      <c r="B5" s="181"/>
      <c r="C5" s="181"/>
      <c r="D5" s="181"/>
      <c r="E5" s="181"/>
      <c r="F5" s="181"/>
      <c r="G5" s="181"/>
      <c r="H5" s="181"/>
      <c r="I5" s="181"/>
      <c r="J5" s="2"/>
      <c r="K5" s="2"/>
      <c r="L5" s="2"/>
      <c r="M5" s="2"/>
    </row>
    <row r="6" spans="1:13" ht="15.75">
      <c r="A6" s="2"/>
      <c r="B6" s="58"/>
      <c r="C6" s="58"/>
      <c r="D6" s="58"/>
      <c r="E6" s="58"/>
      <c r="F6" s="58"/>
      <c r="G6" s="58"/>
      <c r="H6" s="58"/>
      <c r="I6" s="28">
        <v>44530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2" t="s">
        <v>218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3" t="s">
        <v>133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4" t="s">
        <v>58</v>
      </c>
      <c r="B14" s="184"/>
      <c r="C14" s="184"/>
      <c r="D14" s="184"/>
      <c r="E14" s="184"/>
      <c r="F14" s="184"/>
      <c r="G14" s="184"/>
      <c r="H14" s="184"/>
      <c r="I14" s="184"/>
      <c r="J14" s="8"/>
      <c r="K14" s="8"/>
      <c r="L14" s="8"/>
      <c r="M14" s="8"/>
    </row>
    <row r="15" spans="1:13" ht="15" customHeight="1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  <c r="J15" s="8"/>
      <c r="K15" s="8"/>
      <c r="L15" s="8"/>
      <c r="M15" s="8"/>
    </row>
    <row r="16" spans="1:13" ht="15.75" customHeight="1">
      <c r="A16" s="27">
        <v>1</v>
      </c>
      <c r="B16" s="70" t="s">
        <v>183</v>
      </c>
      <c r="C16" s="71" t="s">
        <v>82</v>
      </c>
      <c r="D16" s="70" t="s">
        <v>164</v>
      </c>
      <c r="E16" s="72">
        <v>49.72</v>
      </c>
      <c r="F16" s="73">
        <f>SUM(E16*156/100)</f>
        <v>77.563199999999995</v>
      </c>
      <c r="G16" s="73">
        <v>230</v>
      </c>
      <c r="H16" s="74">
        <f t="shared" ref="H16:H25" si="0">SUM(F16*G16/1000)</f>
        <v>17.839535999999999</v>
      </c>
      <c r="I16" s="13">
        <f>F16/12*G16</f>
        <v>1486.6279999999999</v>
      </c>
      <c r="J16" s="19"/>
      <c r="K16" s="8"/>
      <c r="L16" s="8"/>
      <c r="M16" s="8"/>
    </row>
    <row r="17" spans="1:13" ht="15.75" customHeight="1">
      <c r="A17" s="27">
        <v>2</v>
      </c>
      <c r="B17" s="70" t="s">
        <v>109</v>
      </c>
      <c r="C17" s="71" t="s">
        <v>82</v>
      </c>
      <c r="D17" s="70" t="s">
        <v>186</v>
      </c>
      <c r="E17" s="72">
        <v>198.88</v>
      </c>
      <c r="F17" s="73">
        <f>SUM(E17*104/100)</f>
        <v>206.83520000000001</v>
      </c>
      <c r="G17" s="73">
        <v>230</v>
      </c>
      <c r="H17" s="74">
        <f t="shared" si="0"/>
        <v>47.572096000000002</v>
      </c>
      <c r="I17" s="13">
        <f>G17*F17/12</f>
        <v>3964.3413333333338</v>
      </c>
      <c r="J17" s="20"/>
      <c r="K17" s="8"/>
      <c r="L17" s="8"/>
      <c r="M17" s="8"/>
    </row>
    <row r="18" spans="1:13" ht="15.75" customHeight="1">
      <c r="A18" s="27">
        <v>3</v>
      </c>
      <c r="B18" s="70" t="s">
        <v>110</v>
      </c>
      <c r="C18" s="71" t="s">
        <v>82</v>
      </c>
      <c r="D18" s="70" t="s">
        <v>158</v>
      </c>
      <c r="E18" s="72">
        <v>248.6</v>
      </c>
      <c r="F18" s="73">
        <f>SUM(E18*24/100)</f>
        <v>59.663999999999994</v>
      </c>
      <c r="G18" s="73">
        <v>661.67</v>
      </c>
      <c r="H18" s="74">
        <f t="shared" si="0"/>
        <v>39.477878879999999</v>
      </c>
      <c r="I18" s="13">
        <f>F18/12*G18</f>
        <v>3289.8232399999993</v>
      </c>
      <c r="J18" s="20"/>
      <c r="K18" s="8"/>
      <c r="L18" s="8"/>
      <c r="M18" s="8"/>
    </row>
    <row r="19" spans="1:13" ht="15.75" hidden="1" customHeight="1">
      <c r="A19" s="27"/>
      <c r="B19" s="70" t="s">
        <v>89</v>
      </c>
      <c r="C19" s="71" t="s">
        <v>90</v>
      </c>
      <c r="D19" s="70" t="s">
        <v>91</v>
      </c>
      <c r="E19" s="72">
        <v>18.48</v>
      </c>
      <c r="F19" s="73">
        <f>SUM(E19/10)</f>
        <v>1.8480000000000001</v>
      </c>
      <c r="G19" s="73">
        <v>223.17</v>
      </c>
      <c r="H19" s="74">
        <f t="shared" si="0"/>
        <v>0.41241815999999998</v>
      </c>
      <c r="I19" s="13">
        <f>1.848*G19</f>
        <v>412.41816</v>
      </c>
      <c r="J19" s="20"/>
      <c r="K19" s="8"/>
      <c r="L19" s="8"/>
      <c r="M19" s="8"/>
    </row>
    <row r="20" spans="1:13" ht="15.75" customHeight="1">
      <c r="A20" s="27">
        <v>4</v>
      </c>
      <c r="B20" s="70" t="s">
        <v>92</v>
      </c>
      <c r="C20" s="71" t="s">
        <v>82</v>
      </c>
      <c r="D20" s="70" t="s">
        <v>162</v>
      </c>
      <c r="E20" s="72">
        <v>10.5</v>
      </c>
      <c r="F20" s="73">
        <f>SUM(E20*12/100)</f>
        <v>1.26</v>
      </c>
      <c r="G20" s="73">
        <v>285.76</v>
      </c>
      <c r="H20" s="74">
        <f t="shared" si="0"/>
        <v>0.36005759999999998</v>
      </c>
      <c r="I20" s="13">
        <f>F20/12*G20</f>
        <v>30.004799999999999</v>
      </c>
      <c r="J20" s="20"/>
      <c r="K20" s="8"/>
      <c r="L20" s="8"/>
      <c r="M20" s="8"/>
    </row>
    <row r="21" spans="1:13" ht="15.75" hidden="1" customHeight="1">
      <c r="A21" s="27">
        <v>5</v>
      </c>
      <c r="B21" s="70" t="s">
        <v>93</v>
      </c>
      <c r="C21" s="71" t="s">
        <v>82</v>
      </c>
      <c r="D21" s="70" t="s">
        <v>41</v>
      </c>
      <c r="E21" s="72">
        <v>3</v>
      </c>
      <c r="F21" s="73">
        <f>SUM(E21*2/100)</f>
        <v>0.06</v>
      </c>
      <c r="G21" s="73">
        <v>283.44</v>
      </c>
      <c r="H21" s="74">
        <f t="shared" si="0"/>
        <v>1.7006399999999998E-2</v>
      </c>
      <c r="I21" s="13">
        <f>0.03*G21</f>
        <v>8.5031999999999996</v>
      </c>
      <c r="J21" s="20"/>
      <c r="K21" s="8"/>
      <c r="L21" s="8"/>
      <c r="M21" s="8"/>
    </row>
    <row r="22" spans="1:13" ht="15.75" hidden="1" customHeight="1">
      <c r="A22" s="27"/>
      <c r="B22" s="70" t="s">
        <v>94</v>
      </c>
      <c r="C22" s="71" t="s">
        <v>52</v>
      </c>
      <c r="D22" s="70" t="s">
        <v>91</v>
      </c>
      <c r="E22" s="72">
        <v>267.75</v>
      </c>
      <c r="F22" s="73">
        <f>SUM(E22/100)</f>
        <v>2.6775000000000002</v>
      </c>
      <c r="G22" s="73">
        <v>353.14</v>
      </c>
      <c r="H22" s="74">
        <f t="shared" si="0"/>
        <v>0.94553235000000002</v>
      </c>
      <c r="I22" s="13">
        <f>2.6775*G22</f>
        <v>945.53235000000006</v>
      </c>
      <c r="J22" s="20"/>
      <c r="K22" s="8"/>
      <c r="L22" s="8"/>
      <c r="M22" s="8"/>
    </row>
    <row r="23" spans="1:13" ht="15.75" hidden="1" customHeight="1">
      <c r="A23" s="27"/>
      <c r="B23" s="70" t="s">
        <v>95</v>
      </c>
      <c r="C23" s="71" t="s">
        <v>52</v>
      </c>
      <c r="D23" s="70" t="s">
        <v>91</v>
      </c>
      <c r="E23" s="75">
        <v>36.229999999999997</v>
      </c>
      <c r="F23" s="73">
        <f>SUM(E23/100)</f>
        <v>0.36229999999999996</v>
      </c>
      <c r="G23" s="73">
        <v>58.08</v>
      </c>
      <c r="H23" s="74">
        <f t="shared" si="0"/>
        <v>2.1042383999999997E-2</v>
      </c>
      <c r="I23" s="13">
        <f>0.3623*G23</f>
        <v>21.042383999999998</v>
      </c>
      <c r="J23" s="20"/>
      <c r="K23" s="8"/>
      <c r="L23" s="8"/>
      <c r="M23" s="8"/>
    </row>
    <row r="24" spans="1:13" ht="15.75" hidden="1" customHeight="1">
      <c r="A24" s="27"/>
      <c r="B24" s="70" t="s">
        <v>96</v>
      </c>
      <c r="C24" s="71" t="s">
        <v>52</v>
      </c>
      <c r="D24" s="70" t="s">
        <v>53</v>
      </c>
      <c r="E24" s="72">
        <v>15</v>
      </c>
      <c r="F24" s="73">
        <f>SUM(E24/100)</f>
        <v>0.15</v>
      </c>
      <c r="G24" s="73">
        <v>511.12</v>
      </c>
      <c r="H24" s="74">
        <f t="shared" si="0"/>
        <v>7.6667999999999986E-2</v>
      </c>
      <c r="I24" s="13">
        <f>0.15*G24</f>
        <v>76.667999999999992</v>
      </c>
      <c r="J24" s="20"/>
      <c r="K24" s="8"/>
      <c r="L24" s="8"/>
      <c r="M24" s="8"/>
    </row>
    <row r="25" spans="1:13" ht="15.75" hidden="1" customHeight="1">
      <c r="A25" s="27"/>
      <c r="B25" s="70" t="s">
        <v>97</v>
      </c>
      <c r="C25" s="71" t="s">
        <v>52</v>
      </c>
      <c r="D25" s="70" t="s">
        <v>53</v>
      </c>
      <c r="E25" s="72">
        <v>6.38</v>
      </c>
      <c r="F25" s="73">
        <f>SUM(E25/100)</f>
        <v>6.3799999999999996E-2</v>
      </c>
      <c r="G25" s="73">
        <v>683.05</v>
      </c>
      <c r="H25" s="74">
        <f t="shared" si="0"/>
        <v>4.3578589999999993E-2</v>
      </c>
      <c r="I25" s="13">
        <f>0.0638*G25</f>
        <v>43.578589999999991</v>
      </c>
      <c r="J25" s="20"/>
      <c r="K25" s="8"/>
      <c r="L25" s="8"/>
      <c r="M25" s="8"/>
    </row>
    <row r="26" spans="1:13" ht="15.75" hidden="1" customHeight="1">
      <c r="A26" s="27"/>
      <c r="B26" s="70" t="s">
        <v>116</v>
      </c>
      <c r="C26" s="71" t="s">
        <v>52</v>
      </c>
      <c r="D26" s="70" t="s">
        <v>53</v>
      </c>
      <c r="E26" s="72">
        <v>14.25</v>
      </c>
      <c r="F26" s="73">
        <v>0.14000000000000001</v>
      </c>
      <c r="G26" s="73">
        <v>283.44</v>
      </c>
      <c r="H26" s="74">
        <f>G26*F26/1000</f>
        <v>3.9681600000000004E-2</v>
      </c>
      <c r="I26" s="13">
        <f>0.14*G26</f>
        <v>39.681600000000003</v>
      </c>
      <c r="J26" s="20"/>
      <c r="K26" s="8"/>
      <c r="L26" s="8"/>
      <c r="M26" s="8"/>
    </row>
    <row r="27" spans="1:13" ht="15.75" hidden="1" customHeight="1">
      <c r="A27" s="27">
        <v>5</v>
      </c>
      <c r="B27" s="70" t="s">
        <v>195</v>
      </c>
      <c r="C27" s="71" t="s">
        <v>25</v>
      </c>
      <c r="D27" s="70" t="s">
        <v>202</v>
      </c>
      <c r="E27" s="77">
        <v>4.37</v>
      </c>
      <c r="F27" s="73">
        <f>E27*258</f>
        <v>1127.46</v>
      </c>
      <c r="G27" s="73">
        <v>10.39</v>
      </c>
      <c r="H27" s="74">
        <f>SUM(F27*G27/1000)</f>
        <v>11.714309400000001</v>
      </c>
      <c r="I27" s="13">
        <f>G27*F27/12</f>
        <v>976.19245000000012</v>
      </c>
      <c r="J27" s="21"/>
    </row>
    <row r="28" spans="1:13" ht="15.75" hidden="1" customHeight="1">
      <c r="A28" s="27">
        <v>6</v>
      </c>
      <c r="B28" s="78" t="s">
        <v>23</v>
      </c>
      <c r="C28" s="71" t="s">
        <v>24</v>
      </c>
      <c r="D28" s="78" t="s">
        <v>128</v>
      </c>
      <c r="E28" s="72">
        <v>2626.5</v>
      </c>
      <c r="F28" s="73">
        <f>SUM(E28*12)</f>
        <v>31518</v>
      </c>
      <c r="G28" s="73">
        <v>3.36</v>
      </c>
      <c r="H28" s="74">
        <f>SUM(F28*G28/1000)</f>
        <v>105.90048</v>
      </c>
      <c r="I28" s="13">
        <f t="shared" ref="I28" si="1">F28/12*G28</f>
        <v>8825.0399999999991</v>
      </c>
      <c r="J28" s="21"/>
    </row>
    <row r="29" spans="1:13" ht="15.75" customHeight="1">
      <c r="A29" s="185" t="s">
        <v>80</v>
      </c>
      <c r="B29" s="185"/>
      <c r="C29" s="185"/>
      <c r="D29" s="185"/>
      <c r="E29" s="185"/>
      <c r="F29" s="185"/>
      <c r="G29" s="185"/>
      <c r="H29" s="185"/>
      <c r="I29" s="185"/>
      <c r="J29" s="20"/>
      <c r="K29" s="8"/>
      <c r="L29" s="8"/>
      <c r="M29" s="8"/>
    </row>
    <row r="30" spans="1:13" ht="15.75" hidden="1" customHeight="1">
      <c r="A30" s="27"/>
      <c r="B30" s="101" t="s">
        <v>28</v>
      </c>
      <c r="C30" s="71"/>
      <c r="D30" s="70"/>
      <c r="E30" s="72"/>
      <c r="F30" s="73"/>
      <c r="G30" s="73"/>
      <c r="H30" s="74"/>
      <c r="I30" s="13"/>
      <c r="J30" s="21"/>
    </row>
    <row r="31" spans="1:13" ht="15.75" hidden="1" customHeight="1">
      <c r="A31" s="27"/>
      <c r="B31" s="70" t="s">
        <v>99</v>
      </c>
      <c r="C31" s="71" t="s">
        <v>84</v>
      </c>
      <c r="D31" s="70" t="s">
        <v>135</v>
      </c>
      <c r="E31" s="73">
        <v>665</v>
      </c>
      <c r="F31" s="73">
        <f>SUM(E31*52/1000)</f>
        <v>34.58</v>
      </c>
      <c r="G31" s="73">
        <v>204.44</v>
      </c>
      <c r="H31" s="74">
        <f t="shared" ref="H31:H37" si="2">SUM(F31*G31/1000)</f>
        <v>7.0695351999999989</v>
      </c>
      <c r="I31" s="13">
        <f t="shared" ref="I31:I32" si="3">F31/6*G31</f>
        <v>1178.2558666666666</v>
      </c>
      <c r="J31" s="20"/>
      <c r="K31" s="8"/>
      <c r="L31" s="8"/>
      <c r="M31" s="8"/>
    </row>
    <row r="32" spans="1:13" ht="15.75" hidden="1" customHeight="1">
      <c r="A32" s="27"/>
      <c r="B32" s="70" t="s">
        <v>112</v>
      </c>
      <c r="C32" s="71" t="s">
        <v>84</v>
      </c>
      <c r="D32" s="70" t="s">
        <v>136</v>
      </c>
      <c r="E32" s="73">
        <v>81.5</v>
      </c>
      <c r="F32" s="73">
        <f>SUM(E32*78/1000)</f>
        <v>6.3570000000000002</v>
      </c>
      <c r="G32" s="73">
        <v>339.21</v>
      </c>
      <c r="H32" s="74">
        <f t="shared" si="2"/>
        <v>2.1563579700000002</v>
      </c>
      <c r="I32" s="13">
        <f t="shared" si="3"/>
        <v>359.39299500000004</v>
      </c>
      <c r="J32" s="20"/>
      <c r="K32" s="8"/>
      <c r="L32" s="8"/>
      <c r="M32" s="8"/>
    </row>
    <row r="33" spans="1:14" ht="15.75" hidden="1" customHeight="1">
      <c r="A33" s="27"/>
      <c r="B33" s="70" t="s">
        <v>27</v>
      </c>
      <c r="C33" s="71" t="s">
        <v>84</v>
      </c>
      <c r="D33" s="70" t="s">
        <v>53</v>
      </c>
      <c r="E33" s="73">
        <v>665</v>
      </c>
      <c r="F33" s="73">
        <f>SUM(E33/1000)</f>
        <v>0.66500000000000004</v>
      </c>
      <c r="G33" s="73">
        <v>3961.23</v>
      </c>
      <c r="H33" s="74">
        <f t="shared" si="2"/>
        <v>2.63421795</v>
      </c>
      <c r="I33" s="13">
        <f>F33*G33</f>
        <v>2634.2179500000002</v>
      </c>
      <c r="J33" s="20"/>
      <c r="K33" s="8"/>
      <c r="L33" s="8"/>
      <c r="M33" s="8"/>
    </row>
    <row r="34" spans="1:14" ht="15.75" hidden="1" customHeight="1">
      <c r="A34" s="27"/>
      <c r="B34" s="70" t="s">
        <v>111</v>
      </c>
      <c r="C34" s="71" t="s">
        <v>39</v>
      </c>
      <c r="D34" s="70" t="s">
        <v>62</v>
      </c>
      <c r="E34" s="73">
        <v>3</v>
      </c>
      <c r="F34" s="73">
        <f>E34*155/100</f>
        <v>4.6500000000000004</v>
      </c>
      <c r="G34" s="73">
        <v>1707.63</v>
      </c>
      <c r="H34" s="74">
        <f>G34*F34/1000</f>
        <v>7.9404795000000012</v>
      </c>
      <c r="I34" s="13">
        <f>F34/6*G34</f>
        <v>1323.4132500000001</v>
      </c>
      <c r="J34" s="20"/>
      <c r="K34" s="8"/>
      <c r="L34" s="8"/>
      <c r="M34" s="8"/>
    </row>
    <row r="35" spans="1:14" ht="15.75" hidden="1" customHeight="1">
      <c r="A35" s="27"/>
      <c r="B35" s="70" t="s">
        <v>98</v>
      </c>
      <c r="C35" s="71" t="s">
        <v>30</v>
      </c>
      <c r="D35" s="70" t="s">
        <v>62</v>
      </c>
      <c r="E35" s="76">
        <f>1/3</f>
        <v>0.33333333333333331</v>
      </c>
      <c r="F35" s="73">
        <f>155/3</f>
        <v>51.666666666666664</v>
      </c>
      <c r="G35" s="73">
        <v>74.349999999999994</v>
      </c>
      <c r="H35" s="74">
        <f>SUM(G35*155/3/1000)</f>
        <v>3.8414166666666665</v>
      </c>
      <c r="I35" s="13">
        <f>F35/6*G35</f>
        <v>640.23611111111109</v>
      </c>
      <c r="J35" s="20"/>
      <c r="K35" s="8"/>
    </row>
    <row r="36" spans="1:14" ht="15.75" hidden="1" customHeight="1">
      <c r="A36" s="27"/>
      <c r="B36" s="70" t="s">
        <v>63</v>
      </c>
      <c r="C36" s="71" t="s">
        <v>32</v>
      </c>
      <c r="D36" s="70" t="s">
        <v>65</v>
      </c>
      <c r="E36" s="72"/>
      <c r="F36" s="73">
        <v>1</v>
      </c>
      <c r="G36" s="73">
        <v>250.92</v>
      </c>
      <c r="H36" s="74">
        <f t="shared" si="2"/>
        <v>0.25091999999999998</v>
      </c>
      <c r="I36" s="13">
        <v>0</v>
      </c>
      <c r="J36" s="21"/>
    </row>
    <row r="37" spans="1:14" ht="15.75" hidden="1" customHeight="1">
      <c r="A37" s="27"/>
      <c r="B37" s="70" t="s">
        <v>64</v>
      </c>
      <c r="C37" s="71" t="s">
        <v>31</v>
      </c>
      <c r="D37" s="70" t="s">
        <v>65</v>
      </c>
      <c r="E37" s="72"/>
      <c r="F37" s="73">
        <v>1</v>
      </c>
      <c r="G37" s="73">
        <v>1490.31</v>
      </c>
      <c r="H37" s="74">
        <f t="shared" si="2"/>
        <v>1.49031</v>
      </c>
      <c r="I37" s="13">
        <v>0</v>
      </c>
      <c r="J37" s="21"/>
    </row>
    <row r="38" spans="1:14" ht="15.75" customHeight="1">
      <c r="A38" s="27"/>
      <c r="B38" s="101" t="s">
        <v>5</v>
      </c>
      <c r="C38" s="71"/>
      <c r="D38" s="70"/>
      <c r="E38" s="72"/>
      <c r="F38" s="73"/>
      <c r="G38" s="73"/>
      <c r="H38" s="74" t="s">
        <v>128</v>
      </c>
      <c r="I38" s="13"/>
      <c r="J38" s="21"/>
    </row>
    <row r="39" spans="1:14" ht="17.25" customHeight="1">
      <c r="A39" s="27">
        <v>5</v>
      </c>
      <c r="B39" s="79" t="s">
        <v>26</v>
      </c>
      <c r="C39" s="71" t="s">
        <v>31</v>
      </c>
      <c r="D39" s="70" t="s">
        <v>311</v>
      </c>
      <c r="E39" s="72"/>
      <c r="F39" s="73">
        <v>5</v>
      </c>
      <c r="G39" s="73">
        <v>2003</v>
      </c>
      <c r="H39" s="74">
        <f t="shared" ref="H39:H46" si="4">SUM(F39*G39/1000)</f>
        <v>10.015000000000001</v>
      </c>
      <c r="I39" s="13">
        <f>G39*0.5</f>
        <v>1001.5</v>
      </c>
      <c r="J39" s="21"/>
    </row>
    <row r="40" spans="1:14" ht="15.75" customHeight="1">
      <c r="A40" s="27">
        <v>6</v>
      </c>
      <c r="B40" s="79" t="s">
        <v>100</v>
      </c>
      <c r="C40" s="80" t="s">
        <v>29</v>
      </c>
      <c r="D40" s="70" t="s">
        <v>189</v>
      </c>
      <c r="E40" s="72">
        <v>81.5</v>
      </c>
      <c r="F40" s="81">
        <f>E40*30/1000</f>
        <v>2.4449999999999998</v>
      </c>
      <c r="G40" s="73">
        <v>2757.78</v>
      </c>
      <c r="H40" s="74">
        <f t="shared" si="4"/>
        <v>6.7427720999999998</v>
      </c>
      <c r="I40" s="13">
        <f t="shared" ref="I40:I46" si="5">F40/6*G40</f>
        <v>1123.7953500000001</v>
      </c>
      <c r="J40" s="21"/>
    </row>
    <row r="41" spans="1:14" ht="15.75" customHeight="1">
      <c r="A41" s="27">
        <v>7</v>
      </c>
      <c r="B41" s="70" t="s">
        <v>66</v>
      </c>
      <c r="C41" s="71" t="s">
        <v>29</v>
      </c>
      <c r="D41" s="70" t="s">
        <v>190</v>
      </c>
      <c r="E41" s="73">
        <v>81.5</v>
      </c>
      <c r="F41" s="81">
        <f>SUM(E41*155/1000)</f>
        <v>12.6325</v>
      </c>
      <c r="G41" s="73">
        <v>460.02</v>
      </c>
      <c r="H41" s="74">
        <f t="shared" si="4"/>
        <v>5.8112026500000002</v>
      </c>
      <c r="I41" s="13">
        <f t="shared" si="5"/>
        <v>968.53377499999999</v>
      </c>
      <c r="J41" s="21"/>
      <c r="L41" s="16"/>
      <c r="M41" s="17"/>
      <c r="N41" s="18"/>
    </row>
    <row r="42" spans="1:14" ht="15.75" hidden="1" customHeight="1">
      <c r="A42" s="27"/>
      <c r="B42" s="70" t="s">
        <v>113</v>
      </c>
      <c r="C42" s="71" t="s">
        <v>114</v>
      </c>
      <c r="D42" s="70" t="s">
        <v>65</v>
      </c>
      <c r="E42" s="72"/>
      <c r="F42" s="81">
        <v>26</v>
      </c>
      <c r="G42" s="73">
        <v>314</v>
      </c>
      <c r="H42" s="74">
        <f t="shared" si="4"/>
        <v>8.1639999999999997</v>
      </c>
      <c r="I42" s="13">
        <v>0</v>
      </c>
      <c r="J42" s="21"/>
      <c r="L42" s="16"/>
      <c r="M42" s="17"/>
      <c r="N42" s="18"/>
    </row>
    <row r="43" spans="1:14" ht="47.25" customHeight="1">
      <c r="A43" s="27">
        <v>8</v>
      </c>
      <c r="B43" s="70" t="s">
        <v>78</v>
      </c>
      <c r="C43" s="71" t="s">
        <v>84</v>
      </c>
      <c r="D43" s="70" t="s">
        <v>188</v>
      </c>
      <c r="E43" s="73">
        <v>81.5</v>
      </c>
      <c r="F43" s="81">
        <f>SUM(E43*35/1000)</f>
        <v>2.8525</v>
      </c>
      <c r="G43" s="73">
        <v>7611.16</v>
      </c>
      <c r="H43" s="74">
        <f t="shared" si="4"/>
        <v>21.710833900000001</v>
      </c>
      <c r="I43" s="13">
        <f t="shared" si="5"/>
        <v>3618.4723166666663</v>
      </c>
      <c r="J43" s="21"/>
      <c r="L43" s="16"/>
      <c r="M43" s="17"/>
      <c r="N43" s="18"/>
    </row>
    <row r="44" spans="1:14" ht="15.75" hidden="1" customHeight="1">
      <c r="A44" s="27">
        <v>9</v>
      </c>
      <c r="B44" s="70" t="s">
        <v>85</v>
      </c>
      <c r="C44" s="71" t="s">
        <v>84</v>
      </c>
      <c r="D44" s="70" t="s">
        <v>157</v>
      </c>
      <c r="E44" s="73">
        <v>81.5</v>
      </c>
      <c r="F44" s="81">
        <f>SUM(E44*45/1000)</f>
        <v>3.6675</v>
      </c>
      <c r="G44" s="73">
        <v>562.25</v>
      </c>
      <c r="H44" s="74">
        <f t="shared" si="4"/>
        <v>2.0620518750000003</v>
      </c>
      <c r="I44" s="13">
        <f>G44*F44/45*1</f>
        <v>45.823375000000006</v>
      </c>
      <c r="J44" s="21"/>
      <c r="L44" s="16"/>
      <c r="M44" s="17"/>
      <c r="N44" s="18"/>
    </row>
    <row r="45" spans="1:14" ht="15.75" hidden="1" customHeight="1">
      <c r="A45" s="27">
        <v>10</v>
      </c>
      <c r="B45" s="79" t="s">
        <v>68</v>
      </c>
      <c r="C45" s="80" t="s">
        <v>32</v>
      </c>
      <c r="D45" s="79"/>
      <c r="E45" s="77"/>
      <c r="F45" s="81">
        <v>0.9</v>
      </c>
      <c r="G45" s="81">
        <v>974.83</v>
      </c>
      <c r="H45" s="74">
        <f t="shared" si="4"/>
        <v>0.8773470000000001</v>
      </c>
      <c r="I45" s="13">
        <f>G45*F45/45*1</f>
        <v>19.496600000000001</v>
      </c>
      <c r="J45" s="21"/>
      <c r="L45" s="16"/>
      <c r="M45" s="17"/>
      <c r="N45" s="18"/>
    </row>
    <row r="46" spans="1:14" ht="34.5" customHeight="1">
      <c r="A46" s="27">
        <v>9</v>
      </c>
      <c r="B46" s="44" t="s">
        <v>139</v>
      </c>
      <c r="C46" s="45" t="s">
        <v>29</v>
      </c>
      <c r="D46" s="79" t="s">
        <v>159</v>
      </c>
      <c r="E46" s="77">
        <v>2.4</v>
      </c>
      <c r="F46" s="81">
        <f>SUM(E46*12/1000)</f>
        <v>2.8799999999999996E-2</v>
      </c>
      <c r="G46" s="81">
        <v>260.2</v>
      </c>
      <c r="H46" s="74">
        <f t="shared" si="4"/>
        <v>7.4937599999999986E-3</v>
      </c>
      <c r="I46" s="13">
        <f t="shared" si="5"/>
        <v>1.2489599999999998</v>
      </c>
      <c r="J46" s="21"/>
      <c r="L46" s="16"/>
      <c r="M46" s="17"/>
      <c r="N46" s="18"/>
    </row>
    <row r="47" spans="1:14" ht="15.75" hidden="1" customHeight="1">
      <c r="A47" s="186" t="s">
        <v>122</v>
      </c>
      <c r="B47" s="187"/>
      <c r="C47" s="187"/>
      <c r="D47" s="187"/>
      <c r="E47" s="187"/>
      <c r="F47" s="187"/>
      <c r="G47" s="187"/>
      <c r="H47" s="187"/>
      <c r="I47" s="188"/>
      <c r="J47" s="21"/>
      <c r="L47" s="16"/>
      <c r="M47" s="17"/>
      <c r="N47" s="18"/>
    </row>
    <row r="48" spans="1:14" ht="15.75" hidden="1" customHeight="1">
      <c r="A48" s="27"/>
      <c r="B48" s="70" t="s">
        <v>119</v>
      </c>
      <c r="C48" s="71" t="s">
        <v>84</v>
      </c>
      <c r="D48" s="70" t="s">
        <v>41</v>
      </c>
      <c r="E48" s="72">
        <v>1080</v>
      </c>
      <c r="F48" s="73">
        <f>SUM(E48*2/1000)</f>
        <v>2.16</v>
      </c>
      <c r="G48" s="31">
        <v>1172.4100000000001</v>
      </c>
      <c r="H48" s="74">
        <f t="shared" ref="H48:H56" si="6">SUM(F48*G48/1000)</f>
        <v>2.5324056000000006</v>
      </c>
      <c r="I48" s="13">
        <f t="shared" ref="I48:I51" si="7">F48/2*G48</f>
        <v>1266.2028000000003</v>
      </c>
      <c r="J48" s="21"/>
      <c r="L48" s="16"/>
      <c r="M48" s="17"/>
      <c r="N48" s="18"/>
    </row>
    <row r="49" spans="1:22" ht="15.75" hidden="1" customHeight="1">
      <c r="A49" s="27"/>
      <c r="B49" s="70" t="s">
        <v>34</v>
      </c>
      <c r="C49" s="71" t="s">
        <v>84</v>
      </c>
      <c r="D49" s="70" t="s">
        <v>41</v>
      </c>
      <c r="E49" s="72">
        <v>39</v>
      </c>
      <c r="F49" s="73">
        <f>SUM(E49*2/1000)</f>
        <v>7.8E-2</v>
      </c>
      <c r="G49" s="31">
        <v>4419.05</v>
      </c>
      <c r="H49" s="74">
        <f t="shared" si="6"/>
        <v>0.34468589999999999</v>
      </c>
      <c r="I49" s="13">
        <f t="shared" si="7"/>
        <v>172.34295</v>
      </c>
      <c r="J49" s="21"/>
      <c r="L49" s="16"/>
      <c r="M49" s="17"/>
      <c r="N49" s="18"/>
    </row>
    <row r="50" spans="1:22" ht="15.75" hidden="1" customHeight="1">
      <c r="A50" s="27"/>
      <c r="B50" s="70" t="s">
        <v>35</v>
      </c>
      <c r="C50" s="71" t="s">
        <v>84</v>
      </c>
      <c r="D50" s="70" t="s">
        <v>41</v>
      </c>
      <c r="E50" s="72">
        <v>1037</v>
      </c>
      <c r="F50" s="73">
        <f>SUM(E50*2/1000)</f>
        <v>2.0739999999999998</v>
      </c>
      <c r="G50" s="31">
        <v>1803.69</v>
      </c>
      <c r="H50" s="74">
        <f t="shared" si="6"/>
        <v>3.7408530600000001</v>
      </c>
      <c r="I50" s="13">
        <f t="shared" si="7"/>
        <v>1870.42653</v>
      </c>
      <c r="J50" s="21"/>
      <c r="L50" s="16"/>
      <c r="M50" s="17"/>
      <c r="N50" s="18"/>
    </row>
    <row r="51" spans="1:22" ht="15.75" hidden="1" customHeight="1">
      <c r="A51" s="27"/>
      <c r="B51" s="70" t="s">
        <v>36</v>
      </c>
      <c r="C51" s="71" t="s">
        <v>84</v>
      </c>
      <c r="D51" s="70" t="s">
        <v>41</v>
      </c>
      <c r="E51" s="72">
        <v>2274</v>
      </c>
      <c r="F51" s="73">
        <f>SUM(E51*2/1000)</f>
        <v>4.548</v>
      </c>
      <c r="G51" s="31">
        <v>1243.43</v>
      </c>
      <c r="H51" s="74">
        <f t="shared" si="6"/>
        <v>5.6551196399999997</v>
      </c>
      <c r="I51" s="13">
        <f t="shared" si="7"/>
        <v>2827.5598199999999</v>
      </c>
      <c r="J51" s="21"/>
      <c r="L51" s="16"/>
      <c r="M51" s="17"/>
      <c r="N51" s="18"/>
    </row>
    <row r="52" spans="1:22" ht="15.75" hidden="1" customHeight="1">
      <c r="A52" s="27"/>
      <c r="B52" s="70" t="s">
        <v>33</v>
      </c>
      <c r="C52" s="71" t="s">
        <v>52</v>
      </c>
      <c r="D52" s="70" t="s">
        <v>41</v>
      </c>
      <c r="E52" s="72">
        <v>83.04</v>
      </c>
      <c r="F52" s="73">
        <v>1.66</v>
      </c>
      <c r="G52" s="31">
        <v>1352.76</v>
      </c>
      <c r="H52" s="74">
        <f>SUM(F52*G52/1000)</f>
        <v>2.2455816</v>
      </c>
      <c r="I52" s="13">
        <f>F52/2*G52</f>
        <v>1122.7908</v>
      </c>
      <c r="J52" s="21"/>
      <c r="L52" s="16"/>
      <c r="M52" s="17"/>
      <c r="N52" s="18"/>
    </row>
    <row r="53" spans="1:22" ht="15.75" hidden="1" customHeight="1">
      <c r="A53" s="27"/>
      <c r="B53" s="70" t="s">
        <v>55</v>
      </c>
      <c r="C53" s="71" t="s">
        <v>84</v>
      </c>
      <c r="D53" s="70" t="s">
        <v>131</v>
      </c>
      <c r="E53" s="72">
        <v>2626.5</v>
      </c>
      <c r="F53" s="73">
        <f>SUM(E53*5/1000)</f>
        <v>13.1325</v>
      </c>
      <c r="G53" s="31">
        <v>1803.69</v>
      </c>
      <c r="H53" s="74">
        <f t="shared" ref="H53:H55" si="8">SUM(F53*G53/1000)</f>
        <v>23.686958925000003</v>
      </c>
      <c r="I53" s="13">
        <f>F53/5*G53</f>
        <v>4737.3917849999998</v>
      </c>
      <c r="J53" s="21"/>
      <c r="L53" s="16"/>
      <c r="M53" s="17"/>
      <c r="N53" s="18"/>
    </row>
    <row r="54" spans="1:22" ht="31.5" hidden="1" customHeight="1">
      <c r="A54" s="27"/>
      <c r="B54" s="70" t="s">
        <v>86</v>
      </c>
      <c r="C54" s="71" t="s">
        <v>84</v>
      </c>
      <c r="D54" s="70" t="s">
        <v>41</v>
      </c>
      <c r="E54" s="72">
        <v>2626.5</v>
      </c>
      <c r="F54" s="73">
        <f>SUM(E54*2/1000)</f>
        <v>5.2530000000000001</v>
      </c>
      <c r="G54" s="31">
        <v>1591.6</v>
      </c>
      <c r="H54" s="74">
        <f t="shared" si="8"/>
        <v>8.3606747999999982</v>
      </c>
      <c r="I54" s="13">
        <f>F54/2*G54</f>
        <v>4180.3373999999994</v>
      </c>
      <c r="J54" s="21"/>
      <c r="L54" s="16"/>
      <c r="M54" s="17"/>
      <c r="N54" s="18"/>
    </row>
    <row r="55" spans="1:22" ht="31.5" hidden="1" customHeight="1">
      <c r="A55" s="27"/>
      <c r="B55" s="70" t="s">
        <v>87</v>
      </c>
      <c r="C55" s="71" t="s">
        <v>37</v>
      </c>
      <c r="D55" s="70" t="s">
        <v>41</v>
      </c>
      <c r="E55" s="72">
        <v>15</v>
      </c>
      <c r="F55" s="73">
        <f>SUM(E55*2/100)</f>
        <v>0.3</v>
      </c>
      <c r="G55" s="31">
        <v>4058.32</v>
      </c>
      <c r="H55" s="74">
        <f t="shared" si="8"/>
        <v>1.2174960000000001</v>
      </c>
      <c r="I55" s="13">
        <f t="shared" ref="I55:I56" si="9">F55/2*G55</f>
        <v>608.74800000000005</v>
      </c>
      <c r="J55" s="21"/>
      <c r="L55" s="16"/>
      <c r="M55" s="17"/>
      <c r="N55" s="18"/>
    </row>
    <row r="56" spans="1:22" ht="15.75" hidden="1" customHeight="1">
      <c r="A56" s="27"/>
      <c r="B56" s="70" t="s">
        <v>38</v>
      </c>
      <c r="C56" s="71" t="s">
        <v>39</v>
      </c>
      <c r="D56" s="70" t="s">
        <v>41</v>
      </c>
      <c r="E56" s="72">
        <v>1</v>
      </c>
      <c r="F56" s="73">
        <v>0.02</v>
      </c>
      <c r="G56" s="31">
        <v>7412.92</v>
      </c>
      <c r="H56" s="74">
        <f t="shared" si="6"/>
        <v>0.14825839999999998</v>
      </c>
      <c r="I56" s="13">
        <f t="shared" si="9"/>
        <v>74.129199999999997</v>
      </c>
      <c r="J56" s="21"/>
      <c r="L56" s="16"/>
      <c r="M56" s="17"/>
      <c r="N56" s="18"/>
    </row>
    <row r="57" spans="1:22" ht="15.75" hidden="1" customHeight="1">
      <c r="A57" s="27"/>
      <c r="B57" s="70" t="s">
        <v>40</v>
      </c>
      <c r="C57" s="71" t="s">
        <v>101</v>
      </c>
      <c r="D57" s="70" t="s">
        <v>69</v>
      </c>
      <c r="E57" s="72">
        <v>90</v>
      </c>
      <c r="F57" s="73">
        <f>SUM(E57)*3</f>
        <v>270</v>
      </c>
      <c r="G57" s="69">
        <v>86.15</v>
      </c>
      <c r="H57" s="74">
        <f>SUM(F57*G57/1000)</f>
        <v>23.2605</v>
      </c>
      <c r="I57" s="13">
        <f>F57/3*G57</f>
        <v>7753.5000000000009</v>
      </c>
      <c r="J57" s="21"/>
      <c r="L57" s="16"/>
      <c r="M57" s="17"/>
      <c r="N57" s="18"/>
    </row>
    <row r="58" spans="1:22" ht="15.75" customHeight="1">
      <c r="A58" s="186" t="s">
        <v>126</v>
      </c>
      <c r="B58" s="187"/>
      <c r="C58" s="187"/>
      <c r="D58" s="187"/>
      <c r="E58" s="187"/>
      <c r="F58" s="187"/>
      <c r="G58" s="187"/>
      <c r="H58" s="187"/>
      <c r="I58" s="188"/>
      <c r="J58" s="21"/>
      <c r="L58" s="16"/>
    </row>
    <row r="59" spans="1:22" ht="15.75" hidden="1" customHeight="1">
      <c r="A59" s="27"/>
      <c r="B59" s="101" t="s">
        <v>42</v>
      </c>
      <c r="C59" s="71"/>
      <c r="D59" s="70"/>
      <c r="E59" s="72"/>
      <c r="F59" s="73"/>
      <c r="G59" s="73"/>
      <c r="H59" s="74"/>
      <c r="I59" s="13"/>
    </row>
    <row r="60" spans="1:22" ht="31.5" hidden="1" customHeight="1">
      <c r="A60" s="27">
        <v>13</v>
      </c>
      <c r="B60" s="70" t="s">
        <v>129</v>
      </c>
      <c r="C60" s="71" t="s">
        <v>82</v>
      </c>
      <c r="D60" s="70"/>
      <c r="E60" s="72">
        <v>111</v>
      </c>
      <c r="F60" s="73">
        <f>SUM(E60*6/100)</f>
        <v>6.66</v>
      </c>
      <c r="G60" s="31">
        <v>2029.3</v>
      </c>
      <c r="H60" s="74">
        <f>SUM(F60*G60/1000)</f>
        <v>13.515138</v>
      </c>
      <c r="I60" s="13">
        <f>G60*0.3</f>
        <v>608.79</v>
      </c>
    </row>
    <row r="61" spans="1:22" ht="15.75" hidden="1" customHeight="1">
      <c r="A61" s="27">
        <v>14</v>
      </c>
      <c r="B61" s="70" t="s">
        <v>141</v>
      </c>
      <c r="C61" s="71" t="s">
        <v>142</v>
      </c>
      <c r="D61" s="70" t="s">
        <v>200</v>
      </c>
      <c r="E61" s="72"/>
      <c r="F61" s="73">
        <v>3</v>
      </c>
      <c r="G61" s="31">
        <v>1582.05</v>
      </c>
      <c r="H61" s="74">
        <f>SUM(F61*G61/1000)</f>
        <v>4.7461499999999992</v>
      </c>
      <c r="I61" s="13">
        <f>G61*2</f>
        <v>3164.1</v>
      </c>
    </row>
    <row r="62" spans="1:22" ht="15.75" customHeight="1">
      <c r="A62" s="27"/>
      <c r="B62" s="102" t="s">
        <v>43</v>
      </c>
      <c r="C62" s="82"/>
      <c r="D62" s="83"/>
      <c r="E62" s="84"/>
      <c r="F62" s="85"/>
      <c r="G62" s="31"/>
      <c r="H62" s="86"/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27"/>
      <c r="B63" s="83" t="s">
        <v>44</v>
      </c>
      <c r="C63" s="82" t="s">
        <v>52</v>
      </c>
      <c r="D63" s="83" t="s">
        <v>53</v>
      </c>
      <c r="E63" s="84">
        <v>130</v>
      </c>
      <c r="F63" s="85">
        <f>E63/100</f>
        <v>1.3</v>
      </c>
      <c r="G63" s="31">
        <v>1040.8399999999999</v>
      </c>
      <c r="H63" s="86">
        <f>F63*G63/1000</f>
        <v>1.353092</v>
      </c>
      <c r="I63" s="13">
        <v>0</v>
      </c>
      <c r="J63" s="23"/>
      <c r="K63" s="2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27">
        <v>10</v>
      </c>
      <c r="B64" s="83" t="s">
        <v>115</v>
      </c>
      <c r="C64" s="82" t="s">
        <v>25</v>
      </c>
      <c r="D64" s="83" t="s">
        <v>156</v>
      </c>
      <c r="E64" s="84">
        <v>130</v>
      </c>
      <c r="F64" s="87">
        <f>E64*12</f>
        <v>1560</v>
      </c>
      <c r="G64" s="88">
        <v>1.4</v>
      </c>
      <c r="H64" s="85">
        <f>F64*G64/1000</f>
        <v>2.1840000000000002</v>
      </c>
      <c r="I64" s="13">
        <f t="shared" ref="I64" si="10">F64/12*G64</f>
        <v>182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27"/>
      <c r="B65" s="103" t="s">
        <v>45</v>
      </c>
      <c r="C65" s="82"/>
      <c r="D65" s="83"/>
      <c r="E65" s="84"/>
      <c r="F65" s="87"/>
      <c r="G65" s="87"/>
      <c r="H65" s="85" t="s">
        <v>128</v>
      </c>
      <c r="I65" s="13"/>
      <c r="J65" s="5"/>
      <c r="K65" s="5"/>
      <c r="L65" s="5"/>
      <c r="M65" s="5"/>
      <c r="N65" s="5"/>
      <c r="O65" s="5"/>
      <c r="P65" s="5"/>
      <c r="Q65" s="5"/>
      <c r="R65" s="162"/>
      <c r="S65" s="162"/>
      <c r="T65" s="162"/>
      <c r="U65" s="162"/>
    </row>
    <row r="66" spans="1:21" ht="15.75" hidden="1" customHeight="1">
      <c r="A66" s="27"/>
      <c r="B66" s="89" t="s">
        <v>46</v>
      </c>
      <c r="C66" s="90" t="s">
        <v>101</v>
      </c>
      <c r="D66" s="70" t="s">
        <v>65</v>
      </c>
      <c r="E66" s="15">
        <v>9</v>
      </c>
      <c r="F66" s="69">
        <f>SUM(E66)</f>
        <v>9</v>
      </c>
      <c r="G66" s="31">
        <v>291.68</v>
      </c>
      <c r="H66" s="63">
        <f t="shared" ref="H66:H84" si="11">SUM(F66*G66/1000)</f>
        <v>2.6251199999999999</v>
      </c>
      <c r="I66" s="13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27"/>
      <c r="B67" s="89" t="s">
        <v>47</v>
      </c>
      <c r="C67" s="90" t="s">
        <v>101</v>
      </c>
      <c r="D67" s="70" t="s">
        <v>65</v>
      </c>
      <c r="E67" s="15">
        <v>4</v>
      </c>
      <c r="F67" s="69">
        <f>SUM(E67)</f>
        <v>4</v>
      </c>
      <c r="G67" s="31">
        <v>100.01</v>
      </c>
      <c r="H67" s="63">
        <f t="shared" si="11"/>
        <v>0.40004000000000001</v>
      </c>
      <c r="I67" s="13">
        <v>0</v>
      </c>
    </row>
    <row r="68" spans="1:21" ht="15.75" hidden="1" customHeight="1">
      <c r="A68" s="27"/>
      <c r="B68" s="89" t="s">
        <v>48</v>
      </c>
      <c r="C68" s="91" t="s">
        <v>103</v>
      </c>
      <c r="D68" s="33" t="s">
        <v>53</v>
      </c>
      <c r="E68" s="72">
        <v>13287</v>
      </c>
      <c r="F68" s="69">
        <f>SUM(E68/100)</f>
        <v>132.87</v>
      </c>
      <c r="G68" s="31">
        <v>278.24</v>
      </c>
      <c r="H68" s="63">
        <f t="shared" si="11"/>
        <v>36.969748799999998</v>
      </c>
      <c r="I68" s="13">
        <v>0</v>
      </c>
    </row>
    <row r="69" spans="1:21" ht="15.75" hidden="1" customHeight="1">
      <c r="A69" s="27"/>
      <c r="B69" s="89" t="s">
        <v>49</v>
      </c>
      <c r="C69" s="90" t="s">
        <v>104</v>
      </c>
      <c r="D69" s="33" t="s">
        <v>53</v>
      </c>
      <c r="E69" s="72">
        <v>13287</v>
      </c>
      <c r="F69" s="31">
        <f>SUM(E69/1000)</f>
        <v>13.287000000000001</v>
      </c>
      <c r="G69" s="31">
        <v>216.68</v>
      </c>
      <c r="H69" s="63">
        <f t="shared" si="11"/>
        <v>2.8790271600000001</v>
      </c>
      <c r="I69" s="13">
        <v>0</v>
      </c>
    </row>
    <row r="70" spans="1:21" ht="15.75" hidden="1" customHeight="1">
      <c r="A70" s="27"/>
      <c r="B70" s="89" t="s">
        <v>50</v>
      </c>
      <c r="C70" s="90" t="s">
        <v>74</v>
      </c>
      <c r="D70" s="33" t="s">
        <v>53</v>
      </c>
      <c r="E70" s="72">
        <v>2110</v>
      </c>
      <c r="F70" s="31">
        <f>SUM(E70/100)</f>
        <v>21.1</v>
      </c>
      <c r="G70" s="31">
        <v>2720.94</v>
      </c>
      <c r="H70" s="63">
        <f>SUM(F70*G70/1000)</f>
        <v>57.411834000000006</v>
      </c>
      <c r="I70" s="13">
        <v>0</v>
      </c>
    </row>
    <row r="71" spans="1:21" ht="15.75" hidden="1" customHeight="1">
      <c r="A71" s="27"/>
      <c r="B71" s="92" t="s">
        <v>105</v>
      </c>
      <c r="C71" s="90" t="s">
        <v>32</v>
      </c>
      <c r="D71" s="33"/>
      <c r="E71" s="72">
        <v>8.6</v>
      </c>
      <c r="F71" s="31">
        <f>SUM(E71)</f>
        <v>8.6</v>
      </c>
      <c r="G71" s="31">
        <v>42.61</v>
      </c>
      <c r="H71" s="63">
        <f t="shared" si="11"/>
        <v>0.36644599999999999</v>
      </c>
      <c r="I71" s="13">
        <v>0</v>
      </c>
    </row>
    <row r="72" spans="1:21" ht="15.75" hidden="1" customHeight="1">
      <c r="A72" s="27"/>
      <c r="B72" s="92" t="s">
        <v>106</v>
      </c>
      <c r="C72" s="90" t="s">
        <v>32</v>
      </c>
      <c r="D72" s="33"/>
      <c r="E72" s="72">
        <v>8.6</v>
      </c>
      <c r="F72" s="31">
        <f>SUM(E72)</f>
        <v>8.6</v>
      </c>
      <c r="G72" s="31">
        <v>46.04</v>
      </c>
      <c r="H72" s="63">
        <f t="shared" si="11"/>
        <v>0.39594399999999996</v>
      </c>
      <c r="I72" s="13">
        <v>0</v>
      </c>
    </row>
    <row r="73" spans="1:21" ht="15.75" hidden="1" customHeight="1">
      <c r="A73" s="27"/>
      <c r="B73" s="33" t="s">
        <v>56</v>
      </c>
      <c r="C73" s="90" t="s">
        <v>57</v>
      </c>
      <c r="D73" s="33" t="s">
        <v>53</v>
      </c>
      <c r="E73" s="15">
        <v>3</v>
      </c>
      <c r="F73" s="31">
        <f>SUM(E73)</f>
        <v>3</v>
      </c>
      <c r="G73" s="31">
        <v>65.42</v>
      </c>
      <c r="H73" s="63">
        <f t="shared" si="11"/>
        <v>0.19625999999999999</v>
      </c>
      <c r="I73" s="13">
        <v>0</v>
      </c>
    </row>
    <row r="74" spans="1:21" ht="15.75" customHeight="1">
      <c r="A74" s="27"/>
      <c r="B74" s="104" t="s">
        <v>70</v>
      </c>
      <c r="C74" s="90"/>
      <c r="D74" s="33"/>
      <c r="E74" s="15"/>
      <c r="F74" s="31"/>
      <c r="G74" s="31"/>
      <c r="H74" s="63" t="s">
        <v>128</v>
      </c>
      <c r="I74" s="13"/>
    </row>
    <row r="75" spans="1:21" ht="31.5" hidden="1" customHeight="1">
      <c r="A75" s="27"/>
      <c r="B75" s="33" t="s">
        <v>143</v>
      </c>
      <c r="C75" s="90" t="s">
        <v>101</v>
      </c>
      <c r="D75" s="70" t="s">
        <v>65</v>
      </c>
      <c r="E75" s="15">
        <v>1</v>
      </c>
      <c r="F75" s="31">
        <v>1</v>
      </c>
      <c r="G75" s="31">
        <v>1543.4</v>
      </c>
      <c r="H75" s="63">
        <f t="shared" ref="H75:H77" si="12">SUM(F75*G75/1000)</f>
        <v>1.5434000000000001</v>
      </c>
      <c r="I75" s="13">
        <v>0</v>
      </c>
    </row>
    <row r="76" spans="1:21" ht="15.75" hidden="1" customHeight="1">
      <c r="A76" s="27">
        <v>17</v>
      </c>
      <c r="B76" s="33" t="s">
        <v>71</v>
      </c>
      <c r="C76" s="90" t="s">
        <v>72</v>
      </c>
      <c r="D76" s="70" t="s">
        <v>65</v>
      </c>
      <c r="E76" s="15">
        <v>3</v>
      </c>
      <c r="F76" s="31">
        <f>E76/10</f>
        <v>0.3</v>
      </c>
      <c r="G76" s="31">
        <v>657.87</v>
      </c>
      <c r="H76" s="63">
        <f t="shared" si="12"/>
        <v>0.19736099999999998</v>
      </c>
      <c r="I76" s="13">
        <f>G76*0.9</f>
        <v>592.08299999999997</v>
      </c>
    </row>
    <row r="77" spans="1:21" ht="15.75" hidden="1" customHeight="1">
      <c r="A77" s="27"/>
      <c r="B77" s="33" t="s">
        <v>144</v>
      </c>
      <c r="C77" s="90" t="s">
        <v>101</v>
      </c>
      <c r="D77" s="70" t="s">
        <v>65</v>
      </c>
      <c r="E77" s="15">
        <v>2</v>
      </c>
      <c r="F77" s="73">
        <f>SUM(E77)</f>
        <v>2</v>
      </c>
      <c r="G77" s="31">
        <v>1118.72</v>
      </c>
      <c r="H77" s="63">
        <f t="shared" si="12"/>
        <v>2.2374399999999999</v>
      </c>
      <c r="I77" s="13">
        <v>0</v>
      </c>
    </row>
    <row r="78" spans="1:21" ht="15.75" hidden="1" customHeight="1">
      <c r="A78" s="27"/>
      <c r="B78" s="44" t="s">
        <v>145</v>
      </c>
      <c r="C78" s="45" t="s">
        <v>101</v>
      </c>
      <c r="D78" s="70" t="s">
        <v>65</v>
      </c>
      <c r="E78" s="15">
        <v>1</v>
      </c>
      <c r="F78" s="88">
        <v>1</v>
      </c>
      <c r="G78" s="31">
        <v>1605.83</v>
      </c>
      <c r="H78" s="63">
        <f>SUM(F78*G78/1000)</f>
        <v>1.6058299999999999</v>
      </c>
      <c r="I78" s="13">
        <v>0</v>
      </c>
    </row>
    <row r="79" spans="1:21" ht="15.75" customHeight="1">
      <c r="A79" s="27">
        <v>11</v>
      </c>
      <c r="B79" s="44" t="s">
        <v>146</v>
      </c>
      <c r="C79" s="45" t="s">
        <v>101</v>
      </c>
      <c r="D79" s="33" t="s">
        <v>156</v>
      </c>
      <c r="E79" s="93">
        <v>2</v>
      </c>
      <c r="F79" s="87">
        <f>E79*12</f>
        <v>24</v>
      </c>
      <c r="G79" s="94">
        <v>53.42</v>
      </c>
      <c r="H79" s="63">
        <f t="shared" ref="H79:H80" si="13">SUM(F79*G79/1000)</f>
        <v>1.2820799999999999</v>
      </c>
      <c r="I79" s="13">
        <f t="shared" ref="I79:I82" si="14">F79/12*G79</f>
        <v>106.84</v>
      </c>
    </row>
    <row r="80" spans="1:21" ht="15.75" customHeight="1">
      <c r="A80" s="27">
        <v>12</v>
      </c>
      <c r="B80" s="52" t="s">
        <v>147</v>
      </c>
      <c r="C80" s="90"/>
      <c r="D80" s="33" t="s">
        <v>156</v>
      </c>
      <c r="E80" s="15">
        <v>1</v>
      </c>
      <c r="F80" s="31">
        <v>12</v>
      </c>
      <c r="G80" s="31">
        <v>1194</v>
      </c>
      <c r="H80" s="63">
        <f t="shared" si="13"/>
        <v>14.327999999999999</v>
      </c>
      <c r="I80" s="13">
        <f t="shared" si="14"/>
        <v>1194</v>
      </c>
    </row>
    <row r="81" spans="1:9" ht="15.75" customHeight="1">
      <c r="A81" s="27"/>
      <c r="B81" s="105" t="s">
        <v>148</v>
      </c>
      <c r="C81" s="45"/>
      <c r="D81" s="33"/>
      <c r="E81" s="15"/>
      <c r="F81" s="31"/>
      <c r="G81" s="31"/>
      <c r="H81" s="63"/>
      <c r="I81" s="13"/>
    </row>
    <row r="82" spans="1:9" ht="15.75" customHeight="1">
      <c r="A82" s="27">
        <v>13</v>
      </c>
      <c r="B82" s="33" t="s">
        <v>149</v>
      </c>
      <c r="C82" s="95" t="s">
        <v>150</v>
      </c>
      <c r="D82" s="70"/>
      <c r="E82" s="15">
        <v>2626.5</v>
      </c>
      <c r="F82" s="31">
        <f>SUM(E82*12)</f>
        <v>31518</v>
      </c>
      <c r="G82" s="31">
        <v>2.2799999999999998</v>
      </c>
      <c r="H82" s="63">
        <f t="shared" ref="H82" si="15">SUM(F82*G82/1000)</f>
        <v>71.861039999999988</v>
      </c>
      <c r="I82" s="13">
        <f t="shared" si="14"/>
        <v>5988.4199999999992</v>
      </c>
    </row>
    <row r="83" spans="1:9" ht="15.75" hidden="1" customHeight="1">
      <c r="A83" s="27"/>
      <c r="B83" s="106" t="s">
        <v>73</v>
      </c>
      <c r="C83" s="90"/>
      <c r="D83" s="33"/>
      <c r="E83" s="15"/>
      <c r="F83" s="31"/>
      <c r="G83" s="31" t="s">
        <v>128</v>
      </c>
      <c r="H83" s="63" t="s">
        <v>128</v>
      </c>
      <c r="I83" s="13"/>
    </row>
    <row r="84" spans="1:9" ht="15.75" hidden="1" customHeight="1">
      <c r="A84" s="27"/>
      <c r="B84" s="96" t="s">
        <v>120</v>
      </c>
      <c r="C84" s="91" t="s">
        <v>74</v>
      </c>
      <c r="D84" s="89"/>
      <c r="E84" s="97"/>
      <c r="F84" s="69">
        <v>0.5</v>
      </c>
      <c r="G84" s="69">
        <v>3619.09</v>
      </c>
      <c r="H84" s="63">
        <f t="shared" si="11"/>
        <v>1.8095450000000002</v>
      </c>
      <c r="I84" s="13"/>
    </row>
    <row r="85" spans="1:9" ht="15.75" hidden="1" customHeight="1">
      <c r="A85" s="27"/>
      <c r="B85" s="57" t="s">
        <v>88</v>
      </c>
      <c r="C85" s="13"/>
      <c r="D85" s="13"/>
      <c r="E85" s="13"/>
      <c r="F85" s="13"/>
      <c r="G85" s="13"/>
      <c r="H85" s="13"/>
      <c r="I85" s="13"/>
    </row>
    <row r="86" spans="1:9" ht="15.75" hidden="1" customHeight="1">
      <c r="A86" s="27"/>
      <c r="B86" s="70" t="s">
        <v>107</v>
      </c>
      <c r="C86" s="98"/>
      <c r="D86" s="99"/>
      <c r="E86" s="100"/>
      <c r="F86" s="32">
        <v>1</v>
      </c>
      <c r="G86" s="32">
        <v>8275.7000000000007</v>
      </c>
      <c r="H86" s="63">
        <f>G86*F86/1000</f>
        <v>8.2757000000000005</v>
      </c>
      <c r="I86" s="13"/>
    </row>
    <row r="87" spans="1:9" ht="15" customHeight="1">
      <c r="A87" s="174" t="s">
        <v>125</v>
      </c>
      <c r="B87" s="175"/>
      <c r="C87" s="175"/>
      <c r="D87" s="175"/>
      <c r="E87" s="175"/>
      <c r="F87" s="175"/>
      <c r="G87" s="175"/>
      <c r="H87" s="175"/>
      <c r="I87" s="176"/>
    </row>
    <row r="88" spans="1:9" ht="15.75" customHeight="1">
      <c r="A88" s="27">
        <v>14</v>
      </c>
      <c r="B88" s="70" t="s">
        <v>108</v>
      </c>
      <c r="C88" s="90" t="s">
        <v>54</v>
      </c>
      <c r="D88" s="56"/>
      <c r="E88" s="31">
        <v>2626.5</v>
      </c>
      <c r="F88" s="31">
        <f>SUM(E88*12)</f>
        <v>31518</v>
      </c>
      <c r="G88" s="31">
        <v>3.1</v>
      </c>
      <c r="H88" s="63">
        <f>SUM(F88*G88/1000)</f>
        <v>97.705799999999996</v>
      </c>
      <c r="I88" s="13">
        <f t="shared" ref="I88:I89" si="16">F88/12*G88</f>
        <v>8142.1500000000005</v>
      </c>
    </row>
    <row r="89" spans="1:9" ht="31.5" customHeight="1">
      <c r="A89" s="27">
        <v>15</v>
      </c>
      <c r="B89" s="33" t="s">
        <v>75</v>
      </c>
      <c r="C89" s="90"/>
      <c r="D89" s="56"/>
      <c r="E89" s="72">
        <f>E88</f>
        <v>2626.5</v>
      </c>
      <c r="F89" s="31">
        <f>E89*12</f>
        <v>31518</v>
      </c>
      <c r="G89" s="31">
        <v>3.5</v>
      </c>
      <c r="H89" s="63">
        <f>F89*G89/1000</f>
        <v>110.313</v>
      </c>
      <c r="I89" s="13">
        <f t="shared" si="16"/>
        <v>9192.75</v>
      </c>
    </row>
    <row r="90" spans="1:9" ht="15.75" customHeight="1">
      <c r="A90" s="27"/>
      <c r="B90" s="34" t="s">
        <v>77</v>
      </c>
      <c r="C90" s="54"/>
      <c r="D90" s="53"/>
      <c r="E90" s="50"/>
      <c r="F90" s="50"/>
      <c r="G90" s="50"/>
      <c r="H90" s="55">
        <f>H80</f>
        <v>14.327999999999999</v>
      </c>
      <c r="I90" s="50">
        <f>I89+I88+I82+I80+I79+I64+I46+I43+I41+I40+I20+I18+I17+I16+I39</f>
        <v>40290.507774999991</v>
      </c>
    </row>
    <row r="91" spans="1:9" ht="15.75" customHeight="1">
      <c r="A91" s="163" t="s">
        <v>59</v>
      </c>
      <c r="B91" s="164"/>
      <c r="C91" s="164"/>
      <c r="D91" s="164"/>
      <c r="E91" s="164"/>
      <c r="F91" s="164"/>
      <c r="G91" s="164"/>
      <c r="H91" s="164"/>
      <c r="I91" s="165"/>
    </row>
    <row r="92" spans="1:9" ht="45.75" customHeight="1">
      <c r="A92" s="27">
        <v>16</v>
      </c>
      <c r="B92" s="44" t="s">
        <v>305</v>
      </c>
      <c r="C92" s="45" t="s">
        <v>179</v>
      </c>
      <c r="D92" s="33" t="s">
        <v>310</v>
      </c>
      <c r="E92" s="31"/>
      <c r="F92" s="31">
        <v>0.6</v>
      </c>
      <c r="G92" s="31">
        <v>8968.52</v>
      </c>
      <c r="H92" s="63"/>
      <c r="I92" s="13">
        <f>G92*0.6</f>
        <v>5381.1120000000001</v>
      </c>
    </row>
    <row r="93" spans="1:9" ht="18" customHeight="1">
      <c r="A93" s="27">
        <v>17</v>
      </c>
      <c r="B93" s="44" t="s">
        <v>306</v>
      </c>
      <c r="C93" s="45" t="s">
        <v>101</v>
      </c>
      <c r="D93" s="152" t="s">
        <v>309</v>
      </c>
      <c r="E93" s="31"/>
      <c r="F93" s="31">
        <v>1</v>
      </c>
      <c r="G93" s="31">
        <v>132.53</v>
      </c>
      <c r="H93" s="63"/>
      <c r="I93" s="13">
        <f>G93*1</f>
        <v>132.53</v>
      </c>
    </row>
    <row r="94" spans="1:9" ht="18.75" customHeight="1">
      <c r="A94" s="27">
        <v>18</v>
      </c>
      <c r="B94" s="44" t="s">
        <v>259</v>
      </c>
      <c r="C94" s="45" t="s">
        <v>29</v>
      </c>
      <c r="D94" s="152"/>
      <c r="E94" s="31"/>
      <c r="F94" s="31">
        <f>0.72+0.72+0.72+0.72+0.72</f>
        <v>3.5999999999999996</v>
      </c>
      <c r="G94" s="31">
        <v>241.69</v>
      </c>
      <c r="H94" s="63"/>
      <c r="I94" s="13">
        <f>G94*0.72</f>
        <v>174.01679999999999</v>
      </c>
    </row>
    <row r="95" spans="1:9" ht="16.5" customHeight="1">
      <c r="A95" s="27">
        <v>19</v>
      </c>
      <c r="B95" s="44" t="s">
        <v>307</v>
      </c>
      <c r="C95" s="45" t="s">
        <v>101</v>
      </c>
      <c r="D95" s="152"/>
      <c r="E95" s="31"/>
      <c r="F95" s="31">
        <v>2</v>
      </c>
      <c r="G95" s="31">
        <v>224.48</v>
      </c>
      <c r="H95" s="63"/>
      <c r="I95" s="13">
        <f>G95*2</f>
        <v>448.96</v>
      </c>
    </row>
    <row r="96" spans="1:9" ht="16.5" customHeight="1">
      <c r="A96" s="27">
        <v>20</v>
      </c>
      <c r="B96" s="44" t="s">
        <v>308</v>
      </c>
      <c r="C96" s="45" t="s">
        <v>130</v>
      </c>
      <c r="D96" s="152"/>
      <c r="E96" s="31"/>
      <c r="F96" s="31">
        <v>1</v>
      </c>
      <c r="G96" s="31">
        <v>344.83</v>
      </c>
      <c r="H96" s="63"/>
      <c r="I96" s="13">
        <f>G96*1</f>
        <v>344.83</v>
      </c>
    </row>
    <row r="97" spans="1:9" ht="16.5" customHeight="1">
      <c r="A97" s="27"/>
      <c r="B97" s="39" t="s">
        <v>51</v>
      </c>
      <c r="C97" s="35"/>
      <c r="D97" s="42"/>
      <c r="E97" s="35">
        <v>1</v>
      </c>
      <c r="F97" s="35"/>
      <c r="G97" s="35"/>
      <c r="H97" s="35"/>
      <c r="I97" s="29">
        <f>SUM(I92:I96)</f>
        <v>6481.4488000000001</v>
      </c>
    </row>
    <row r="98" spans="1:9" ht="15.75" customHeight="1">
      <c r="A98" s="27"/>
      <c r="B98" s="41" t="s">
        <v>76</v>
      </c>
      <c r="C98" s="14"/>
      <c r="D98" s="14"/>
      <c r="E98" s="36"/>
      <c r="F98" s="36"/>
      <c r="G98" s="37"/>
      <c r="H98" s="37"/>
      <c r="I98" s="15">
        <v>0</v>
      </c>
    </row>
    <row r="99" spans="1:9" ht="15.75" customHeight="1">
      <c r="A99" s="43"/>
      <c r="B99" s="40" t="s">
        <v>134</v>
      </c>
      <c r="C99" s="30"/>
      <c r="D99" s="30"/>
      <c r="E99" s="30"/>
      <c r="F99" s="30"/>
      <c r="G99" s="30"/>
      <c r="H99" s="30"/>
      <c r="I99" s="38">
        <f>I90+I97</f>
        <v>46771.956574999989</v>
      </c>
    </row>
    <row r="100" spans="1:9" ht="15.75" customHeight="1">
      <c r="A100" s="166" t="s">
        <v>312</v>
      </c>
      <c r="B100" s="166"/>
      <c r="C100" s="166"/>
      <c r="D100" s="166"/>
      <c r="E100" s="166"/>
      <c r="F100" s="166"/>
      <c r="G100" s="166"/>
      <c r="H100" s="166"/>
      <c r="I100" s="166"/>
    </row>
    <row r="101" spans="1:9" ht="15.75">
      <c r="A101" s="46"/>
      <c r="B101" s="167" t="s">
        <v>313</v>
      </c>
      <c r="C101" s="167"/>
      <c r="D101" s="167"/>
      <c r="E101" s="167"/>
      <c r="F101" s="167"/>
      <c r="G101" s="167"/>
      <c r="H101" s="49"/>
      <c r="I101" s="3"/>
    </row>
    <row r="102" spans="1:9">
      <c r="A102" s="59"/>
      <c r="B102" s="168" t="s">
        <v>6</v>
      </c>
      <c r="C102" s="168"/>
      <c r="D102" s="168"/>
      <c r="E102" s="168"/>
      <c r="F102" s="168"/>
      <c r="G102" s="168"/>
      <c r="H102" s="22"/>
      <c r="I102" s="5"/>
    </row>
    <row r="103" spans="1:9" ht="15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 customHeight="1">
      <c r="A104" s="169" t="s">
        <v>7</v>
      </c>
      <c r="B104" s="169"/>
      <c r="C104" s="169"/>
      <c r="D104" s="169"/>
      <c r="E104" s="169"/>
      <c r="F104" s="169"/>
      <c r="G104" s="169"/>
      <c r="H104" s="169"/>
      <c r="I104" s="169"/>
    </row>
    <row r="105" spans="1:9" ht="15.75">
      <c r="A105" s="169" t="s">
        <v>8</v>
      </c>
      <c r="B105" s="169"/>
      <c r="C105" s="169"/>
      <c r="D105" s="169"/>
      <c r="E105" s="169"/>
      <c r="F105" s="169"/>
      <c r="G105" s="169"/>
      <c r="H105" s="169"/>
      <c r="I105" s="169"/>
    </row>
    <row r="106" spans="1:9" ht="15.75">
      <c r="A106" s="170" t="s">
        <v>60</v>
      </c>
      <c r="B106" s="170"/>
      <c r="C106" s="170"/>
      <c r="D106" s="170"/>
      <c r="E106" s="170"/>
      <c r="F106" s="170"/>
      <c r="G106" s="170"/>
      <c r="H106" s="170"/>
      <c r="I106" s="170"/>
    </row>
    <row r="107" spans="1:9" ht="15.75">
      <c r="A107" s="11"/>
    </row>
    <row r="108" spans="1:9" ht="15.75">
      <c r="A108" s="171" t="s">
        <v>9</v>
      </c>
      <c r="B108" s="171"/>
      <c r="C108" s="171"/>
      <c r="D108" s="171"/>
      <c r="E108" s="171"/>
      <c r="F108" s="171"/>
      <c r="G108" s="171"/>
      <c r="H108" s="171"/>
      <c r="I108" s="171"/>
    </row>
    <row r="109" spans="1:9" ht="15.75" customHeight="1">
      <c r="A109" s="4"/>
    </row>
    <row r="110" spans="1:9" ht="15.75">
      <c r="B110" s="61" t="s">
        <v>10</v>
      </c>
      <c r="C110" s="172" t="s">
        <v>217</v>
      </c>
      <c r="D110" s="172"/>
      <c r="E110" s="172"/>
      <c r="F110" s="47"/>
      <c r="I110" s="62"/>
    </row>
    <row r="111" spans="1:9">
      <c r="A111" s="59"/>
      <c r="C111" s="168" t="s">
        <v>11</v>
      </c>
      <c r="D111" s="168"/>
      <c r="E111" s="168"/>
      <c r="F111" s="22"/>
      <c r="I111" s="60" t="s">
        <v>12</v>
      </c>
    </row>
    <row r="112" spans="1:9" ht="15.75" customHeight="1">
      <c r="A112" s="23"/>
      <c r="C112" s="12"/>
      <c r="D112" s="12"/>
      <c r="G112" s="12"/>
      <c r="H112" s="12"/>
    </row>
    <row r="113" spans="1:9" ht="15.75" customHeight="1">
      <c r="B113" s="61" t="s">
        <v>13</v>
      </c>
      <c r="C113" s="173"/>
      <c r="D113" s="173"/>
      <c r="E113" s="173"/>
      <c r="F113" s="48"/>
      <c r="I113" s="62"/>
    </row>
    <row r="114" spans="1:9" ht="15.75" customHeight="1">
      <c r="A114" s="59"/>
      <c r="C114" s="162" t="s">
        <v>11</v>
      </c>
      <c r="D114" s="162"/>
      <c r="E114" s="162"/>
      <c r="F114" s="59"/>
      <c r="I114" s="60" t="s">
        <v>12</v>
      </c>
    </row>
    <row r="115" spans="1:9" ht="15.75">
      <c r="A115" s="4" t="s">
        <v>14</v>
      </c>
    </row>
    <row r="116" spans="1:9">
      <c r="A116" s="189" t="s">
        <v>15</v>
      </c>
      <c r="B116" s="189"/>
      <c r="C116" s="189"/>
      <c r="D116" s="189"/>
      <c r="E116" s="189"/>
      <c r="F116" s="189"/>
      <c r="G116" s="189"/>
      <c r="H116" s="189"/>
      <c r="I116" s="189"/>
    </row>
    <row r="117" spans="1:9" ht="45" customHeight="1">
      <c r="A117" s="190" t="s">
        <v>16</v>
      </c>
      <c r="B117" s="190"/>
      <c r="C117" s="190"/>
      <c r="D117" s="190"/>
      <c r="E117" s="190"/>
      <c r="F117" s="190"/>
      <c r="G117" s="190"/>
      <c r="H117" s="190"/>
      <c r="I117" s="190"/>
    </row>
    <row r="118" spans="1:9" ht="30" customHeight="1">
      <c r="A118" s="190" t="s">
        <v>17</v>
      </c>
      <c r="B118" s="190"/>
      <c r="C118" s="190"/>
      <c r="D118" s="190"/>
      <c r="E118" s="190"/>
      <c r="F118" s="190"/>
      <c r="G118" s="190"/>
      <c r="H118" s="190"/>
      <c r="I118" s="190"/>
    </row>
    <row r="119" spans="1:9" ht="30" customHeight="1">
      <c r="A119" s="190" t="s">
        <v>21</v>
      </c>
      <c r="B119" s="190"/>
      <c r="C119" s="190"/>
      <c r="D119" s="190"/>
      <c r="E119" s="190"/>
      <c r="F119" s="190"/>
      <c r="G119" s="190"/>
      <c r="H119" s="190"/>
      <c r="I119" s="190"/>
    </row>
    <row r="120" spans="1:9" ht="15" customHeight="1">
      <c r="A120" s="190" t="s">
        <v>20</v>
      </c>
      <c r="B120" s="190"/>
      <c r="C120" s="190"/>
      <c r="D120" s="190"/>
      <c r="E120" s="190"/>
      <c r="F120" s="190"/>
      <c r="G120" s="190"/>
      <c r="H120" s="190"/>
      <c r="I120" s="190"/>
    </row>
  </sheetData>
  <autoFilter ref="I12:I60"/>
  <mergeCells count="29">
    <mergeCell ref="A116:I116"/>
    <mergeCell ref="A117:I117"/>
    <mergeCell ref="A118:I118"/>
    <mergeCell ref="A119:I119"/>
    <mergeCell ref="A120:I120"/>
    <mergeCell ref="A87:I87"/>
    <mergeCell ref="A106:I106"/>
    <mergeCell ref="A91:I91"/>
    <mergeCell ref="A100:I100"/>
    <mergeCell ref="B101:G101"/>
    <mergeCell ref="B102:G102"/>
    <mergeCell ref="A104:I104"/>
    <mergeCell ref="A105:I105"/>
    <mergeCell ref="A108:I108"/>
    <mergeCell ref="C110:E110"/>
    <mergeCell ref="C111:E111"/>
    <mergeCell ref="C113:E113"/>
    <mergeCell ref="C114:E114"/>
    <mergeCell ref="A15:I15"/>
    <mergeCell ref="R65:U65"/>
    <mergeCell ref="A3:I3"/>
    <mergeCell ref="A4:I4"/>
    <mergeCell ref="A5:I5"/>
    <mergeCell ref="A8:I8"/>
    <mergeCell ref="A10:I10"/>
    <mergeCell ref="A14:I14"/>
    <mergeCell ref="A29:I29"/>
    <mergeCell ref="A47:I47"/>
    <mergeCell ref="A58:I58"/>
  </mergeCells>
  <pageMargins left="0.70866141732283472" right="0" top="0.27559055118110237" bottom="0.27559055118110237" header="0.31496062992125984" footer="0.31496062992125984"/>
  <pageSetup paperSize="9" scale="59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4"/>
  <sheetViews>
    <sheetView tabSelected="1" topLeftCell="A82" workbookViewId="0">
      <selection activeCell="A110" sqref="A110:I110"/>
    </sheetView>
  </sheetViews>
  <sheetFormatPr defaultRowHeight="15"/>
  <cols>
    <col min="1" max="1" width="7.5703125" customWidth="1"/>
    <col min="2" max="2" width="53.140625" customWidth="1"/>
    <col min="3" max="3" width="22.140625" customWidth="1"/>
    <col min="4" max="4" width="26.5703125" customWidth="1"/>
    <col min="5" max="5" width="18.85546875" hidden="1" customWidth="1"/>
    <col min="6" max="6" width="15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5" t="s">
        <v>178</v>
      </c>
      <c r="I1" s="24"/>
      <c r="J1" s="1"/>
      <c r="K1" s="1"/>
      <c r="L1" s="1"/>
      <c r="M1" s="1"/>
    </row>
    <row r="2" spans="1:13" ht="15.75">
      <c r="A2" s="26" t="s">
        <v>61</v>
      </c>
      <c r="J2" s="2"/>
      <c r="K2" s="2"/>
      <c r="L2" s="2"/>
      <c r="M2" s="2"/>
    </row>
    <row r="3" spans="1:13" ht="15.75" customHeight="1">
      <c r="A3" s="179" t="s">
        <v>138</v>
      </c>
      <c r="B3" s="179"/>
      <c r="C3" s="179"/>
      <c r="D3" s="179"/>
      <c r="E3" s="179"/>
      <c r="F3" s="179"/>
      <c r="G3" s="179"/>
      <c r="H3" s="179"/>
      <c r="I3" s="179"/>
      <c r="J3" s="3"/>
      <c r="K3" s="3"/>
      <c r="L3" s="3"/>
    </row>
    <row r="4" spans="1:13" ht="31.5" customHeight="1">
      <c r="A4" s="180" t="s">
        <v>121</v>
      </c>
      <c r="B4" s="180"/>
      <c r="C4" s="180"/>
      <c r="D4" s="180"/>
      <c r="E4" s="180"/>
      <c r="F4" s="180"/>
      <c r="G4" s="180"/>
      <c r="H4" s="180"/>
      <c r="I4" s="180"/>
    </row>
    <row r="5" spans="1:13" ht="15.75">
      <c r="A5" s="179" t="s">
        <v>314</v>
      </c>
      <c r="B5" s="181"/>
      <c r="C5" s="181"/>
      <c r="D5" s="181"/>
      <c r="E5" s="181"/>
      <c r="F5" s="181"/>
      <c r="G5" s="181"/>
      <c r="H5" s="181"/>
      <c r="I5" s="181"/>
      <c r="J5" s="2"/>
      <c r="K5" s="2"/>
      <c r="L5" s="2"/>
      <c r="M5" s="2"/>
    </row>
    <row r="6" spans="1:13" ht="15.75">
      <c r="A6" s="2"/>
      <c r="B6" s="58"/>
      <c r="C6" s="58"/>
      <c r="D6" s="58"/>
      <c r="E6" s="58"/>
      <c r="F6" s="58"/>
      <c r="G6" s="58"/>
      <c r="H6" s="58"/>
      <c r="I6" s="28">
        <v>44561</v>
      </c>
      <c r="J6" s="2"/>
      <c r="K6" s="2"/>
      <c r="L6" s="2"/>
      <c r="M6" s="2"/>
    </row>
    <row r="7" spans="1:13" ht="15.75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2" t="s">
        <v>215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3" t="s">
        <v>133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4" t="s">
        <v>58</v>
      </c>
      <c r="B14" s="184"/>
      <c r="C14" s="184"/>
      <c r="D14" s="184"/>
      <c r="E14" s="184"/>
      <c r="F14" s="184"/>
      <c r="G14" s="184"/>
      <c r="H14" s="184"/>
      <c r="I14" s="184"/>
      <c r="J14" s="8"/>
      <c r="K14" s="8"/>
      <c r="L14" s="8"/>
      <c r="M14" s="8"/>
    </row>
    <row r="15" spans="1:13" ht="15" customHeight="1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  <c r="J15" s="8"/>
      <c r="K15" s="8"/>
      <c r="L15" s="8"/>
      <c r="M15" s="8"/>
    </row>
    <row r="16" spans="1:13" ht="15.75" customHeight="1">
      <c r="A16" s="27">
        <v>1</v>
      </c>
      <c r="B16" s="70" t="s">
        <v>183</v>
      </c>
      <c r="C16" s="71" t="s">
        <v>82</v>
      </c>
      <c r="D16" s="70" t="s">
        <v>164</v>
      </c>
      <c r="E16" s="72">
        <v>49.72</v>
      </c>
      <c r="F16" s="73">
        <f>SUM(E16*156/100)</f>
        <v>77.563199999999995</v>
      </c>
      <c r="G16" s="73">
        <v>230</v>
      </c>
      <c r="H16" s="74">
        <f t="shared" ref="H16:H25" si="0">SUM(F16*G16/1000)</f>
        <v>17.839535999999999</v>
      </c>
      <c r="I16" s="13">
        <f>F16/12*G16</f>
        <v>1486.6279999999999</v>
      </c>
      <c r="J16" s="19"/>
      <c r="K16" s="8"/>
      <c r="L16" s="8"/>
      <c r="M16" s="8"/>
    </row>
    <row r="17" spans="1:13" ht="15.75" customHeight="1">
      <c r="A17" s="27">
        <v>2</v>
      </c>
      <c r="B17" s="70" t="s">
        <v>109</v>
      </c>
      <c r="C17" s="71" t="s">
        <v>82</v>
      </c>
      <c r="D17" s="70" t="s">
        <v>186</v>
      </c>
      <c r="E17" s="72">
        <v>198.88</v>
      </c>
      <c r="F17" s="73">
        <f>SUM(E17*104/100)</f>
        <v>206.83520000000001</v>
      </c>
      <c r="G17" s="73">
        <v>230</v>
      </c>
      <c r="H17" s="74">
        <f t="shared" si="0"/>
        <v>47.572096000000002</v>
      </c>
      <c r="I17" s="13">
        <f>G17*F17/12</f>
        <v>3964.3413333333338</v>
      </c>
      <c r="J17" s="20"/>
      <c r="K17" s="8"/>
      <c r="L17" s="8"/>
      <c r="M17" s="8"/>
    </row>
    <row r="18" spans="1:13" ht="15.75" customHeight="1">
      <c r="A18" s="27">
        <v>3</v>
      </c>
      <c r="B18" s="70" t="s">
        <v>110</v>
      </c>
      <c r="C18" s="71" t="s">
        <v>82</v>
      </c>
      <c r="D18" s="70" t="s">
        <v>158</v>
      </c>
      <c r="E18" s="72">
        <v>248.6</v>
      </c>
      <c r="F18" s="73">
        <f>SUM(E18*24/100)</f>
        <v>59.663999999999994</v>
      </c>
      <c r="G18" s="73">
        <v>661.67</v>
      </c>
      <c r="H18" s="74">
        <f t="shared" si="0"/>
        <v>39.477878879999999</v>
      </c>
      <c r="I18" s="13">
        <f>F18/12*G18</f>
        <v>3289.8232399999993</v>
      </c>
      <c r="J18" s="20"/>
      <c r="K18" s="8"/>
      <c r="L18" s="8"/>
      <c r="M18" s="8"/>
    </row>
    <row r="19" spans="1:13" ht="15.75" hidden="1" customHeight="1">
      <c r="A19" s="27"/>
      <c r="B19" s="70" t="s">
        <v>89</v>
      </c>
      <c r="C19" s="71" t="s">
        <v>90</v>
      </c>
      <c r="D19" s="70" t="s">
        <v>91</v>
      </c>
      <c r="E19" s="72">
        <v>18.48</v>
      </c>
      <c r="F19" s="73">
        <f>SUM(E19/10)</f>
        <v>1.8480000000000001</v>
      </c>
      <c r="G19" s="73">
        <v>223.17</v>
      </c>
      <c r="H19" s="74">
        <f t="shared" si="0"/>
        <v>0.41241815999999998</v>
      </c>
      <c r="I19" s="13">
        <f>1.848*G19</f>
        <v>412.41816</v>
      </c>
      <c r="J19" s="20"/>
      <c r="K19" s="8"/>
      <c r="L19" s="8"/>
      <c r="M19" s="8"/>
    </row>
    <row r="20" spans="1:13" ht="15.75" customHeight="1">
      <c r="A20" s="27">
        <v>4</v>
      </c>
      <c r="B20" s="70" t="s">
        <v>92</v>
      </c>
      <c r="C20" s="71" t="s">
        <v>82</v>
      </c>
      <c r="D20" s="70" t="s">
        <v>162</v>
      </c>
      <c r="E20" s="72">
        <v>10.5</v>
      </c>
      <c r="F20" s="73">
        <f>SUM(E20*12/100)</f>
        <v>1.26</v>
      </c>
      <c r="G20" s="73">
        <v>285.76</v>
      </c>
      <c r="H20" s="74">
        <f t="shared" si="0"/>
        <v>0.36005759999999998</v>
      </c>
      <c r="I20" s="13">
        <f>F20/12*G20</f>
        <v>30.004799999999999</v>
      </c>
      <c r="J20" s="20"/>
      <c r="K20" s="8"/>
      <c r="L20" s="8"/>
      <c r="M20" s="8"/>
    </row>
    <row r="21" spans="1:13" ht="15.75" hidden="1" customHeight="1">
      <c r="A21" s="27">
        <v>5</v>
      </c>
      <c r="B21" s="70" t="s">
        <v>93</v>
      </c>
      <c r="C21" s="71" t="s">
        <v>82</v>
      </c>
      <c r="D21" s="70" t="s">
        <v>41</v>
      </c>
      <c r="E21" s="72">
        <v>3</v>
      </c>
      <c r="F21" s="73">
        <f>SUM(E21*2/100)</f>
        <v>0.06</v>
      </c>
      <c r="G21" s="73">
        <v>283.44</v>
      </c>
      <c r="H21" s="74">
        <f t="shared" si="0"/>
        <v>1.7006399999999998E-2</v>
      </c>
      <c r="I21" s="13">
        <f>0.03*G21</f>
        <v>8.5031999999999996</v>
      </c>
      <c r="J21" s="20"/>
      <c r="K21" s="8"/>
      <c r="L21" s="8"/>
      <c r="M21" s="8"/>
    </row>
    <row r="22" spans="1:13" ht="15.75" hidden="1" customHeight="1">
      <c r="A22" s="27"/>
      <c r="B22" s="70" t="s">
        <v>94</v>
      </c>
      <c r="C22" s="71" t="s">
        <v>52</v>
      </c>
      <c r="D22" s="70" t="s">
        <v>91</v>
      </c>
      <c r="E22" s="72">
        <v>267.75</v>
      </c>
      <c r="F22" s="73">
        <f>SUM(E22/100)</f>
        <v>2.6775000000000002</v>
      </c>
      <c r="G22" s="73">
        <v>353.14</v>
      </c>
      <c r="H22" s="74">
        <f t="shared" si="0"/>
        <v>0.94553235000000002</v>
      </c>
      <c r="I22" s="13">
        <f>2.6775*G22</f>
        <v>945.53235000000006</v>
      </c>
      <c r="J22" s="20"/>
      <c r="K22" s="8"/>
      <c r="L22" s="8"/>
      <c r="M22" s="8"/>
    </row>
    <row r="23" spans="1:13" ht="15.75" hidden="1" customHeight="1">
      <c r="A23" s="27"/>
      <c r="B23" s="70" t="s">
        <v>95</v>
      </c>
      <c r="C23" s="71" t="s">
        <v>52</v>
      </c>
      <c r="D23" s="70" t="s">
        <v>91</v>
      </c>
      <c r="E23" s="75">
        <v>36.229999999999997</v>
      </c>
      <c r="F23" s="73">
        <f>SUM(E23/100)</f>
        <v>0.36229999999999996</v>
      </c>
      <c r="G23" s="73">
        <v>58.08</v>
      </c>
      <c r="H23" s="74">
        <f t="shared" si="0"/>
        <v>2.1042383999999997E-2</v>
      </c>
      <c r="I23" s="13">
        <f>0.3623*G23</f>
        <v>21.042383999999998</v>
      </c>
      <c r="J23" s="20"/>
      <c r="K23" s="8"/>
      <c r="L23" s="8"/>
      <c r="M23" s="8"/>
    </row>
    <row r="24" spans="1:13" ht="15.75" hidden="1" customHeight="1">
      <c r="A24" s="27"/>
      <c r="B24" s="70" t="s">
        <v>96</v>
      </c>
      <c r="C24" s="71" t="s">
        <v>52</v>
      </c>
      <c r="D24" s="70" t="s">
        <v>53</v>
      </c>
      <c r="E24" s="72">
        <v>15</v>
      </c>
      <c r="F24" s="73">
        <f>SUM(E24/100)</f>
        <v>0.15</v>
      </c>
      <c r="G24" s="73">
        <v>511.12</v>
      </c>
      <c r="H24" s="74">
        <f t="shared" si="0"/>
        <v>7.6667999999999986E-2</v>
      </c>
      <c r="I24" s="13">
        <f>0.15*G24</f>
        <v>76.667999999999992</v>
      </c>
      <c r="J24" s="20"/>
      <c r="K24" s="8"/>
      <c r="L24" s="8"/>
      <c r="M24" s="8"/>
    </row>
    <row r="25" spans="1:13" ht="15.75" hidden="1" customHeight="1">
      <c r="A25" s="27"/>
      <c r="B25" s="70" t="s">
        <v>97</v>
      </c>
      <c r="C25" s="71" t="s">
        <v>52</v>
      </c>
      <c r="D25" s="70" t="s">
        <v>53</v>
      </c>
      <c r="E25" s="72">
        <v>6.38</v>
      </c>
      <c r="F25" s="73">
        <f>SUM(E25/100)</f>
        <v>6.3799999999999996E-2</v>
      </c>
      <c r="G25" s="73">
        <v>683.05</v>
      </c>
      <c r="H25" s="74">
        <f t="shared" si="0"/>
        <v>4.3578589999999993E-2</v>
      </c>
      <c r="I25" s="13">
        <f>0.0638*G25</f>
        <v>43.578589999999991</v>
      </c>
      <c r="J25" s="20"/>
      <c r="K25" s="8"/>
      <c r="L25" s="8"/>
      <c r="M25" s="8"/>
    </row>
    <row r="26" spans="1:13" ht="15.75" hidden="1" customHeight="1">
      <c r="A26" s="27"/>
      <c r="B26" s="70" t="s">
        <v>116</v>
      </c>
      <c r="C26" s="71" t="s">
        <v>52</v>
      </c>
      <c r="D26" s="70" t="s">
        <v>53</v>
      </c>
      <c r="E26" s="72">
        <v>14.25</v>
      </c>
      <c r="F26" s="73">
        <v>0.14000000000000001</v>
      </c>
      <c r="G26" s="73">
        <v>283.44</v>
      </c>
      <c r="H26" s="74">
        <f>G26*F26/1000</f>
        <v>3.9681600000000004E-2</v>
      </c>
      <c r="I26" s="13">
        <f>0.14*G26</f>
        <v>39.681600000000003</v>
      </c>
      <c r="J26" s="20"/>
      <c r="K26" s="8"/>
      <c r="L26" s="8"/>
      <c r="M26" s="8"/>
    </row>
    <row r="27" spans="1:13" ht="15.75" hidden="1" customHeight="1">
      <c r="A27" s="27">
        <v>5</v>
      </c>
      <c r="B27" s="70" t="s">
        <v>195</v>
      </c>
      <c r="C27" s="71" t="s">
        <v>25</v>
      </c>
      <c r="D27" s="70" t="s">
        <v>202</v>
      </c>
      <c r="E27" s="77">
        <v>4.37</v>
      </c>
      <c r="F27" s="73">
        <f>E27*258</f>
        <v>1127.46</v>
      </c>
      <c r="G27" s="73">
        <v>10.39</v>
      </c>
      <c r="H27" s="74">
        <f>SUM(F27*G27/1000)</f>
        <v>11.714309400000001</v>
      </c>
      <c r="I27" s="13">
        <f>G27*F27/12</f>
        <v>976.19245000000012</v>
      </c>
      <c r="J27" s="21"/>
    </row>
    <row r="28" spans="1:13" ht="15.75" hidden="1" customHeight="1">
      <c r="A28" s="27">
        <v>6</v>
      </c>
      <c r="B28" s="78" t="s">
        <v>23</v>
      </c>
      <c r="C28" s="71" t="s">
        <v>24</v>
      </c>
      <c r="D28" s="78" t="s">
        <v>128</v>
      </c>
      <c r="E28" s="72">
        <v>2626.5</v>
      </c>
      <c r="F28" s="73">
        <f>SUM(E28*12)</f>
        <v>31518</v>
      </c>
      <c r="G28" s="73">
        <v>3.36</v>
      </c>
      <c r="H28" s="74">
        <f>SUM(F28*G28/1000)</f>
        <v>105.90048</v>
      </c>
      <c r="I28" s="13">
        <f t="shared" ref="I28" si="1">F28/12*G28</f>
        <v>8825.0399999999991</v>
      </c>
      <c r="J28" s="21"/>
    </row>
    <row r="29" spans="1:13" ht="15.75" customHeight="1">
      <c r="A29" s="185" t="s">
        <v>80</v>
      </c>
      <c r="B29" s="185"/>
      <c r="C29" s="185"/>
      <c r="D29" s="185"/>
      <c r="E29" s="185"/>
      <c r="F29" s="185"/>
      <c r="G29" s="185"/>
      <c r="H29" s="185"/>
      <c r="I29" s="185"/>
      <c r="J29" s="20"/>
      <c r="K29" s="8"/>
      <c r="L29" s="8"/>
      <c r="M29" s="8"/>
    </row>
    <row r="30" spans="1:13" ht="15.75" hidden="1" customHeight="1">
      <c r="A30" s="27"/>
      <c r="B30" s="101" t="s">
        <v>28</v>
      </c>
      <c r="C30" s="71"/>
      <c r="D30" s="70"/>
      <c r="E30" s="72"/>
      <c r="F30" s="73"/>
      <c r="G30" s="73"/>
      <c r="H30" s="74"/>
      <c r="I30" s="13"/>
      <c r="J30" s="21"/>
    </row>
    <row r="31" spans="1:13" ht="15.75" hidden="1" customHeight="1">
      <c r="A31" s="27"/>
      <c r="B31" s="70" t="s">
        <v>99</v>
      </c>
      <c r="C31" s="71" t="s">
        <v>84</v>
      </c>
      <c r="D31" s="70" t="s">
        <v>135</v>
      </c>
      <c r="E31" s="73">
        <v>665</v>
      </c>
      <c r="F31" s="73">
        <f>SUM(E31*52/1000)</f>
        <v>34.58</v>
      </c>
      <c r="G31" s="73">
        <v>204.44</v>
      </c>
      <c r="H31" s="74">
        <f t="shared" ref="H31:H37" si="2">SUM(F31*G31/1000)</f>
        <v>7.0695351999999989</v>
      </c>
      <c r="I31" s="13">
        <f t="shared" ref="I31:I32" si="3">F31/6*G31</f>
        <v>1178.2558666666666</v>
      </c>
      <c r="J31" s="20"/>
      <c r="K31" s="8"/>
      <c r="L31" s="8"/>
      <c r="M31" s="8"/>
    </row>
    <row r="32" spans="1:13" ht="15.75" hidden="1" customHeight="1">
      <c r="A32" s="27"/>
      <c r="B32" s="70" t="s">
        <v>112</v>
      </c>
      <c r="C32" s="71" t="s">
        <v>84</v>
      </c>
      <c r="D32" s="70" t="s">
        <v>136</v>
      </c>
      <c r="E32" s="73">
        <v>81.5</v>
      </c>
      <c r="F32" s="73">
        <f>SUM(E32*78/1000)</f>
        <v>6.3570000000000002</v>
      </c>
      <c r="G32" s="73">
        <v>339.21</v>
      </c>
      <c r="H32" s="74">
        <f t="shared" si="2"/>
        <v>2.1563579700000002</v>
      </c>
      <c r="I32" s="13">
        <f t="shared" si="3"/>
        <v>359.39299500000004</v>
      </c>
      <c r="J32" s="20"/>
      <c r="K32" s="8"/>
      <c r="L32" s="8"/>
      <c r="M32" s="8"/>
    </row>
    <row r="33" spans="1:14" ht="15.75" hidden="1" customHeight="1">
      <c r="A33" s="27"/>
      <c r="B33" s="70" t="s">
        <v>27</v>
      </c>
      <c r="C33" s="71" t="s">
        <v>84</v>
      </c>
      <c r="D33" s="70" t="s">
        <v>53</v>
      </c>
      <c r="E33" s="73">
        <v>665</v>
      </c>
      <c r="F33" s="73">
        <f>SUM(E33/1000)</f>
        <v>0.66500000000000004</v>
      </c>
      <c r="G33" s="73">
        <v>3961.23</v>
      </c>
      <c r="H33" s="74">
        <f t="shared" si="2"/>
        <v>2.63421795</v>
      </c>
      <c r="I33" s="13">
        <f>F33*G33</f>
        <v>2634.2179500000002</v>
      </c>
      <c r="J33" s="20"/>
      <c r="K33" s="8"/>
      <c r="L33" s="8"/>
      <c r="M33" s="8"/>
    </row>
    <row r="34" spans="1:14" ht="15.75" hidden="1" customHeight="1">
      <c r="A34" s="27"/>
      <c r="B34" s="70" t="s">
        <v>111</v>
      </c>
      <c r="C34" s="71" t="s">
        <v>39</v>
      </c>
      <c r="D34" s="70" t="s">
        <v>62</v>
      </c>
      <c r="E34" s="73">
        <v>3</v>
      </c>
      <c r="F34" s="73">
        <f>E34*155/100</f>
        <v>4.6500000000000004</v>
      </c>
      <c r="G34" s="73">
        <v>1707.63</v>
      </c>
      <c r="H34" s="74">
        <f>G34*F34/1000</f>
        <v>7.9404795000000012</v>
      </c>
      <c r="I34" s="13">
        <f>F34/6*G34</f>
        <v>1323.4132500000001</v>
      </c>
      <c r="J34" s="20"/>
      <c r="K34" s="8"/>
      <c r="L34" s="8"/>
      <c r="M34" s="8"/>
    </row>
    <row r="35" spans="1:14" ht="15.75" hidden="1" customHeight="1">
      <c r="A35" s="27"/>
      <c r="B35" s="70" t="s">
        <v>98</v>
      </c>
      <c r="C35" s="71" t="s">
        <v>30</v>
      </c>
      <c r="D35" s="70" t="s">
        <v>62</v>
      </c>
      <c r="E35" s="76">
        <f>1/3</f>
        <v>0.33333333333333331</v>
      </c>
      <c r="F35" s="73">
        <f>155/3</f>
        <v>51.666666666666664</v>
      </c>
      <c r="G35" s="73">
        <v>74.349999999999994</v>
      </c>
      <c r="H35" s="74">
        <f>SUM(G35*155/3/1000)</f>
        <v>3.8414166666666665</v>
      </c>
      <c r="I35" s="13">
        <f>F35/6*G35</f>
        <v>640.23611111111109</v>
      </c>
      <c r="J35" s="20"/>
      <c r="K35" s="8"/>
    </row>
    <row r="36" spans="1:14" ht="15.75" hidden="1" customHeight="1">
      <c r="A36" s="27"/>
      <c r="B36" s="70" t="s">
        <v>63</v>
      </c>
      <c r="C36" s="71" t="s">
        <v>32</v>
      </c>
      <c r="D36" s="70" t="s">
        <v>65</v>
      </c>
      <c r="E36" s="72"/>
      <c r="F36" s="73">
        <v>1</v>
      </c>
      <c r="G36" s="73">
        <v>250.92</v>
      </c>
      <c r="H36" s="74">
        <f t="shared" si="2"/>
        <v>0.25091999999999998</v>
      </c>
      <c r="I36" s="13">
        <v>0</v>
      </c>
      <c r="J36" s="21"/>
    </row>
    <row r="37" spans="1:14" ht="15.75" hidden="1" customHeight="1">
      <c r="A37" s="27"/>
      <c r="B37" s="70" t="s">
        <v>64</v>
      </c>
      <c r="C37" s="71" t="s">
        <v>31</v>
      </c>
      <c r="D37" s="70" t="s">
        <v>65</v>
      </c>
      <c r="E37" s="72"/>
      <c r="F37" s="73">
        <v>1</v>
      </c>
      <c r="G37" s="73">
        <v>1490.31</v>
      </c>
      <c r="H37" s="74">
        <f t="shared" si="2"/>
        <v>1.49031</v>
      </c>
      <c r="I37" s="13">
        <v>0</v>
      </c>
      <c r="J37" s="21"/>
    </row>
    <row r="38" spans="1:14" ht="15.75" customHeight="1">
      <c r="A38" s="27"/>
      <c r="B38" s="101" t="s">
        <v>5</v>
      </c>
      <c r="C38" s="71"/>
      <c r="D38" s="70"/>
      <c r="E38" s="72"/>
      <c r="F38" s="73"/>
      <c r="G38" s="73"/>
      <c r="H38" s="74" t="s">
        <v>128</v>
      </c>
      <c r="I38" s="13"/>
      <c r="J38" s="21"/>
    </row>
    <row r="39" spans="1:14" ht="15.75" customHeight="1">
      <c r="A39" s="27">
        <v>5</v>
      </c>
      <c r="B39" s="79" t="s">
        <v>26</v>
      </c>
      <c r="C39" s="71" t="s">
        <v>31</v>
      </c>
      <c r="D39" s="70" t="s">
        <v>315</v>
      </c>
      <c r="E39" s="72"/>
      <c r="F39" s="73">
        <v>5</v>
      </c>
      <c r="G39" s="73">
        <v>2003</v>
      </c>
      <c r="H39" s="74">
        <f t="shared" ref="H39:H46" si="4">SUM(F39*G39/1000)</f>
        <v>10.015000000000001</v>
      </c>
      <c r="I39" s="13">
        <f>G39*1.5</f>
        <v>3004.5</v>
      </c>
      <c r="J39" s="21"/>
    </row>
    <row r="40" spans="1:14" ht="15.75" customHeight="1">
      <c r="A40" s="27">
        <v>6</v>
      </c>
      <c r="B40" s="79" t="s">
        <v>100</v>
      </c>
      <c r="C40" s="80" t="s">
        <v>29</v>
      </c>
      <c r="D40" s="70" t="s">
        <v>189</v>
      </c>
      <c r="E40" s="72">
        <v>81.5</v>
      </c>
      <c r="F40" s="81">
        <f>E40*30/1000</f>
        <v>2.4449999999999998</v>
      </c>
      <c r="G40" s="73">
        <v>2757.78</v>
      </c>
      <c r="H40" s="74">
        <f t="shared" si="4"/>
        <v>6.7427720999999998</v>
      </c>
      <c r="I40" s="13">
        <f t="shared" ref="I40:I46" si="5">F40/6*G40</f>
        <v>1123.7953500000001</v>
      </c>
      <c r="J40" s="21"/>
    </row>
    <row r="41" spans="1:14" ht="15.75" customHeight="1">
      <c r="A41" s="27">
        <v>7</v>
      </c>
      <c r="B41" s="70" t="s">
        <v>66</v>
      </c>
      <c r="C41" s="71" t="s">
        <v>29</v>
      </c>
      <c r="D41" s="70" t="s">
        <v>190</v>
      </c>
      <c r="E41" s="73">
        <v>81.5</v>
      </c>
      <c r="F41" s="81">
        <f>SUM(E41*155/1000)</f>
        <v>12.6325</v>
      </c>
      <c r="G41" s="73">
        <v>460.02</v>
      </c>
      <c r="H41" s="74">
        <f t="shared" si="4"/>
        <v>5.8112026500000002</v>
      </c>
      <c r="I41" s="13">
        <f t="shared" si="5"/>
        <v>968.53377499999999</v>
      </c>
      <c r="J41" s="21"/>
      <c r="L41" s="16"/>
      <c r="M41" s="17"/>
      <c r="N41" s="18"/>
    </row>
    <row r="42" spans="1:14" ht="15.75" hidden="1" customHeight="1">
      <c r="A42" s="27"/>
      <c r="B42" s="70" t="s">
        <v>113</v>
      </c>
      <c r="C42" s="71" t="s">
        <v>114</v>
      </c>
      <c r="D42" s="70" t="s">
        <v>65</v>
      </c>
      <c r="E42" s="72"/>
      <c r="F42" s="81">
        <v>26</v>
      </c>
      <c r="G42" s="73">
        <v>314</v>
      </c>
      <c r="H42" s="74">
        <f t="shared" si="4"/>
        <v>8.1639999999999997</v>
      </c>
      <c r="I42" s="13">
        <v>0</v>
      </c>
      <c r="J42" s="21"/>
      <c r="L42" s="16"/>
      <c r="M42" s="17"/>
      <c r="N42" s="18"/>
    </row>
    <row r="43" spans="1:14" ht="47.25" customHeight="1">
      <c r="A43" s="27">
        <v>8</v>
      </c>
      <c r="B43" s="70" t="s">
        <v>78</v>
      </c>
      <c r="C43" s="71" t="s">
        <v>84</v>
      </c>
      <c r="D43" s="70" t="s">
        <v>188</v>
      </c>
      <c r="E43" s="73">
        <v>81.5</v>
      </c>
      <c r="F43" s="81">
        <f>SUM(E43*35/1000)</f>
        <v>2.8525</v>
      </c>
      <c r="G43" s="73">
        <v>7611.16</v>
      </c>
      <c r="H43" s="74">
        <f t="shared" si="4"/>
        <v>21.710833900000001</v>
      </c>
      <c r="I43" s="13">
        <f t="shared" si="5"/>
        <v>3618.4723166666663</v>
      </c>
      <c r="J43" s="21"/>
      <c r="L43" s="16"/>
      <c r="M43" s="17"/>
      <c r="N43" s="18"/>
    </row>
    <row r="44" spans="1:14" ht="15.75" hidden="1" customHeight="1">
      <c r="A44" s="27">
        <v>10</v>
      </c>
      <c r="B44" s="70" t="s">
        <v>85</v>
      </c>
      <c r="C44" s="71" t="s">
        <v>84</v>
      </c>
      <c r="D44" s="70" t="s">
        <v>172</v>
      </c>
      <c r="E44" s="73">
        <v>81.5</v>
      </c>
      <c r="F44" s="81">
        <f>SUM(E44*45/1000)</f>
        <v>3.6675</v>
      </c>
      <c r="G44" s="73">
        <v>562.25</v>
      </c>
      <c r="H44" s="74">
        <f t="shared" si="4"/>
        <v>2.0620518750000003</v>
      </c>
      <c r="I44" s="13">
        <f>F44/7.5*G44</f>
        <v>274.94024999999999</v>
      </c>
      <c r="J44" s="21"/>
      <c r="L44" s="16"/>
      <c r="M44" s="17"/>
      <c r="N44" s="18"/>
    </row>
    <row r="45" spans="1:14" ht="15.75" hidden="1" customHeight="1">
      <c r="A45" s="27">
        <v>11</v>
      </c>
      <c r="B45" s="79" t="s">
        <v>68</v>
      </c>
      <c r="C45" s="80" t="s">
        <v>32</v>
      </c>
      <c r="D45" s="79"/>
      <c r="E45" s="77"/>
      <c r="F45" s="81">
        <v>0.9</v>
      </c>
      <c r="G45" s="81">
        <v>974.83</v>
      </c>
      <c r="H45" s="74">
        <f t="shared" si="4"/>
        <v>0.8773470000000001</v>
      </c>
      <c r="I45" s="13">
        <f>F45/7.5*G45</f>
        <v>116.97960000000002</v>
      </c>
      <c r="J45" s="21"/>
      <c r="L45" s="16"/>
      <c r="M45" s="17"/>
      <c r="N45" s="18"/>
    </row>
    <row r="46" spans="1:14" ht="33" customHeight="1">
      <c r="A46" s="27">
        <v>9</v>
      </c>
      <c r="B46" s="44" t="s">
        <v>139</v>
      </c>
      <c r="C46" s="45" t="s">
        <v>29</v>
      </c>
      <c r="D46" s="79" t="s">
        <v>159</v>
      </c>
      <c r="E46" s="77">
        <v>2.4</v>
      </c>
      <c r="F46" s="81">
        <f>SUM(E46*12/1000)</f>
        <v>2.8799999999999996E-2</v>
      </c>
      <c r="G46" s="81">
        <v>260.2</v>
      </c>
      <c r="H46" s="74">
        <f t="shared" si="4"/>
        <v>7.4937599999999986E-3</v>
      </c>
      <c r="I46" s="13">
        <f t="shared" si="5"/>
        <v>1.2489599999999998</v>
      </c>
      <c r="J46" s="21"/>
      <c r="L46" s="16"/>
      <c r="M46" s="17"/>
      <c r="N46" s="18"/>
    </row>
    <row r="47" spans="1:14" ht="15.75" customHeight="1">
      <c r="A47" s="186" t="s">
        <v>122</v>
      </c>
      <c r="B47" s="187"/>
      <c r="C47" s="187"/>
      <c r="D47" s="187"/>
      <c r="E47" s="187"/>
      <c r="F47" s="187"/>
      <c r="G47" s="187"/>
      <c r="H47" s="187"/>
      <c r="I47" s="188"/>
      <c r="J47" s="21"/>
      <c r="L47" s="16"/>
      <c r="M47" s="17"/>
      <c r="N47" s="18"/>
    </row>
    <row r="48" spans="1:14" ht="15.75" hidden="1" customHeight="1">
      <c r="A48" s="27"/>
      <c r="B48" s="70" t="s">
        <v>119</v>
      </c>
      <c r="C48" s="71" t="s">
        <v>84</v>
      </c>
      <c r="D48" s="70" t="s">
        <v>41</v>
      </c>
      <c r="E48" s="72">
        <v>1080</v>
      </c>
      <c r="F48" s="73">
        <f>SUM(E48*2/1000)</f>
        <v>2.16</v>
      </c>
      <c r="G48" s="31">
        <v>1172.4100000000001</v>
      </c>
      <c r="H48" s="74">
        <f t="shared" ref="H48:H56" si="6">SUM(F48*G48/1000)</f>
        <v>2.5324056000000006</v>
      </c>
      <c r="I48" s="13">
        <f t="shared" ref="I48:I51" si="7">F48/2*G48</f>
        <v>1266.2028000000003</v>
      </c>
      <c r="J48" s="21"/>
      <c r="L48" s="16"/>
      <c r="M48" s="17"/>
      <c r="N48" s="18"/>
    </row>
    <row r="49" spans="1:22" ht="15.75" hidden="1" customHeight="1">
      <c r="A49" s="27"/>
      <c r="B49" s="70" t="s">
        <v>34</v>
      </c>
      <c r="C49" s="71" t="s">
        <v>84</v>
      </c>
      <c r="D49" s="70" t="s">
        <v>41</v>
      </c>
      <c r="E49" s="72">
        <v>39</v>
      </c>
      <c r="F49" s="73">
        <f>SUM(E49*2/1000)</f>
        <v>7.8E-2</v>
      </c>
      <c r="G49" s="31">
        <v>4419.05</v>
      </c>
      <c r="H49" s="74">
        <f t="shared" si="6"/>
        <v>0.34468589999999999</v>
      </c>
      <c r="I49" s="13">
        <f t="shared" si="7"/>
        <v>172.34295</v>
      </c>
      <c r="J49" s="21"/>
      <c r="L49" s="16"/>
      <c r="M49" s="17"/>
      <c r="N49" s="18"/>
    </row>
    <row r="50" spans="1:22" ht="15.75" hidden="1" customHeight="1">
      <c r="A50" s="27"/>
      <c r="B50" s="70" t="s">
        <v>35</v>
      </c>
      <c r="C50" s="71" t="s">
        <v>84</v>
      </c>
      <c r="D50" s="70" t="s">
        <v>41</v>
      </c>
      <c r="E50" s="72">
        <v>1037</v>
      </c>
      <c r="F50" s="73">
        <f>SUM(E50*2/1000)</f>
        <v>2.0739999999999998</v>
      </c>
      <c r="G50" s="31">
        <v>1803.69</v>
      </c>
      <c r="H50" s="74">
        <f t="shared" si="6"/>
        <v>3.7408530600000001</v>
      </c>
      <c r="I50" s="13">
        <f t="shared" si="7"/>
        <v>1870.42653</v>
      </c>
      <c r="J50" s="21"/>
      <c r="L50" s="16"/>
      <c r="M50" s="17"/>
      <c r="N50" s="18"/>
    </row>
    <row r="51" spans="1:22" ht="15.75" hidden="1" customHeight="1">
      <c r="A51" s="27"/>
      <c r="B51" s="70" t="s">
        <v>36</v>
      </c>
      <c r="C51" s="71" t="s">
        <v>84</v>
      </c>
      <c r="D51" s="70" t="s">
        <v>41</v>
      </c>
      <c r="E51" s="72">
        <v>2274</v>
      </c>
      <c r="F51" s="73">
        <f>SUM(E51*2/1000)</f>
        <v>4.548</v>
      </c>
      <c r="G51" s="31">
        <v>1243.43</v>
      </c>
      <c r="H51" s="74">
        <f t="shared" si="6"/>
        <v>5.6551196399999997</v>
      </c>
      <c r="I51" s="13">
        <f t="shared" si="7"/>
        <v>2827.5598199999999</v>
      </c>
      <c r="J51" s="21"/>
      <c r="L51" s="16"/>
      <c r="M51" s="17"/>
      <c r="N51" s="18"/>
    </row>
    <row r="52" spans="1:22" ht="15.75" hidden="1" customHeight="1">
      <c r="A52" s="27"/>
      <c r="B52" s="70" t="s">
        <v>33</v>
      </c>
      <c r="C52" s="71" t="s">
        <v>52</v>
      </c>
      <c r="D52" s="70" t="s">
        <v>41</v>
      </c>
      <c r="E52" s="72">
        <v>83.04</v>
      </c>
      <c r="F52" s="73">
        <v>1.66</v>
      </c>
      <c r="G52" s="31">
        <v>1352.76</v>
      </c>
      <c r="H52" s="74">
        <f>SUM(F52*G52/1000)</f>
        <v>2.2455816</v>
      </c>
      <c r="I52" s="13">
        <f>F52/2*G52</f>
        <v>1122.7908</v>
      </c>
      <c r="J52" s="21"/>
      <c r="L52" s="16"/>
      <c r="M52" s="17"/>
      <c r="N52" s="18"/>
    </row>
    <row r="53" spans="1:22" ht="15.75" customHeight="1">
      <c r="A53" s="27">
        <v>10</v>
      </c>
      <c r="B53" s="70" t="s">
        <v>55</v>
      </c>
      <c r="C53" s="71" t="s">
        <v>84</v>
      </c>
      <c r="D53" s="70" t="s">
        <v>157</v>
      </c>
      <c r="E53" s="72">
        <v>2626.5</v>
      </c>
      <c r="F53" s="73">
        <f>SUM(E53*5/1000)</f>
        <v>13.1325</v>
      </c>
      <c r="G53" s="31">
        <v>1803.69</v>
      </c>
      <c r="H53" s="74">
        <f t="shared" ref="H53:H55" si="8">SUM(F53*G53/1000)</f>
        <v>23.686958925000003</v>
      </c>
      <c r="I53" s="13">
        <f>F53/5*G53</f>
        <v>4737.3917849999998</v>
      </c>
      <c r="J53" s="21"/>
      <c r="L53" s="16"/>
      <c r="M53" s="17"/>
      <c r="N53" s="18"/>
    </row>
    <row r="54" spans="1:22" ht="31.5" hidden="1" customHeight="1">
      <c r="A54" s="27"/>
      <c r="B54" s="70" t="s">
        <v>86</v>
      </c>
      <c r="C54" s="71" t="s">
        <v>84</v>
      </c>
      <c r="D54" s="70" t="s">
        <v>41</v>
      </c>
      <c r="E54" s="72">
        <v>2626.5</v>
      </c>
      <c r="F54" s="73">
        <f>SUM(E54*2/1000)</f>
        <v>5.2530000000000001</v>
      </c>
      <c r="G54" s="31">
        <v>1591.6</v>
      </c>
      <c r="H54" s="74">
        <f t="shared" si="8"/>
        <v>8.3606747999999982</v>
      </c>
      <c r="I54" s="13">
        <f>F54/2*G54</f>
        <v>4180.3373999999994</v>
      </c>
      <c r="J54" s="21"/>
      <c r="L54" s="16"/>
      <c r="M54" s="17"/>
      <c r="N54" s="18"/>
    </row>
    <row r="55" spans="1:22" ht="31.5" hidden="1" customHeight="1">
      <c r="A55" s="27"/>
      <c r="B55" s="70" t="s">
        <v>87</v>
      </c>
      <c r="C55" s="71" t="s">
        <v>37</v>
      </c>
      <c r="D55" s="70" t="s">
        <v>41</v>
      </c>
      <c r="E55" s="72">
        <v>15</v>
      </c>
      <c r="F55" s="73">
        <f>SUM(E55*2/100)</f>
        <v>0.3</v>
      </c>
      <c r="G55" s="31">
        <v>4058.32</v>
      </c>
      <c r="H55" s="74">
        <f t="shared" si="8"/>
        <v>1.2174960000000001</v>
      </c>
      <c r="I55" s="13">
        <f t="shared" ref="I55:I56" si="9">F55/2*G55</f>
        <v>608.74800000000005</v>
      </c>
      <c r="J55" s="21"/>
      <c r="L55" s="16"/>
      <c r="M55" s="17"/>
      <c r="N55" s="18"/>
    </row>
    <row r="56" spans="1:22" ht="15.75" hidden="1" customHeight="1">
      <c r="A56" s="27"/>
      <c r="B56" s="70" t="s">
        <v>38</v>
      </c>
      <c r="C56" s="71" t="s">
        <v>39</v>
      </c>
      <c r="D56" s="70" t="s">
        <v>41</v>
      </c>
      <c r="E56" s="72">
        <v>1</v>
      </c>
      <c r="F56" s="73">
        <v>0.02</v>
      </c>
      <c r="G56" s="31">
        <v>7412.92</v>
      </c>
      <c r="H56" s="74">
        <f t="shared" si="6"/>
        <v>0.14825839999999998</v>
      </c>
      <c r="I56" s="13">
        <f t="shared" si="9"/>
        <v>74.129199999999997</v>
      </c>
      <c r="J56" s="21"/>
      <c r="L56" s="16"/>
      <c r="M56" s="17"/>
      <c r="N56" s="18"/>
    </row>
    <row r="57" spans="1:22" ht="15.75" hidden="1" customHeight="1">
      <c r="A57" s="27">
        <v>12</v>
      </c>
      <c r="B57" s="70" t="s">
        <v>40</v>
      </c>
      <c r="C57" s="71" t="s">
        <v>101</v>
      </c>
      <c r="D57" s="151">
        <v>44183</v>
      </c>
      <c r="E57" s="72">
        <v>90</v>
      </c>
      <c r="F57" s="73">
        <f>SUM(E57)*3</f>
        <v>270</v>
      </c>
      <c r="G57" s="69">
        <v>86.15</v>
      </c>
      <c r="H57" s="74">
        <f>SUM(F57*G57/1000)</f>
        <v>23.2605</v>
      </c>
      <c r="I57" s="13">
        <f>F57/3*G57</f>
        <v>7753.5000000000009</v>
      </c>
      <c r="J57" s="21"/>
      <c r="L57" s="16"/>
      <c r="M57" s="17"/>
      <c r="N57" s="18"/>
    </row>
    <row r="58" spans="1:22" ht="15.75" customHeight="1">
      <c r="A58" s="186" t="s">
        <v>123</v>
      </c>
      <c r="B58" s="187"/>
      <c r="C58" s="187"/>
      <c r="D58" s="187"/>
      <c r="E58" s="187"/>
      <c r="F58" s="187"/>
      <c r="G58" s="187"/>
      <c r="H58" s="187"/>
      <c r="I58" s="188"/>
      <c r="J58" s="21"/>
      <c r="L58" s="16"/>
    </row>
    <row r="59" spans="1:22" ht="15.75" hidden="1" customHeight="1">
      <c r="A59" s="27"/>
      <c r="B59" s="101" t="s">
        <v>42</v>
      </c>
      <c r="C59" s="71"/>
      <c r="D59" s="70"/>
      <c r="E59" s="72"/>
      <c r="F59" s="73"/>
      <c r="G59" s="73"/>
      <c r="H59" s="74"/>
      <c r="I59" s="13"/>
    </row>
    <row r="60" spans="1:22" ht="31.5" hidden="1" customHeight="1">
      <c r="A60" s="27">
        <v>14</v>
      </c>
      <c r="B60" s="70" t="s">
        <v>129</v>
      </c>
      <c r="C60" s="71" t="s">
        <v>82</v>
      </c>
      <c r="D60" s="70"/>
      <c r="E60" s="72">
        <v>111</v>
      </c>
      <c r="F60" s="73">
        <f>SUM(E60*6/100)</f>
        <v>6.66</v>
      </c>
      <c r="G60" s="31">
        <v>2029.3</v>
      </c>
      <c r="H60" s="74">
        <f>SUM(F60*G60/1000)</f>
        <v>13.515138</v>
      </c>
      <c r="I60" s="13">
        <f>G60*0.1</f>
        <v>202.93</v>
      </c>
    </row>
    <row r="61" spans="1:22" ht="15.75" hidden="1" customHeight="1">
      <c r="A61" s="27">
        <v>15</v>
      </c>
      <c r="B61" s="70" t="s">
        <v>141</v>
      </c>
      <c r="C61" s="71" t="s">
        <v>142</v>
      </c>
      <c r="D61" s="70" t="s">
        <v>201</v>
      </c>
      <c r="E61" s="72"/>
      <c r="F61" s="73">
        <v>3</v>
      </c>
      <c r="G61" s="31">
        <v>1582.05</v>
      </c>
      <c r="H61" s="74">
        <f>SUM(F61*G61/1000)</f>
        <v>4.7461499999999992</v>
      </c>
      <c r="I61" s="13">
        <f>G61*3.5</f>
        <v>5537.1750000000002</v>
      </c>
    </row>
    <row r="62" spans="1:22" ht="15.75" customHeight="1">
      <c r="A62" s="27"/>
      <c r="B62" s="102" t="s">
        <v>43</v>
      </c>
      <c r="C62" s="82"/>
      <c r="D62" s="83"/>
      <c r="E62" s="84"/>
      <c r="F62" s="85"/>
      <c r="G62" s="31"/>
      <c r="H62" s="86"/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27"/>
      <c r="B63" s="83" t="s">
        <v>44</v>
      </c>
      <c r="C63" s="82" t="s">
        <v>52</v>
      </c>
      <c r="D63" s="83" t="s">
        <v>53</v>
      </c>
      <c r="E63" s="84">
        <v>130</v>
      </c>
      <c r="F63" s="85">
        <f>E63/100</f>
        <v>1.3</v>
      </c>
      <c r="G63" s="31">
        <v>1040.8399999999999</v>
      </c>
      <c r="H63" s="86">
        <f>F63*G63/1000</f>
        <v>1.353092</v>
      </c>
      <c r="I63" s="13">
        <v>0</v>
      </c>
      <c r="J63" s="23"/>
      <c r="K63" s="2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27">
        <v>11</v>
      </c>
      <c r="B64" s="83" t="s">
        <v>115</v>
      </c>
      <c r="C64" s="82" t="s">
        <v>25</v>
      </c>
      <c r="D64" s="83" t="s">
        <v>156</v>
      </c>
      <c r="E64" s="84">
        <v>130</v>
      </c>
      <c r="F64" s="87">
        <f>E64*12</f>
        <v>1560</v>
      </c>
      <c r="G64" s="88">
        <v>1.4</v>
      </c>
      <c r="H64" s="85">
        <f>F64*G64/1000</f>
        <v>2.1840000000000002</v>
      </c>
      <c r="I64" s="13">
        <f t="shared" ref="I64" si="10">F64/12*G64</f>
        <v>182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27"/>
      <c r="B65" s="103" t="s">
        <v>45</v>
      </c>
      <c r="C65" s="82"/>
      <c r="D65" s="83"/>
      <c r="E65" s="84"/>
      <c r="F65" s="87"/>
      <c r="G65" s="87"/>
      <c r="H65" s="85" t="s">
        <v>128</v>
      </c>
      <c r="I65" s="13"/>
      <c r="J65" s="5"/>
      <c r="K65" s="5"/>
      <c r="L65" s="5"/>
      <c r="M65" s="5"/>
      <c r="N65" s="5"/>
      <c r="O65" s="5"/>
      <c r="P65" s="5"/>
      <c r="Q65" s="5"/>
      <c r="R65" s="162"/>
      <c r="S65" s="162"/>
      <c r="T65" s="162"/>
      <c r="U65" s="162"/>
    </row>
    <row r="66" spans="1:21" ht="15.75" customHeight="1">
      <c r="A66" s="27">
        <v>12</v>
      </c>
      <c r="B66" s="89" t="s">
        <v>46</v>
      </c>
      <c r="C66" s="90" t="s">
        <v>101</v>
      </c>
      <c r="D66" s="70" t="s">
        <v>157</v>
      </c>
      <c r="E66" s="15">
        <v>9</v>
      </c>
      <c r="F66" s="69">
        <f>SUM(E66)</f>
        <v>9</v>
      </c>
      <c r="G66" s="31">
        <v>291.68</v>
      </c>
      <c r="H66" s="63">
        <f t="shared" ref="H66:H84" si="11">SUM(F66*G66/1000)</f>
        <v>2.6251199999999999</v>
      </c>
      <c r="I66" s="13">
        <f>G66*1</f>
        <v>291.68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customHeight="1">
      <c r="A67" s="27">
        <v>13</v>
      </c>
      <c r="B67" s="89" t="s">
        <v>47</v>
      </c>
      <c r="C67" s="90" t="s">
        <v>101</v>
      </c>
      <c r="D67" s="70" t="s">
        <v>158</v>
      </c>
      <c r="E67" s="15">
        <v>4</v>
      </c>
      <c r="F67" s="69">
        <f>SUM(E67)</f>
        <v>4</v>
      </c>
      <c r="G67" s="31">
        <v>100.01</v>
      </c>
      <c r="H67" s="63">
        <f t="shared" si="11"/>
        <v>0.40004000000000001</v>
      </c>
      <c r="I67" s="13">
        <f>G67*2</f>
        <v>200.02</v>
      </c>
    </row>
    <row r="68" spans="1:21" ht="15.75" hidden="1" customHeight="1">
      <c r="A68" s="27"/>
      <c r="B68" s="89" t="s">
        <v>48</v>
      </c>
      <c r="C68" s="91" t="s">
        <v>103</v>
      </c>
      <c r="D68" s="33" t="s">
        <v>53</v>
      </c>
      <c r="E68" s="72">
        <v>13287</v>
      </c>
      <c r="F68" s="69">
        <f>SUM(E68/100)</f>
        <v>132.87</v>
      </c>
      <c r="G68" s="31">
        <v>278.24</v>
      </c>
      <c r="H68" s="63">
        <f t="shared" si="11"/>
        <v>36.969748799999998</v>
      </c>
      <c r="I68" s="13">
        <v>0</v>
      </c>
    </row>
    <row r="69" spans="1:21" ht="15.75" hidden="1" customHeight="1">
      <c r="A69" s="27"/>
      <c r="B69" s="89" t="s">
        <v>49</v>
      </c>
      <c r="C69" s="90" t="s">
        <v>104</v>
      </c>
      <c r="D69" s="33" t="s">
        <v>53</v>
      </c>
      <c r="E69" s="72">
        <v>13287</v>
      </c>
      <c r="F69" s="31">
        <f>SUM(E69/1000)</f>
        <v>13.287000000000001</v>
      </c>
      <c r="G69" s="31">
        <v>216.68</v>
      </c>
      <c r="H69" s="63">
        <f t="shared" si="11"/>
        <v>2.8790271600000001</v>
      </c>
      <c r="I69" s="13">
        <v>0</v>
      </c>
    </row>
    <row r="70" spans="1:21" ht="15.75" hidden="1" customHeight="1">
      <c r="A70" s="27"/>
      <c r="B70" s="89" t="s">
        <v>50</v>
      </c>
      <c r="C70" s="90" t="s">
        <v>74</v>
      </c>
      <c r="D70" s="33" t="s">
        <v>53</v>
      </c>
      <c r="E70" s="72">
        <v>2110</v>
      </c>
      <c r="F70" s="31">
        <f>SUM(E70/100)</f>
        <v>21.1</v>
      </c>
      <c r="G70" s="31">
        <v>2720.94</v>
      </c>
      <c r="H70" s="63">
        <f>SUM(F70*G70/1000)</f>
        <v>57.411834000000006</v>
      </c>
      <c r="I70" s="13">
        <v>0</v>
      </c>
    </row>
    <row r="71" spans="1:21" ht="15.75" hidden="1" customHeight="1">
      <c r="A71" s="27"/>
      <c r="B71" s="92" t="s">
        <v>105</v>
      </c>
      <c r="C71" s="90" t="s">
        <v>32</v>
      </c>
      <c r="D71" s="33"/>
      <c r="E71" s="72">
        <v>8.6</v>
      </c>
      <c r="F71" s="31">
        <f>SUM(E71)</f>
        <v>8.6</v>
      </c>
      <c r="G71" s="31">
        <v>42.61</v>
      </c>
      <c r="H71" s="63">
        <f t="shared" si="11"/>
        <v>0.36644599999999999</v>
      </c>
      <c r="I71" s="13">
        <v>0</v>
      </c>
    </row>
    <row r="72" spans="1:21" ht="15.75" hidden="1" customHeight="1">
      <c r="A72" s="27"/>
      <c r="B72" s="92" t="s">
        <v>106</v>
      </c>
      <c r="C72" s="90" t="s">
        <v>32</v>
      </c>
      <c r="D72" s="33"/>
      <c r="E72" s="72">
        <v>8.6</v>
      </c>
      <c r="F72" s="31">
        <f>SUM(E72)</f>
        <v>8.6</v>
      </c>
      <c r="G72" s="31">
        <v>46.04</v>
      </c>
      <c r="H72" s="63">
        <f t="shared" si="11"/>
        <v>0.39594399999999996</v>
      </c>
      <c r="I72" s="13">
        <v>0</v>
      </c>
    </row>
    <row r="73" spans="1:21" ht="15.75" hidden="1" customHeight="1">
      <c r="A73" s="27"/>
      <c r="B73" s="33" t="s">
        <v>56</v>
      </c>
      <c r="C73" s="90" t="s">
        <v>57</v>
      </c>
      <c r="D73" s="33" t="s">
        <v>53</v>
      </c>
      <c r="E73" s="15">
        <v>3</v>
      </c>
      <c r="F73" s="31">
        <f>SUM(E73)</f>
        <v>3</v>
      </c>
      <c r="G73" s="31">
        <v>65.42</v>
      </c>
      <c r="H73" s="63">
        <f t="shared" si="11"/>
        <v>0.19625999999999999</v>
      </c>
      <c r="I73" s="13">
        <v>0</v>
      </c>
    </row>
    <row r="74" spans="1:21" ht="15.75" customHeight="1">
      <c r="A74" s="27"/>
      <c r="B74" s="104" t="s">
        <v>70</v>
      </c>
      <c r="C74" s="90"/>
      <c r="D74" s="33"/>
      <c r="E74" s="15"/>
      <c r="F74" s="31"/>
      <c r="G74" s="31"/>
      <c r="H74" s="63" t="s">
        <v>128</v>
      </c>
      <c r="I74" s="13"/>
    </row>
    <row r="75" spans="1:21" ht="31.5" hidden="1" customHeight="1">
      <c r="A75" s="27"/>
      <c r="B75" s="33" t="s">
        <v>143</v>
      </c>
      <c r="C75" s="90" t="s">
        <v>101</v>
      </c>
      <c r="D75" s="70" t="s">
        <v>65</v>
      </c>
      <c r="E75" s="15">
        <v>1</v>
      </c>
      <c r="F75" s="31">
        <v>1</v>
      </c>
      <c r="G75" s="31">
        <v>1543.4</v>
      </c>
      <c r="H75" s="63">
        <f t="shared" ref="H75:H77" si="12">SUM(F75*G75/1000)</f>
        <v>1.5434000000000001</v>
      </c>
      <c r="I75" s="13">
        <v>0</v>
      </c>
    </row>
    <row r="76" spans="1:21" ht="15.75" hidden="1" customHeight="1">
      <c r="A76" s="27">
        <v>17</v>
      </c>
      <c r="B76" s="33" t="s">
        <v>71</v>
      </c>
      <c r="C76" s="90" t="s">
        <v>72</v>
      </c>
      <c r="D76" s="70" t="s">
        <v>65</v>
      </c>
      <c r="E76" s="15">
        <v>3</v>
      </c>
      <c r="F76" s="31">
        <f>E76/10</f>
        <v>0.3</v>
      </c>
      <c r="G76" s="31">
        <v>657.87</v>
      </c>
      <c r="H76" s="63">
        <f t="shared" si="12"/>
        <v>0.19736099999999998</v>
      </c>
      <c r="I76" s="13">
        <f>G76*0.9</f>
        <v>592.08299999999997</v>
      </c>
    </row>
    <row r="77" spans="1:21" ht="15.75" hidden="1" customHeight="1">
      <c r="A77" s="27"/>
      <c r="B77" s="33" t="s">
        <v>144</v>
      </c>
      <c r="C77" s="90" t="s">
        <v>101</v>
      </c>
      <c r="D77" s="70" t="s">
        <v>65</v>
      </c>
      <c r="E77" s="15">
        <v>2</v>
      </c>
      <c r="F77" s="73">
        <f>SUM(E77)</f>
        <v>2</v>
      </c>
      <c r="G77" s="31">
        <v>1118.72</v>
      </c>
      <c r="H77" s="63">
        <f t="shared" si="12"/>
        <v>2.2374399999999999</v>
      </c>
      <c r="I77" s="13">
        <v>0</v>
      </c>
    </row>
    <row r="78" spans="1:21" ht="15.75" hidden="1" customHeight="1">
      <c r="A78" s="27"/>
      <c r="B78" s="44" t="s">
        <v>145</v>
      </c>
      <c r="C78" s="45" t="s">
        <v>101</v>
      </c>
      <c r="D78" s="70" t="s">
        <v>65</v>
      </c>
      <c r="E78" s="15">
        <v>1</v>
      </c>
      <c r="F78" s="88">
        <v>1</v>
      </c>
      <c r="G78" s="31">
        <v>1605.83</v>
      </c>
      <c r="H78" s="63">
        <f>SUM(F78*G78/1000)</f>
        <v>1.6058299999999999</v>
      </c>
      <c r="I78" s="13">
        <v>0</v>
      </c>
    </row>
    <row r="79" spans="1:21" ht="15.75" customHeight="1">
      <c r="A79" s="27">
        <v>14</v>
      </c>
      <c r="B79" s="44" t="s">
        <v>146</v>
      </c>
      <c r="C79" s="45" t="s">
        <v>101</v>
      </c>
      <c r="D79" s="33" t="s">
        <v>156</v>
      </c>
      <c r="E79" s="93">
        <v>2</v>
      </c>
      <c r="F79" s="87">
        <f>E79*12</f>
        <v>24</v>
      </c>
      <c r="G79" s="94">
        <v>53.42</v>
      </c>
      <c r="H79" s="63">
        <f t="shared" ref="H79:H80" si="13">SUM(F79*G79/1000)</f>
        <v>1.2820799999999999</v>
      </c>
      <c r="I79" s="13">
        <f t="shared" ref="I79:I82" si="14">F79/12*G79</f>
        <v>106.84</v>
      </c>
    </row>
    <row r="80" spans="1:21" ht="15.75" customHeight="1">
      <c r="A80" s="27">
        <v>15</v>
      </c>
      <c r="B80" s="52" t="s">
        <v>147</v>
      </c>
      <c r="C80" s="90"/>
      <c r="D80" s="33" t="s">
        <v>156</v>
      </c>
      <c r="E80" s="15">
        <v>1</v>
      </c>
      <c r="F80" s="31">
        <v>12</v>
      </c>
      <c r="G80" s="31">
        <v>1194</v>
      </c>
      <c r="H80" s="63">
        <f t="shared" si="13"/>
        <v>14.327999999999999</v>
      </c>
      <c r="I80" s="13">
        <f t="shared" si="14"/>
        <v>1194</v>
      </c>
    </row>
    <row r="81" spans="1:9" ht="15.75" customHeight="1">
      <c r="A81" s="27"/>
      <c r="B81" s="105" t="s">
        <v>148</v>
      </c>
      <c r="C81" s="45"/>
      <c r="D81" s="33"/>
      <c r="E81" s="15"/>
      <c r="F81" s="31"/>
      <c r="G81" s="31"/>
      <c r="H81" s="63"/>
      <c r="I81" s="13"/>
    </row>
    <row r="82" spans="1:9" ht="15.75" customHeight="1">
      <c r="A82" s="27">
        <v>16</v>
      </c>
      <c r="B82" s="33" t="s">
        <v>149</v>
      </c>
      <c r="C82" s="95" t="s">
        <v>150</v>
      </c>
      <c r="D82" s="70"/>
      <c r="E82" s="15">
        <v>2626.5</v>
      </c>
      <c r="F82" s="31">
        <f>SUM(E82*12)</f>
        <v>31518</v>
      </c>
      <c r="G82" s="31">
        <v>2.2799999999999998</v>
      </c>
      <c r="H82" s="63">
        <f t="shared" ref="H82" si="15">SUM(F82*G82/1000)</f>
        <v>71.861039999999988</v>
      </c>
      <c r="I82" s="13">
        <f t="shared" si="14"/>
        <v>5988.4199999999992</v>
      </c>
    </row>
    <row r="83" spans="1:9" ht="15.75" hidden="1" customHeight="1">
      <c r="A83" s="27"/>
      <c r="B83" s="106" t="s">
        <v>73</v>
      </c>
      <c r="C83" s="90"/>
      <c r="D83" s="33"/>
      <c r="E83" s="15"/>
      <c r="F83" s="31"/>
      <c r="G83" s="31" t="s">
        <v>128</v>
      </c>
      <c r="H83" s="63" t="s">
        <v>128</v>
      </c>
      <c r="I83" s="13"/>
    </row>
    <row r="84" spans="1:9" ht="15.75" hidden="1" customHeight="1">
      <c r="A84" s="27"/>
      <c r="B84" s="96" t="s">
        <v>120</v>
      </c>
      <c r="C84" s="91" t="s">
        <v>74</v>
      </c>
      <c r="D84" s="89"/>
      <c r="E84" s="97"/>
      <c r="F84" s="69">
        <v>0.5</v>
      </c>
      <c r="G84" s="69">
        <v>3619.09</v>
      </c>
      <c r="H84" s="63">
        <f t="shared" si="11"/>
        <v>1.8095450000000002</v>
      </c>
      <c r="I84" s="13"/>
    </row>
    <row r="85" spans="1:9" ht="15.75" hidden="1" customHeight="1">
      <c r="A85" s="27"/>
      <c r="B85" s="57" t="s">
        <v>88</v>
      </c>
      <c r="C85" s="13"/>
      <c r="D85" s="13"/>
      <c r="E85" s="13"/>
      <c r="F85" s="13"/>
      <c r="G85" s="13"/>
      <c r="H85" s="13"/>
      <c r="I85" s="13"/>
    </row>
    <row r="86" spans="1:9" ht="15.75" hidden="1" customHeight="1">
      <c r="A86" s="27"/>
      <c r="B86" s="70" t="s">
        <v>107</v>
      </c>
      <c r="C86" s="98"/>
      <c r="D86" s="99"/>
      <c r="E86" s="100"/>
      <c r="F86" s="32">
        <v>1</v>
      </c>
      <c r="G86" s="32">
        <v>8275.7000000000007</v>
      </c>
      <c r="H86" s="63">
        <f>G86*F86/1000</f>
        <v>8.2757000000000005</v>
      </c>
      <c r="I86" s="13"/>
    </row>
    <row r="87" spans="1:9" ht="15" customHeight="1">
      <c r="A87" s="174" t="s">
        <v>124</v>
      </c>
      <c r="B87" s="175"/>
      <c r="C87" s="175"/>
      <c r="D87" s="175"/>
      <c r="E87" s="175"/>
      <c r="F87" s="175"/>
      <c r="G87" s="175"/>
      <c r="H87" s="175"/>
      <c r="I87" s="176"/>
    </row>
    <row r="88" spans="1:9" ht="15.75" customHeight="1">
      <c r="A88" s="27">
        <v>17</v>
      </c>
      <c r="B88" s="70" t="s">
        <v>108</v>
      </c>
      <c r="C88" s="90" t="s">
        <v>54</v>
      </c>
      <c r="D88" s="56"/>
      <c r="E88" s="31">
        <v>2626.5</v>
      </c>
      <c r="F88" s="31">
        <f>SUM(E88*12)</f>
        <v>31518</v>
      </c>
      <c r="G88" s="31">
        <v>3.1</v>
      </c>
      <c r="H88" s="63">
        <f>SUM(F88*G88/1000)</f>
        <v>97.705799999999996</v>
      </c>
      <c r="I88" s="13">
        <f t="shared" ref="I88:I89" si="16">F88/12*G88</f>
        <v>8142.1500000000005</v>
      </c>
    </row>
    <row r="89" spans="1:9" ht="31.5" customHeight="1">
      <c r="A89" s="27">
        <v>18</v>
      </c>
      <c r="B89" s="33" t="s">
        <v>75</v>
      </c>
      <c r="C89" s="90"/>
      <c r="D89" s="56"/>
      <c r="E89" s="72">
        <f>E88</f>
        <v>2626.5</v>
      </c>
      <c r="F89" s="31">
        <f>E89*12</f>
        <v>31518</v>
      </c>
      <c r="G89" s="31">
        <v>3.5</v>
      </c>
      <c r="H89" s="63">
        <f>F89*G89/1000</f>
        <v>110.313</v>
      </c>
      <c r="I89" s="13">
        <f t="shared" si="16"/>
        <v>9192.75</v>
      </c>
    </row>
    <row r="90" spans="1:9" ht="15.75" customHeight="1">
      <c r="A90" s="27"/>
      <c r="B90" s="34" t="s">
        <v>77</v>
      </c>
      <c r="C90" s="54"/>
      <c r="D90" s="53"/>
      <c r="E90" s="50"/>
      <c r="F90" s="50"/>
      <c r="G90" s="50"/>
      <c r="H90" s="55">
        <f>H80</f>
        <v>14.327999999999999</v>
      </c>
      <c r="I90" s="50">
        <f>I89+I88+I82+I80+I79+I67++I66+I64+I53+I46+I43+I41+I40+I39+I20+I18+I17+I16</f>
        <v>47522.599560000002</v>
      </c>
    </row>
    <row r="91" spans="1:9" ht="15.75" customHeight="1">
      <c r="A91" s="163" t="s">
        <v>59</v>
      </c>
      <c r="B91" s="164"/>
      <c r="C91" s="164"/>
      <c r="D91" s="164"/>
      <c r="E91" s="164"/>
      <c r="F91" s="164"/>
      <c r="G91" s="164"/>
      <c r="H91" s="164"/>
      <c r="I91" s="165"/>
    </row>
    <row r="92" spans="1:9" ht="18.75" customHeight="1">
      <c r="A92" s="27">
        <v>19</v>
      </c>
      <c r="B92" s="44" t="s">
        <v>184</v>
      </c>
      <c r="C92" s="45" t="s">
        <v>185</v>
      </c>
      <c r="D92" s="152" t="s">
        <v>267</v>
      </c>
      <c r="E92" s="31"/>
      <c r="F92" s="31">
        <v>20</v>
      </c>
      <c r="G92" s="31">
        <v>295.36</v>
      </c>
      <c r="H92" s="63"/>
      <c r="I92" s="13">
        <v>0</v>
      </c>
    </row>
    <row r="93" spans="1:9" ht="36.75" customHeight="1">
      <c r="A93" s="27">
        <v>20</v>
      </c>
      <c r="B93" s="44" t="s">
        <v>261</v>
      </c>
      <c r="C93" s="45" t="s">
        <v>130</v>
      </c>
      <c r="D93" s="152" t="s">
        <v>323</v>
      </c>
      <c r="E93" s="31"/>
      <c r="F93" s="31">
        <v>2</v>
      </c>
      <c r="G93" s="31">
        <v>1620.57</v>
      </c>
      <c r="H93" s="63"/>
      <c r="I93" s="13">
        <f>G93*2</f>
        <v>3241.14</v>
      </c>
    </row>
    <row r="94" spans="1:9" ht="17.25" customHeight="1">
      <c r="A94" s="27">
        <v>21</v>
      </c>
      <c r="B94" s="44" t="s">
        <v>316</v>
      </c>
      <c r="C94" s="45" t="s">
        <v>30</v>
      </c>
      <c r="D94" s="152" t="s">
        <v>301</v>
      </c>
      <c r="E94" s="31"/>
      <c r="F94" s="31">
        <v>1</v>
      </c>
      <c r="G94" s="31">
        <v>6876.97</v>
      </c>
      <c r="H94" s="63"/>
      <c r="I94" s="13">
        <f>G94*2</f>
        <v>13753.94</v>
      </c>
    </row>
    <row r="95" spans="1:9" ht="32.25" customHeight="1">
      <c r="A95" s="27">
        <v>22</v>
      </c>
      <c r="B95" s="44" t="s">
        <v>317</v>
      </c>
      <c r="C95" s="45" t="s">
        <v>130</v>
      </c>
      <c r="D95" s="152" t="s">
        <v>321</v>
      </c>
      <c r="E95" s="31"/>
      <c r="F95" s="31">
        <v>3</v>
      </c>
      <c r="G95" s="31">
        <v>697.33</v>
      </c>
      <c r="H95" s="63"/>
      <c r="I95" s="13">
        <f>G95*3</f>
        <v>2091.9900000000002</v>
      </c>
    </row>
    <row r="96" spans="1:9" ht="33" customHeight="1">
      <c r="A96" s="27">
        <v>23</v>
      </c>
      <c r="B96" s="44" t="s">
        <v>208</v>
      </c>
      <c r="C96" s="45" t="s">
        <v>209</v>
      </c>
      <c r="D96" s="152" t="s">
        <v>322</v>
      </c>
      <c r="E96" s="31"/>
      <c r="F96" s="31">
        <v>2</v>
      </c>
      <c r="G96" s="31">
        <v>64.040000000000006</v>
      </c>
      <c r="H96" s="63"/>
      <c r="I96" s="13">
        <f>G96*1</f>
        <v>64.040000000000006</v>
      </c>
    </row>
    <row r="97" spans="1:9" ht="17.25" customHeight="1">
      <c r="A97" s="27">
        <v>24</v>
      </c>
      <c r="B97" s="44" t="s">
        <v>308</v>
      </c>
      <c r="C97" s="45" t="s">
        <v>130</v>
      </c>
      <c r="D97" s="152"/>
      <c r="E97" s="31"/>
      <c r="F97" s="31">
        <v>3</v>
      </c>
      <c r="G97" s="31">
        <v>344.83</v>
      </c>
      <c r="H97" s="63"/>
      <c r="I97" s="13">
        <f>G97*2</f>
        <v>689.66</v>
      </c>
    </row>
    <row r="98" spans="1:9" ht="17.25" customHeight="1">
      <c r="A98" s="27">
        <v>25</v>
      </c>
      <c r="B98" s="44" t="s">
        <v>206</v>
      </c>
      <c r="C98" s="45" t="s">
        <v>39</v>
      </c>
      <c r="D98" s="152" t="s">
        <v>198</v>
      </c>
      <c r="E98" s="31"/>
      <c r="F98" s="31">
        <v>0.05</v>
      </c>
      <c r="G98" s="31">
        <v>28224.75</v>
      </c>
      <c r="H98" s="63"/>
      <c r="I98" s="13">
        <v>0</v>
      </c>
    </row>
    <row r="99" spans="1:9" ht="17.25" customHeight="1">
      <c r="A99" s="27">
        <v>26</v>
      </c>
      <c r="B99" s="44" t="s">
        <v>318</v>
      </c>
      <c r="C99" s="45" t="s">
        <v>237</v>
      </c>
      <c r="D99" s="152" t="s">
        <v>320</v>
      </c>
      <c r="E99" s="31"/>
      <c r="F99" s="31">
        <v>1</v>
      </c>
      <c r="G99" s="31">
        <v>2861.86</v>
      </c>
      <c r="H99" s="63"/>
      <c r="I99" s="13">
        <f>G99*1</f>
        <v>2861.86</v>
      </c>
    </row>
    <row r="100" spans="1:9" ht="17.25" customHeight="1">
      <c r="A100" s="27">
        <v>27</v>
      </c>
      <c r="B100" s="44" t="s">
        <v>319</v>
      </c>
      <c r="C100" s="45" t="s">
        <v>101</v>
      </c>
      <c r="D100" s="152"/>
      <c r="E100" s="31"/>
      <c r="F100" s="31">
        <v>2</v>
      </c>
      <c r="G100" s="31">
        <v>1900</v>
      </c>
      <c r="H100" s="63"/>
      <c r="I100" s="13">
        <f>G100*2</f>
        <v>3800</v>
      </c>
    </row>
    <row r="101" spans="1:9" ht="16.5" customHeight="1">
      <c r="A101" s="27"/>
      <c r="B101" s="39" t="s">
        <v>51</v>
      </c>
      <c r="C101" s="35"/>
      <c r="D101" s="42"/>
      <c r="E101" s="35">
        <v>1</v>
      </c>
      <c r="F101" s="35"/>
      <c r="G101" s="35"/>
      <c r="H101" s="35"/>
      <c r="I101" s="29">
        <f>SUM(I92:I100)</f>
        <v>26502.630000000005</v>
      </c>
    </row>
    <row r="102" spans="1:9" ht="15.75" customHeight="1">
      <c r="A102" s="27"/>
      <c r="B102" s="41" t="s">
        <v>76</v>
      </c>
      <c r="C102" s="14"/>
      <c r="D102" s="14"/>
      <c r="E102" s="36"/>
      <c r="F102" s="36"/>
      <c r="G102" s="37"/>
      <c r="H102" s="37"/>
      <c r="I102" s="15">
        <v>0</v>
      </c>
    </row>
    <row r="103" spans="1:9" ht="15.75" customHeight="1">
      <c r="A103" s="43"/>
      <c r="B103" s="40" t="s">
        <v>134</v>
      </c>
      <c r="C103" s="30"/>
      <c r="D103" s="30"/>
      <c r="E103" s="30"/>
      <c r="F103" s="30"/>
      <c r="G103" s="30"/>
      <c r="H103" s="30"/>
      <c r="I103" s="38">
        <f>I90+I101</f>
        <v>74025.229560000007</v>
      </c>
    </row>
    <row r="104" spans="1:9" ht="15.75" customHeight="1">
      <c r="A104" s="166" t="s">
        <v>324</v>
      </c>
      <c r="B104" s="166"/>
      <c r="C104" s="166"/>
      <c r="D104" s="166"/>
      <c r="E104" s="166"/>
      <c r="F104" s="166"/>
      <c r="G104" s="166"/>
      <c r="H104" s="166"/>
      <c r="I104" s="166"/>
    </row>
    <row r="105" spans="1:9" ht="15.75">
      <c r="A105" s="46"/>
      <c r="B105" s="167" t="s">
        <v>325</v>
      </c>
      <c r="C105" s="167"/>
      <c r="D105" s="167"/>
      <c r="E105" s="167"/>
      <c r="F105" s="167"/>
      <c r="G105" s="167"/>
      <c r="H105" s="49"/>
      <c r="I105" s="3"/>
    </row>
    <row r="106" spans="1:9">
      <c r="A106" s="59"/>
      <c r="B106" s="168" t="s">
        <v>6</v>
      </c>
      <c r="C106" s="168"/>
      <c r="D106" s="168"/>
      <c r="E106" s="168"/>
      <c r="F106" s="168"/>
      <c r="G106" s="168"/>
      <c r="H106" s="22"/>
      <c r="I106" s="5"/>
    </row>
    <row r="107" spans="1:9" ht="15.75" customHeight="1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 customHeight="1">
      <c r="A108" s="169" t="s">
        <v>7</v>
      </c>
      <c r="B108" s="169"/>
      <c r="C108" s="169"/>
      <c r="D108" s="169"/>
      <c r="E108" s="169"/>
      <c r="F108" s="169"/>
      <c r="G108" s="169"/>
      <c r="H108" s="169"/>
      <c r="I108" s="169"/>
    </row>
    <row r="109" spans="1:9" ht="15.75">
      <c r="A109" s="169" t="s">
        <v>8</v>
      </c>
      <c r="B109" s="169"/>
      <c r="C109" s="169"/>
      <c r="D109" s="169"/>
      <c r="E109" s="169"/>
      <c r="F109" s="169"/>
      <c r="G109" s="169"/>
      <c r="H109" s="169"/>
      <c r="I109" s="169"/>
    </row>
    <row r="110" spans="1:9" ht="15.75">
      <c r="A110" s="170" t="s">
        <v>60</v>
      </c>
      <c r="B110" s="170"/>
      <c r="C110" s="170"/>
      <c r="D110" s="170"/>
      <c r="E110" s="170"/>
      <c r="F110" s="170"/>
      <c r="G110" s="170"/>
      <c r="H110" s="170"/>
      <c r="I110" s="170"/>
    </row>
    <row r="111" spans="1:9" ht="15.75">
      <c r="A111" s="11"/>
    </row>
    <row r="112" spans="1:9" ht="15.75">
      <c r="A112" s="171" t="s">
        <v>9</v>
      </c>
      <c r="B112" s="171"/>
      <c r="C112" s="171"/>
      <c r="D112" s="171"/>
      <c r="E112" s="171"/>
      <c r="F112" s="171"/>
      <c r="G112" s="171"/>
      <c r="H112" s="171"/>
      <c r="I112" s="171"/>
    </row>
    <row r="113" spans="1:9" ht="15.75" customHeight="1">
      <c r="A113" s="4"/>
    </row>
    <row r="114" spans="1:9" ht="15.75">
      <c r="B114" s="61" t="s">
        <v>10</v>
      </c>
      <c r="C114" s="172" t="s">
        <v>217</v>
      </c>
      <c r="D114" s="172"/>
      <c r="E114" s="172"/>
      <c r="F114" s="47"/>
      <c r="I114" s="62"/>
    </row>
    <row r="115" spans="1:9">
      <c r="A115" s="59"/>
      <c r="C115" s="168" t="s">
        <v>11</v>
      </c>
      <c r="D115" s="168"/>
      <c r="E115" s="168"/>
      <c r="F115" s="22"/>
      <c r="I115" s="60" t="s">
        <v>12</v>
      </c>
    </row>
    <row r="116" spans="1:9" ht="15.75" customHeight="1">
      <c r="A116" s="23"/>
      <c r="C116" s="12"/>
      <c r="D116" s="12"/>
      <c r="G116" s="12"/>
      <c r="H116" s="12"/>
    </row>
    <row r="117" spans="1:9" ht="15.75" customHeight="1">
      <c r="B117" s="61" t="s">
        <v>13</v>
      </c>
      <c r="C117" s="173"/>
      <c r="D117" s="173"/>
      <c r="E117" s="173"/>
      <c r="F117" s="48"/>
      <c r="I117" s="62"/>
    </row>
    <row r="118" spans="1:9" ht="15.75" customHeight="1">
      <c r="A118" s="59"/>
      <c r="C118" s="162" t="s">
        <v>11</v>
      </c>
      <c r="D118" s="162"/>
      <c r="E118" s="162"/>
      <c r="F118" s="59"/>
      <c r="I118" s="60" t="s">
        <v>12</v>
      </c>
    </row>
    <row r="119" spans="1:9" ht="15.75">
      <c r="A119" s="4" t="s">
        <v>14</v>
      </c>
    </row>
    <row r="120" spans="1:9">
      <c r="A120" s="189" t="s">
        <v>15</v>
      </c>
      <c r="B120" s="189"/>
      <c r="C120" s="189"/>
      <c r="D120" s="189"/>
      <c r="E120" s="189"/>
      <c r="F120" s="189"/>
      <c r="G120" s="189"/>
      <c r="H120" s="189"/>
      <c r="I120" s="189"/>
    </row>
    <row r="121" spans="1:9" ht="45" customHeight="1">
      <c r="A121" s="190" t="s">
        <v>16</v>
      </c>
      <c r="B121" s="190"/>
      <c r="C121" s="190"/>
      <c r="D121" s="190"/>
      <c r="E121" s="190"/>
      <c r="F121" s="190"/>
      <c r="G121" s="190"/>
      <c r="H121" s="190"/>
      <c r="I121" s="190"/>
    </row>
    <row r="122" spans="1:9" ht="30" customHeight="1">
      <c r="A122" s="190" t="s">
        <v>17</v>
      </c>
      <c r="B122" s="190"/>
      <c r="C122" s="190"/>
      <c r="D122" s="190"/>
      <c r="E122" s="190"/>
      <c r="F122" s="190"/>
      <c r="G122" s="190"/>
      <c r="H122" s="190"/>
      <c r="I122" s="190"/>
    </row>
    <row r="123" spans="1:9" ht="30" customHeight="1">
      <c r="A123" s="190" t="s">
        <v>21</v>
      </c>
      <c r="B123" s="190"/>
      <c r="C123" s="190"/>
      <c r="D123" s="190"/>
      <c r="E123" s="190"/>
      <c r="F123" s="190"/>
      <c r="G123" s="190"/>
      <c r="H123" s="190"/>
      <c r="I123" s="190"/>
    </row>
    <row r="124" spans="1:9" ht="15" customHeight="1">
      <c r="A124" s="190" t="s">
        <v>20</v>
      </c>
      <c r="B124" s="190"/>
      <c r="C124" s="190"/>
      <c r="D124" s="190"/>
      <c r="E124" s="190"/>
      <c r="F124" s="190"/>
      <c r="G124" s="190"/>
      <c r="H124" s="190"/>
      <c r="I124" s="190"/>
    </row>
  </sheetData>
  <autoFilter ref="I12:I60"/>
  <mergeCells count="29">
    <mergeCell ref="A120:I120"/>
    <mergeCell ref="A121:I121"/>
    <mergeCell ref="A122:I122"/>
    <mergeCell ref="A123:I123"/>
    <mergeCell ref="A124:I124"/>
    <mergeCell ref="R65:U65"/>
    <mergeCell ref="C118:E118"/>
    <mergeCell ref="A91:I91"/>
    <mergeCell ref="A104:I104"/>
    <mergeCell ref="B105:G105"/>
    <mergeCell ref="B106:G106"/>
    <mergeCell ref="A108:I108"/>
    <mergeCell ref="A109:I109"/>
    <mergeCell ref="A110:I110"/>
    <mergeCell ref="A112:I112"/>
    <mergeCell ref="C114:E114"/>
    <mergeCell ref="C115:E115"/>
    <mergeCell ref="C117:E117"/>
    <mergeCell ref="A87:I87"/>
    <mergeCell ref="A3:I3"/>
    <mergeCell ref="A4:I4"/>
    <mergeCell ref="A5:I5"/>
    <mergeCell ref="A8:I8"/>
    <mergeCell ref="A10:I10"/>
    <mergeCell ref="A14:I14"/>
    <mergeCell ref="A15:I15"/>
    <mergeCell ref="A29:I29"/>
    <mergeCell ref="A47:I47"/>
    <mergeCell ref="A58:I58"/>
  </mergeCells>
  <pageMargins left="0.70866141732283472" right="0" top="0.27559055118110237" bottom="0.27559055118110237" header="0.31496062992125984" footer="0.31496062992125984"/>
  <pageSetup paperSize="9" scale="56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7"/>
  <sheetViews>
    <sheetView topLeftCell="A92" workbookViewId="0">
      <selection activeCell="G110" sqref="G110"/>
    </sheetView>
  </sheetViews>
  <sheetFormatPr defaultRowHeight="15"/>
  <cols>
    <col min="1" max="1" width="7.5703125" customWidth="1"/>
    <col min="2" max="2" width="53.140625" customWidth="1"/>
    <col min="3" max="3" width="22" customWidth="1"/>
    <col min="4" max="4" width="17.5703125" bestFit="1" customWidth="1"/>
    <col min="5" max="5" width="18.85546875" hidden="1" customWidth="1"/>
    <col min="6" max="6" width="14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5" t="s">
        <v>178</v>
      </c>
      <c r="I1" s="24"/>
      <c r="J1" s="1"/>
      <c r="K1" s="1"/>
      <c r="L1" s="1"/>
      <c r="M1" s="1"/>
    </row>
    <row r="2" spans="1:13" ht="15.75">
      <c r="A2" s="26" t="s">
        <v>61</v>
      </c>
      <c r="J2" s="2"/>
      <c r="K2" s="2"/>
      <c r="L2" s="2"/>
      <c r="M2" s="2"/>
    </row>
    <row r="3" spans="1:13" ht="15.75" customHeight="1">
      <c r="A3" s="179" t="s">
        <v>132</v>
      </c>
      <c r="B3" s="179"/>
      <c r="C3" s="179"/>
      <c r="D3" s="179"/>
      <c r="E3" s="179"/>
      <c r="F3" s="179"/>
      <c r="G3" s="179"/>
      <c r="H3" s="179"/>
      <c r="I3" s="179"/>
      <c r="J3" s="3"/>
      <c r="K3" s="3"/>
      <c r="L3" s="3"/>
    </row>
    <row r="4" spans="1:13" ht="31.5" customHeight="1">
      <c r="A4" s="180" t="s">
        <v>121</v>
      </c>
      <c r="B4" s="180"/>
      <c r="C4" s="180"/>
      <c r="D4" s="180"/>
      <c r="E4" s="180"/>
      <c r="F4" s="180"/>
      <c r="G4" s="180"/>
      <c r="H4" s="180"/>
      <c r="I4" s="180"/>
    </row>
    <row r="5" spans="1:13" ht="15.75">
      <c r="A5" s="179" t="s">
        <v>230</v>
      </c>
      <c r="B5" s="181"/>
      <c r="C5" s="181"/>
      <c r="D5" s="181"/>
      <c r="E5" s="181"/>
      <c r="F5" s="181"/>
      <c r="G5" s="181"/>
      <c r="H5" s="181"/>
      <c r="I5" s="181"/>
      <c r="J5" s="2"/>
      <c r="K5" s="2"/>
      <c r="L5" s="2"/>
      <c r="M5" s="2"/>
    </row>
    <row r="6" spans="1:13" ht="15.75">
      <c r="A6" s="2"/>
      <c r="B6" s="68"/>
      <c r="C6" s="68"/>
      <c r="D6" s="68"/>
      <c r="E6" s="68"/>
      <c r="F6" s="68"/>
      <c r="G6" s="68"/>
      <c r="H6" s="68"/>
      <c r="I6" s="28" t="s">
        <v>231</v>
      </c>
      <c r="J6" s="2"/>
      <c r="K6" s="2"/>
      <c r="L6" s="2"/>
      <c r="M6" s="2"/>
    </row>
    <row r="7" spans="1:13" ht="15.75">
      <c r="B7" s="66"/>
      <c r="C7" s="66"/>
      <c r="D7" s="6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2" t="s">
        <v>215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3" t="s">
        <v>133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4" t="s">
        <v>58</v>
      </c>
      <c r="B14" s="184"/>
      <c r="C14" s="184"/>
      <c r="D14" s="184"/>
      <c r="E14" s="184"/>
      <c r="F14" s="184"/>
      <c r="G14" s="184"/>
      <c r="H14" s="184"/>
      <c r="I14" s="184"/>
      <c r="J14" s="8"/>
      <c r="K14" s="8"/>
      <c r="L14" s="8"/>
      <c r="M14" s="8"/>
    </row>
    <row r="15" spans="1:13" ht="15" customHeight="1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  <c r="J15" s="8"/>
      <c r="K15" s="8"/>
      <c r="L15" s="8"/>
      <c r="M15" s="8"/>
    </row>
    <row r="16" spans="1:13" ht="19.5" customHeight="1">
      <c r="A16" s="27">
        <v>1</v>
      </c>
      <c r="B16" s="70" t="s">
        <v>81</v>
      </c>
      <c r="C16" s="71" t="s">
        <v>82</v>
      </c>
      <c r="D16" s="70" t="s">
        <v>232</v>
      </c>
      <c r="E16" s="72">
        <v>49.72</v>
      </c>
      <c r="F16" s="73">
        <f>SUM(E16*156/100)</f>
        <v>77.563199999999995</v>
      </c>
      <c r="G16" s="73">
        <v>230</v>
      </c>
      <c r="H16" s="74">
        <f t="shared" ref="H16:H25" si="0">SUM(F16*G16/1000)</f>
        <v>17.839535999999999</v>
      </c>
      <c r="I16" s="13">
        <f>G16*F16/156*12</f>
        <v>1372.2719999999999</v>
      </c>
      <c r="J16" s="19"/>
      <c r="K16" s="8"/>
      <c r="L16" s="8"/>
      <c r="M16" s="8"/>
    </row>
    <row r="17" spans="1:13" ht="16.5" customHeight="1">
      <c r="A17" s="27">
        <v>2</v>
      </c>
      <c r="B17" s="70" t="s">
        <v>169</v>
      </c>
      <c r="C17" s="71" t="s">
        <v>82</v>
      </c>
      <c r="D17" s="70" t="s">
        <v>172</v>
      </c>
      <c r="E17" s="72">
        <v>198.88</v>
      </c>
      <c r="F17" s="73">
        <f>SUM(E17*104/100)</f>
        <v>206.83520000000001</v>
      </c>
      <c r="G17" s="73">
        <v>230</v>
      </c>
      <c r="H17" s="74">
        <f t="shared" si="0"/>
        <v>47.572096000000002</v>
      </c>
      <c r="I17" s="13">
        <f>G17*F17/104*7</f>
        <v>3201.9680000000003</v>
      </c>
      <c r="J17" s="20"/>
      <c r="K17" s="8"/>
      <c r="L17" s="8"/>
      <c r="M17" s="8"/>
    </row>
    <row r="18" spans="1:13" ht="15.75" customHeight="1">
      <c r="A18" s="27">
        <v>3</v>
      </c>
      <c r="B18" s="70" t="s">
        <v>180</v>
      </c>
      <c r="C18" s="71" t="s">
        <v>82</v>
      </c>
      <c r="D18" s="70" t="s">
        <v>158</v>
      </c>
      <c r="E18" s="72">
        <v>248.6</v>
      </c>
      <c r="F18" s="73">
        <f>SUM(E18*24/100)</f>
        <v>59.663999999999994</v>
      </c>
      <c r="G18" s="73">
        <v>661.67</v>
      </c>
      <c r="H18" s="74">
        <f t="shared" si="0"/>
        <v>39.477878879999999</v>
      </c>
      <c r="I18" s="13">
        <f>G18*F18/12</f>
        <v>3289.8232399999997</v>
      </c>
      <c r="J18" s="20"/>
      <c r="K18" s="8"/>
      <c r="L18" s="8"/>
      <c r="M18" s="8"/>
    </row>
    <row r="19" spans="1:13" ht="15.75" hidden="1" customHeight="1">
      <c r="A19" s="27"/>
      <c r="B19" s="70" t="s">
        <v>89</v>
      </c>
      <c r="C19" s="71" t="s">
        <v>90</v>
      </c>
      <c r="D19" s="70" t="s">
        <v>91</v>
      </c>
      <c r="E19" s="72">
        <v>18.48</v>
      </c>
      <c r="F19" s="73">
        <f>SUM(E19/10)</f>
        <v>1.8480000000000001</v>
      </c>
      <c r="G19" s="73">
        <v>223.17</v>
      </c>
      <c r="H19" s="74">
        <f t="shared" si="0"/>
        <v>0.41241815999999998</v>
      </c>
      <c r="I19" s="13">
        <v>0</v>
      </c>
      <c r="J19" s="20"/>
      <c r="K19" s="8"/>
      <c r="L19" s="8"/>
      <c r="M19" s="8"/>
    </row>
    <row r="20" spans="1:13" ht="15.75" customHeight="1">
      <c r="A20" s="27">
        <v>4</v>
      </c>
      <c r="B20" s="70" t="s">
        <v>92</v>
      </c>
      <c r="C20" s="71" t="s">
        <v>82</v>
      </c>
      <c r="D20" s="70" t="s">
        <v>157</v>
      </c>
      <c r="E20" s="72">
        <v>10.5</v>
      </c>
      <c r="F20" s="73">
        <f>SUM(E20*12/100)</f>
        <v>1.26</v>
      </c>
      <c r="G20" s="73">
        <v>285.76</v>
      </c>
      <c r="H20" s="74">
        <f t="shared" si="0"/>
        <v>0.36005759999999998</v>
      </c>
      <c r="I20" s="13">
        <f>F20/12*G20</f>
        <v>30.004799999999999</v>
      </c>
      <c r="J20" s="20"/>
      <c r="K20" s="8"/>
      <c r="L20" s="8"/>
      <c r="M20" s="8"/>
    </row>
    <row r="21" spans="1:13" ht="15.75" hidden="1" customHeight="1">
      <c r="A21" s="27">
        <v>5</v>
      </c>
      <c r="B21" s="70" t="s">
        <v>93</v>
      </c>
      <c r="C21" s="71" t="s">
        <v>82</v>
      </c>
      <c r="D21" s="70" t="s">
        <v>41</v>
      </c>
      <c r="E21" s="72">
        <v>3</v>
      </c>
      <c r="F21" s="73">
        <f>SUM(E21*2/100)</f>
        <v>0.06</v>
      </c>
      <c r="G21" s="73">
        <v>283.44</v>
      </c>
      <c r="H21" s="74">
        <f t="shared" si="0"/>
        <v>1.7006399999999998E-2</v>
      </c>
      <c r="I21" s="13">
        <f>F21/6*G21</f>
        <v>2.8344</v>
      </c>
      <c r="J21" s="20"/>
      <c r="K21" s="8"/>
      <c r="L21" s="8"/>
      <c r="M21" s="8"/>
    </row>
    <row r="22" spans="1:13" ht="15.75" hidden="1" customHeight="1">
      <c r="A22" s="27"/>
      <c r="B22" s="70" t="s">
        <v>94</v>
      </c>
      <c r="C22" s="71" t="s">
        <v>52</v>
      </c>
      <c r="D22" s="70" t="s">
        <v>91</v>
      </c>
      <c r="E22" s="72">
        <v>267.75</v>
      </c>
      <c r="F22" s="73">
        <f>SUM(E22/100)</f>
        <v>2.6775000000000002</v>
      </c>
      <c r="G22" s="73">
        <v>353.14</v>
      </c>
      <c r="H22" s="74">
        <f t="shared" si="0"/>
        <v>0.94553235000000002</v>
      </c>
      <c r="I22" s="13">
        <v>0</v>
      </c>
      <c r="J22" s="20"/>
      <c r="K22" s="8"/>
      <c r="L22" s="8"/>
      <c r="M22" s="8"/>
    </row>
    <row r="23" spans="1:13" ht="15.75" hidden="1" customHeight="1">
      <c r="A23" s="27"/>
      <c r="B23" s="70" t="s">
        <v>95</v>
      </c>
      <c r="C23" s="71" t="s">
        <v>52</v>
      </c>
      <c r="D23" s="70" t="s">
        <v>91</v>
      </c>
      <c r="E23" s="75">
        <v>36.229999999999997</v>
      </c>
      <c r="F23" s="73">
        <f>SUM(E23/100)</f>
        <v>0.36229999999999996</v>
      </c>
      <c r="G23" s="73">
        <v>58.08</v>
      </c>
      <c r="H23" s="74">
        <f t="shared" si="0"/>
        <v>2.1042383999999997E-2</v>
      </c>
      <c r="I23" s="13">
        <v>0</v>
      </c>
      <c r="J23" s="20"/>
      <c r="K23" s="8"/>
      <c r="L23" s="8"/>
      <c r="M23" s="8"/>
    </row>
    <row r="24" spans="1:13" ht="15.75" hidden="1" customHeight="1">
      <c r="A24" s="27"/>
      <c r="B24" s="70" t="s">
        <v>96</v>
      </c>
      <c r="C24" s="71" t="s">
        <v>52</v>
      </c>
      <c r="D24" s="70" t="s">
        <v>53</v>
      </c>
      <c r="E24" s="72">
        <v>15</v>
      </c>
      <c r="F24" s="73">
        <f>SUM(E24/100)</f>
        <v>0.15</v>
      </c>
      <c r="G24" s="73">
        <v>511.12</v>
      </c>
      <c r="H24" s="74">
        <f t="shared" si="0"/>
        <v>7.6667999999999986E-2</v>
      </c>
      <c r="I24" s="13">
        <v>0</v>
      </c>
      <c r="J24" s="20"/>
      <c r="K24" s="8"/>
      <c r="L24" s="8"/>
      <c r="M24" s="8"/>
    </row>
    <row r="25" spans="1:13" ht="15.75" hidden="1" customHeight="1">
      <c r="A25" s="27"/>
      <c r="B25" s="70" t="s">
        <v>97</v>
      </c>
      <c r="C25" s="71" t="s">
        <v>52</v>
      </c>
      <c r="D25" s="70" t="s">
        <v>53</v>
      </c>
      <c r="E25" s="72">
        <v>6.38</v>
      </c>
      <c r="F25" s="73">
        <f>SUM(E25/100)</f>
        <v>6.3799999999999996E-2</v>
      </c>
      <c r="G25" s="73">
        <v>683.05</v>
      </c>
      <c r="H25" s="74">
        <f t="shared" si="0"/>
        <v>4.3578589999999993E-2</v>
      </c>
      <c r="I25" s="13">
        <v>0</v>
      </c>
      <c r="J25" s="20"/>
      <c r="K25" s="8"/>
      <c r="L25" s="8"/>
      <c r="M25" s="8"/>
    </row>
    <row r="26" spans="1:13" ht="15.75" hidden="1" customHeight="1">
      <c r="A26" s="27"/>
      <c r="B26" s="70" t="s">
        <v>116</v>
      </c>
      <c r="C26" s="71" t="s">
        <v>52</v>
      </c>
      <c r="D26" s="70" t="s">
        <v>53</v>
      </c>
      <c r="E26" s="72">
        <v>14.25</v>
      </c>
      <c r="F26" s="73">
        <v>0.14000000000000001</v>
      </c>
      <c r="G26" s="73">
        <v>283.44</v>
      </c>
      <c r="H26" s="74">
        <f>G26*F26/1000</f>
        <v>3.9681600000000004E-2</v>
      </c>
      <c r="I26" s="13">
        <v>0</v>
      </c>
      <c r="J26" s="20"/>
      <c r="K26" s="8"/>
      <c r="L26" s="8"/>
      <c r="M26" s="8"/>
    </row>
    <row r="27" spans="1:13" ht="15.75" customHeight="1">
      <c r="A27" s="27">
        <v>5</v>
      </c>
      <c r="B27" s="70" t="s">
        <v>195</v>
      </c>
      <c r="C27" s="71" t="s">
        <v>25</v>
      </c>
      <c r="D27" s="70" t="s">
        <v>202</v>
      </c>
      <c r="E27" s="77">
        <v>4.37</v>
      </c>
      <c r="F27" s="73">
        <f>E27*258</f>
        <v>1127.46</v>
      </c>
      <c r="G27" s="73">
        <v>10.39</v>
      </c>
      <c r="H27" s="74">
        <f>SUM(F27*G27/1000)</f>
        <v>11.714309400000001</v>
      </c>
      <c r="I27" s="13">
        <f>G27*F27/12</f>
        <v>976.19245000000012</v>
      </c>
      <c r="J27" s="21"/>
    </row>
    <row r="28" spans="1:13" ht="15.75" customHeight="1">
      <c r="A28" s="185" t="s">
        <v>80</v>
      </c>
      <c r="B28" s="185"/>
      <c r="C28" s="185"/>
      <c r="D28" s="185"/>
      <c r="E28" s="185"/>
      <c r="F28" s="185"/>
      <c r="G28" s="185"/>
      <c r="H28" s="185"/>
      <c r="I28" s="185"/>
      <c r="J28" s="20"/>
      <c r="K28" s="8"/>
      <c r="L28" s="8"/>
      <c r="M28" s="8"/>
    </row>
    <row r="29" spans="1:13" ht="15.75" hidden="1" customHeight="1">
      <c r="A29" s="27"/>
      <c r="B29" s="101" t="s">
        <v>28</v>
      </c>
      <c r="C29" s="71"/>
      <c r="D29" s="70"/>
      <c r="E29" s="72"/>
      <c r="F29" s="73"/>
      <c r="G29" s="73"/>
      <c r="H29" s="74"/>
      <c r="I29" s="13"/>
      <c r="J29" s="21"/>
    </row>
    <row r="30" spans="1:13" ht="15.75" hidden="1" customHeight="1">
      <c r="A30" s="27"/>
      <c r="B30" s="70" t="s">
        <v>99</v>
      </c>
      <c r="C30" s="71" t="s">
        <v>84</v>
      </c>
      <c r="D30" s="70" t="s">
        <v>135</v>
      </c>
      <c r="E30" s="73">
        <v>665</v>
      </c>
      <c r="F30" s="73">
        <f>SUM(E30*52/1000)</f>
        <v>34.58</v>
      </c>
      <c r="G30" s="73">
        <v>204.44</v>
      </c>
      <c r="H30" s="74">
        <f t="shared" ref="H30:H36" si="1">SUM(F30*G30/1000)</f>
        <v>7.0695351999999989</v>
      </c>
      <c r="I30" s="13">
        <f t="shared" ref="I30:I31" si="2">F30/6*G30</f>
        <v>1178.2558666666666</v>
      </c>
      <c r="J30" s="20"/>
      <c r="K30" s="8"/>
      <c r="L30" s="8"/>
      <c r="M30" s="8"/>
    </row>
    <row r="31" spans="1:13" ht="15.75" hidden="1" customHeight="1">
      <c r="A31" s="27"/>
      <c r="B31" s="70" t="s">
        <v>112</v>
      </c>
      <c r="C31" s="71" t="s">
        <v>84</v>
      </c>
      <c r="D31" s="70" t="s">
        <v>136</v>
      </c>
      <c r="E31" s="73">
        <v>81.5</v>
      </c>
      <c r="F31" s="73">
        <f>SUM(E31*78/1000)</f>
        <v>6.3570000000000002</v>
      </c>
      <c r="G31" s="73">
        <v>339.21</v>
      </c>
      <c r="H31" s="74">
        <f t="shared" si="1"/>
        <v>2.1563579700000002</v>
      </c>
      <c r="I31" s="13">
        <f t="shared" si="2"/>
        <v>359.39299500000004</v>
      </c>
      <c r="J31" s="20"/>
      <c r="K31" s="8"/>
      <c r="L31" s="8"/>
      <c r="M31" s="8"/>
    </row>
    <row r="32" spans="1:13" ht="15.75" hidden="1" customHeight="1">
      <c r="A32" s="27"/>
      <c r="B32" s="70" t="s">
        <v>27</v>
      </c>
      <c r="C32" s="71" t="s">
        <v>84</v>
      </c>
      <c r="D32" s="70" t="s">
        <v>53</v>
      </c>
      <c r="E32" s="73">
        <v>665</v>
      </c>
      <c r="F32" s="73">
        <f>SUM(E32/1000)</f>
        <v>0.66500000000000004</v>
      </c>
      <c r="G32" s="73">
        <v>3961.23</v>
      </c>
      <c r="H32" s="74">
        <f t="shared" si="1"/>
        <v>2.63421795</v>
      </c>
      <c r="I32" s="13">
        <f>F32*G32</f>
        <v>2634.2179500000002</v>
      </c>
      <c r="J32" s="20"/>
      <c r="K32" s="8"/>
      <c r="L32" s="8"/>
      <c r="M32" s="8"/>
    </row>
    <row r="33" spans="1:14" ht="15.75" hidden="1" customHeight="1">
      <c r="A33" s="27"/>
      <c r="B33" s="70" t="s">
        <v>111</v>
      </c>
      <c r="C33" s="71" t="s">
        <v>39</v>
      </c>
      <c r="D33" s="70" t="s">
        <v>62</v>
      </c>
      <c r="E33" s="73">
        <v>3</v>
      </c>
      <c r="F33" s="73">
        <f>E33*155/100</f>
        <v>4.6500000000000004</v>
      </c>
      <c r="G33" s="73">
        <v>1707.63</v>
      </c>
      <c r="H33" s="74">
        <f>G33*F33/1000</f>
        <v>7.9404795000000012</v>
      </c>
      <c r="I33" s="13">
        <f>F33/6*G33</f>
        <v>1323.4132500000001</v>
      </c>
      <c r="J33" s="20"/>
      <c r="K33" s="8"/>
      <c r="L33" s="8"/>
      <c r="M33" s="8"/>
    </row>
    <row r="34" spans="1:14" ht="15.75" hidden="1" customHeight="1">
      <c r="A34" s="27"/>
      <c r="B34" s="70" t="s">
        <v>98</v>
      </c>
      <c r="C34" s="71" t="s">
        <v>30</v>
      </c>
      <c r="D34" s="70" t="s">
        <v>62</v>
      </c>
      <c r="E34" s="76">
        <f>1/3</f>
        <v>0.33333333333333331</v>
      </c>
      <c r="F34" s="73">
        <f>155/3</f>
        <v>51.666666666666664</v>
      </c>
      <c r="G34" s="73">
        <v>74.349999999999994</v>
      </c>
      <c r="H34" s="74">
        <f>SUM(G34*155/3/1000)</f>
        <v>3.8414166666666665</v>
      </c>
      <c r="I34" s="13">
        <f>F34/6*G34</f>
        <v>640.23611111111109</v>
      </c>
      <c r="J34" s="20"/>
      <c r="K34" s="8"/>
    </row>
    <row r="35" spans="1:14" ht="15.75" hidden="1" customHeight="1">
      <c r="A35" s="27"/>
      <c r="B35" s="70" t="s">
        <v>63</v>
      </c>
      <c r="C35" s="71" t="s">
        <v>32</v>
      </c>
      <c r="D35" s="70" t="s">
        <v>65</v>
      </c>
      <c r="E35" s="72"/>
      <c r="F35" s="73">
        <v>1</v>
      </c>
      <c r="G35" s="73">
        <v>250.92</v>
      </c>
      <c r="H35" s="74">
        <f t="shared" si="1"/>
        <v>0.25091999999999998</v>
      </c>
      <c r="I35" s="13">
        <v>0</v>
      </c>
      <c r="J35" s="21"/>
    </row>
    <row r="36" spans="1:14" ht="15.75" hidden="1" customHeight="1">
      <c r="A36" s="27"/>
      <c r="B36" s="70" t="s">
        <v>64</v>
      </c>
      <c r="C36" s="71" t="s">
        <v>31</v>
      </c>
      <c r="D36" s="70" t="s">
        <v>65</v>
      </c>
      <c r="E36" s="72"/>
      <c r="F36" s="73">
        <v>1</v>
      </c>
      <c r="G36" s="73">
        <v>1490.31</v>
      </c>
      <c r="H36" s="74">
        <f t="shared" si="1"/>
        <v>1.49031</v>
      </c>
      <c r="I36" s="13">
        <v>0</v>
      </c>
      <c r="J36" s="21"/>
    </row>
    <row r="37" spans="1:14" ht="15.75" customHeight="1">
      <c r="A37" s="27"/>
      <c r="B37" s="101" t="s">
        <v>5</v>
      </c>
      <c r="C37" s="71"/>
      <c r="D37" s="70"/>
      <c r="E37" s="72"/>
      <c r="F37" s="73"/>
      <c r="G37" s="73"/>
      <c r="H37" s="74" t="s">
        <v>128</v>
      </c>
      <c r="I37" s="13"/>
      <c r="J37" s="21"/>
    </row>
    <row r="38" spans="1:14" ht="16.5" customHeight="1">
      <c r="A38" s="27">
        <v>6</v>
      </c>
      <c r="B38" s="79" t="s">
        <v>26</v>
      </c>
      <c r="C38" s="71" t="s">
        <v>31</v>
      </c>
      <c r="D38" s="70" t="s">
        <v>233</v>
      </c>
      <c r="E38" s="72"/>
      <c r="F38" s="73">
        <v>5</v>
      </c>
      <c r="G38" s="73">
        <v>2003</v>
      </c>
      <c r="H38" s="74">
        <f t="shared" ref="H38:H45" si="3">SUM(F38*G38/1000)</f>
        <v>10.015000000000001</v>
      </c>
      <c r="I38" s="13">
        <f>G38*1.5</f>
        <v>3004.5</v>
      </c>
      <c r="J38" s="21"/>
    </row>
    <row r="39" spans="1:14" ht="15.75" customHeight="1">
      <c r="A39" s="27">
        <v>7</v>
      </c>
      <c r="B39" s="79" t="s">
        <v>100</v>
      </c>
      <c r="C39" s="80" t="s">
        <v>29</v>
      </c>
      <c r="D39" s="70" t="s">
        <v>234</v>
      </c>
      <c r="E39" s="72">
        <v>81.5</v>
      </c>
      <c r="F39" s="81">
        <f>E39*30/1000</f>
        <v>2.4449999999999998</v>
      </c>
      <c r="G39" s="73">
        <v>2757.78</v>
      </c>
      <c r="H39" s="74">
        <f t="shared" si="3"/>
        <v>6.7427720999999998</v>
      </c>
      <c r="I39" s="13">
        <f>G39*F39/30*4</f>
        <v>899.03628000000003</v>
      </c>
      <c r="J39" s="21"/>
    </row>
    <row r="40" spans="1:14" ht="15.75" customHeight="1">
      <c r="A40" s="27">
        <v>8</v>
      </c>
      <c r="B40" s="70" t="s">
        <v>66</v>
      </c>
      <c r="C40" s="71" t="s">
        <v>29</v>
      </c>
      <c r="D40" s="70" t="s">
        <v>235</v>
      </c>
      <c r="E40" s="73">
        <v>81.5</v>
      </c>
      <c r="F40" s="81">
        <f>SUM(E40*155/1000)</f>
        <v>12.6325</v>
      </c>
      <c r="G40" s="73">
        <v>460.02</v>
      </c>
      <c r="H40" s="74">
        <f t="shared" si="3"/>
        <v>5.8112026500000002</v>
      </c>
      <c r="I40" s="13">
        <f>G40*F40/155*24</f>
        <v>899.79912000000002</v>
      </c>
      <c r="J40" s="21"/>
      <c r="L40" s="16"/>
      <c r="M40" s="17"/>
      <c r="N40" s="18"/>
    </row>
    <row r="41" spans="1:14" ht="15.75" hidden="1" customHeight="1">
      <c r="A41" s="27"/>
      <c r="B41" s="70" t="s">
        <v>113</v>
      </c>
      <c r="C41" s="71" t="s">
        <v>114</v>
      </c>
      <c r="D41" s="70" t="s">
        <v>65</v>
      </c>
      <c r="E41" s="72"/>
      <c r="F41" s="81">
        <v>26</v>
      </c>
      <c r="G41" s="73">
        <v>314</v>
      </c>
      <c r="H41" s="74">
        <f t="shared" si="3"/>
        <v>8.1639999999999997</v>
      </c>
      <c r="I41" s="13">
        <v>0</v>
      </c>
      <c r="J41" s="21"/>
      <c r="L41" s="16"/>
      <c r="M41" s="17"/>
      <c r="N41" s="18"/>
    </row>
    <row r="42" spans="1:14" ht="47.25" customHeight="1">
      <c r="A42" s="27">
        <v>9</v>
      </c>
      <c r="B42" s="70" t="s">
        <v>78</v>
      </c>
      <c r="C42" s="71" t="s">
        <v>84</v>
      </c>
      <c r="D42" s="70" t="s">
        <v>189</v>
      </c>
      <c r="E42" s="73">
        <v>81.5</v>
      </c>
      <c r="F42" s="81">
        <f>SUM(E42*35/1000)</f>
        <v>2.8525</v>
      </c>
      <c r="G42" s="73">
        <v>7611.16</v>
      </c>
      <c r="H42" s="74">
        <f t="shared" si="3"/>
        <v>21.710833900000001</v>
      </c>
      <c r="I42" s="13">
        <f>G42*F42/35*5</f>
        <v>3101.5477000000005</v>
      </c>
      <c r="J42" s="21"/>
      <c r="L42" s="16"/>
      <c r="M42" s="17"/>
      <c r="N42" s="18"/>
    </row>
    <row r="43" spans="1:14" ht="15.75" customHeight="1">
      <c r="A43" s="27">
        <v>10</v>
      </c>
      <c r="B43" s="70" t="s">
        <v>85</v>
      </c>
      <c r="C43" s="71" t="s">
        <v>84</v>
      </c>
      <c r="D43" s="70" t="s">
        <v>158</v>
      </c>
      <c r="E43" s="73">
        <v>81.5</v>
      </c>
      <c r="F43" s="81">
        <f>SUM(E43*45/1000)</f>
        <v>3.6675</v>
      </c>
      <c r="G43" s="73">
        <v>562.25</v>
      </c>
      <c r="H43" s="74">
        <f t="shared" si="3"/>
        <v>2.0620518750000003</v>
      </c>
      <c r="I43" s="13">
        <f>G43*F43/45*2</f>
        <v>91.646750000000011</v>
      </c>
      <c r="J43" s="21"/>
      <c r="L43" s="16"/>
      <c r="M43" s="17"/>
      <c r="N43" s="18"/>
    </row>
    <row r="44" spans="1:14" ht="15.75" customHeight="1">
      <c r="A44" s="27">
        <v>11</v>
      </c>
      <c r="B44" s="79" t="s">
        <v>68</v>
      </c>
      <c r="C44" s="80" t="s">
        <v>32</v>
      </c>
      <c r="D44" s="79"/>
      <c r="E44" s="77"/>
      <c r="F44" s="81">
        <v>0.9</v>
      </c>
      <c r="G44" s="81">
        <v>974.83</v>
      </c>
      <c r="H44" s="74">
        <f t="shared" si="3"/>
        <v>0.8773470000000001</v>
      </c>
      <c r="I44" s="13">
        <f>G44*F44/45*2</f>
        <v>38.993200000000002</v>
      </c>
      <c r="J44" s="21"/>
      <c r="L44" s="16"/>
      <c r="M44" s="17"/>
      <c r="N44" s="18"/>
    </row>
    <row r="45" spans="1:14" ht="33" customHeight="1">
      <c r="A45" s="27">
        <v>12</v>
      </c>
      <c r="B45" s="44" t="s">
        <v>139</v>
      </c>
      <c r="C45" s="45" t="s">
        <v>29</v>
      </c>
      <c r="D45" s="79" t="s">
        <v>159</v>
      </c>
      <c r="E45" s="77">
        <v>2.4</v>
      </c>
      <c r="F45" s="81">
        <f>SUM(E45*12/1000)</f>
        <v>2.8799999999999996E-2</v>
      </c>
      <c r="G45" s="81">
        <v>260.2</v>
      </c>
      <c r="H45" s="74">
        <f t="shared" si="3"/>
        <v>7.4937599999999986E-3</v>
      </c>
      <c r="I45" s="13">
        <f t="shared" ref="I45" si="4">F45/6*G45</f>
        <v>1.2489599999999998</v>
      </c>
      <c r="J45" s="21"/>
      <c r="L45" s="16"/>
      <c r="M45" s="17"/>
      <c r="N45" s="18"/>
    </row>
    <row r="46" spans="1:14" ht="15.75" customHeight="1">
      <c r="A46" s="186" t="s">
        <v>122</v>
      </c>
      <c r="B46" s="187"/>
      <c r="C46" s="187"/>
      <c r="D46" s="187"/>
      <c r="E46" s="187"/>
      <c r="F46" s="187"/>
      <c r="G46" s="187"/>
      <c r="H46" s="187"/>
      <c r="I46" s="188"/>
      <c r="J46" s="21"/>
      <c r="L46" s="16"/>
      <c r="M46" s="17"/>
      <c r="N46" s="18"/>
    </row>
    <row r="47" spans="1:14" ht="15.75" hidden="1" customHeight="1">
      <c r="A47" s="27"/>
      <c r="B47" s="70" t="s">
        <v>119</v>
      </c>
      <c r="C47" s="71" t="s">
        <v>84</v>
      </c>
      <c r="D47" s="70" t="s">
        <v>41</v>
      </c>
      <c r="E47" s="72">
        <v>1080</v>
      </c>
      <c r="F47" s="73">
        <f>SUM(E47*2/1000)</f>
        <v>2.16</v>
      </c>
      <c r="G47" s="31">
        <v>1172.4100000000001</v>
      </c>
      <c r="H47" s="74">
        <f t="shared" ref="H47:H55" si="5">SUM(F47*G47/1000)</f>
        <v>2.5324056000000006</v>
      </c>
      <c r="I47" s="13">
        <f t="shared" ref="I47:I50" si="6">F47/2*G47</f>
        <v>1266.2028000000003</v>
      </c>
      <c r="J47" s="21"/>
      <c r="L47" s="16"/>
      <c r="M47" s="17"/>
      <c r="N47" s="18"/>
    </row>
    <row r="48" spans="1:14" ht="15.75" hidden="1" customHeight="1">
      <c r="A48" s="27"/>
      <c r="B48" s="70" t="s">
        <v>34</v>
      </c>
      <c r="C48" s="71" t="s">
        <v>84</v>
      </c>
      <c r="D48" s="70" t="s">
        <v>41</v>
      </c>
      <c r="E48" s="72">
        <v>39</v>
      </c>
      <c r="F48" s="73">
        <f>SUM(E48*2/1000)</f>
        <v>7.8E-2</v>
      </c>
      <c r="G48" s="31">
        <v>4419.05</v>
      </c>
      <c r="H48" s="74">
        <f t="shared" si="5"/>
        <v>0.34468589999999999</v>
      </c>
      <c r="I48" s="13">
        <f t="shared" si="6"/>
        <v>172.34295</v>
      </c>
      <c r="J48" s="21"/>
      <c r="L48" s="16"/>
      <c r="M48" s="17"/>
      <c r="N48" s="18"/>
    </row>
    <row r="49" spans="1:22" ht="15.75" hidden="1" customHeight="1">
      <c r="A49" s="27"/>
      <c r="B49" s="70" t="s">
        <v>35</v>
      </c>
      <c r="C49" s="71" t="s">
        <v>84</v>
      </c>
      <c r="D49" s="70" t="s">
        <v>41</v>
      </c>
      <c r="E49" s="72">
        <v>1037</v>
      </c>
      <c r="F49" s="73">
        <f>SUM(E49*2/1000)</f>
        <v>2.0739999999999998</v>
      </c>
      <c r="G49" s="31">
        <v>1803.69</v>
      </c>
      <c r="H49" s="74">
        <f t="shared" si="5"/>
        <v>3.7408530600000001</v>
      </c>
      <c r="I49" s="13">
        <f t="shared" si="6"/>
        <v>1870.42653</v>
      </c>
      <c r="J49" s="21"/>
      <c r="L49" s="16"/>
      <c r="M49" s="17"/>
      <c r="N49" s="18"/>
    </row>
    <row r="50" spans="1:22" ht="15.75" hidden="1" customHeight="1">
      <c r="A50" s="27"/>
      <c r="B50" s="70" t="s">
        <v>36</v>
      </c>
      <c r="C50" s="71" t="s">
        <v>84</v>
      </c>
      <c r="D50" s="70" t="s">
        <v>41</v>
      </c>
      <c r="E50" s="72">
        <v>2274</v>
      </c>
      <c r="F50" s="73">
        <f>SUM(E50*2/1000)</f>
        <v>4.548</v>
      </c>
      <c r="G50" s="31">
        <v>1243.43</v>
      </c>
      <c r="H50" s="74">
        <f t="shared" si="5"/>
        <v>5.6551196399999997</v>
      </c>
      <c r="I50" s="13">
        <f t="shared" si="6"/>
        <v>2827.5598199999999</v>
      </c>
      <c r="J50" s="21"/>
      <c r="L50" s="16"/>
      <c r="M50" s="17"/>
      <c r="N50" s="18"/>
    </row>
    <row r="51" spans="1:22" ht="15.75" hidden="1" customHeight="1">
      <c r="A51" s="27"/>
      <c r="B51" s="70" t="s">
        <v>33</v>
      </c>
      <c r="C51" s="71" t="s">
        <v>52</v>
      </c>
      <c r="D51" s="70" t="s">
        <v>41</v>
      </c>
      <c r="E51" s="72">
        <v>83.04</v>
      </c>
      <c r="F51" s="73">
        <v>1.66</v>
      </c>
      <c r="G51" s="31">
        <v>1352.76</v>
      </c>
      <c r="H51" s="74">
        <f>SUM(F51*G51/1000)</f>
        <v>2.2455816</v>
      </c>
      <c r="I51" s="13">
        <f>F51/2*G51</f>
        <v>1122.7908</v>
      </c>
      <c r="J51" s="21"/>
      <c r="L51" s="16"/>
      <c r="M51" s="17"/>
      <c r="N51" s="18"/>
    </row>
    <row r="52" spans="1:22" ht="15.75" customHeight="1">
      <c r="A52" s="27">
        <v>13</v>
      </c>
      <c r="B52" s="70" t="s">
        <v>176</v>
      </c>
      <c r="C52" s="71" t="s">
        <v>84</v>
      </c>
      <c r="D52" s="70" t="s">
        <v>157</v>
      </c>
      <c r="E52" s="72">
        <v>2626.5</v>
      </c>
      <c r="F52" s="73">
        <f>SUM(E52*5/1000)</f>
        <v>13.1325</v>
      </c>
      <c r="G52" s="31">
        <v>1803.69</v>
      </c>
      <c r="H52" s="74">
        <f t="shared" ref="H52:H54" si="7">SUM(F52*G52/1000)</f>
        <v>23.686958925000003</v>
      </c>
      <c r="I52" s="13">
        <f>F52/5*G52</f>
        <v>4737.3917849999998</v>
      </c>
      <c r="J52" s="21"/>
      <c r="L52" s="16"/>
      <c r="M52" s="17"/>
      <c r="N52" s="18"/>
    </row>
    <row r="53" spans="1:22" ht="31.5" hidden="1" customHeight="1">
      <c r="A53" s="27"/>
      <c r="B53" s="70" t="s">
        <v>86</v>
      </c>
      <c r="C53" s="71" t="s">
        <v>84</v>
      </c>
      <c r="D53" s="70" t="s">
        <v>41</v>
      </c>
      <c r="E53" s="72">
        <v>2626.5</v>
      </c>
      <c r="F53" s="73">
        <f>SUM(E53*2/1000)</f>
        <v>5.2530000000000001</v>
      </c>
      <c r="G53" s="31">
        <v>1591.6</v>
      </c>
      <c r="H53" s="74">
        <f t="shared" si="7"/>
        <v>8.3606747999999982</v>
      </c>
      <c r="I53" s="13">
        <f>F53/2*G53</f>
        <v>4180.3373999999994</v>
      </c>
      <c r="J53" s="21"/>
      <c r="L53" s="16"/>
      <c r="M53" s="17"/>
      <c r="N53" s="18"/>
    </row>
    <row r="54" spans="1:22" ht="31.5" hidden="1" customHeight="1">
      <c r="A54" s="27"/>
      <c r="B54" s="70" t="s">
        <v>87</v>
      </c>
      <c r="C54" s="71" t="s">
        <v>37</v>
      </c>
      <c r="D54" s="70" t="s">
        <v>41</v>
      </c>
      <c r="E54" s="72">
        <v>15</v>
      </c>
      <c r="F54" s="73">
        <f>SUM(E54*2/100)</f>
        <v>0.3</v>
      </c>
      <c r="G54" s="31">
        <v>4058.32</v>
      </c>
      <c r="H54" s="74">
        <f t="shared" si="7"/>
        <v>1.2174960000000001</v>
      </c>
      <c r="I54" s="13">
        <f t="shared" ref="I54:I55" si="8">F54/2*G54</f>
        <v>608.74800000000005</v>
      </c>
      <c r="J54" s="21"/>
      <c r="L54" s="16"/>
      <c r="M54" s="17"/>
      <c r="N54" s="18"/>
    </row>
    <row r="55" spans="1:22" ht="15.75" hidden="1" customHeight="1">
      <c r="A55" s="27"/>
      <c r="B55" s="70" t="s">
        <v>38</v>
      </c>
      <c r="C55" s="71" t="s">
        <v>39</v>
      </c>
      <c r="D55" s="70" t="s">
        <v>41</v>
      </c>
      <c r="E55" s="72">
        <v>1</v>
      </c>
      <c r="F55" s="73">
        <v>0.02</v>
      </c>
      <c r="G55" s="31">
        <v>7412.92</v>
      </c>
      <c r="H55" s="74">
        <f t="shared" si="5"/>
        <v>0.14825839999999998</v>
      </c>
      <c r="I55" s="13">
        <f t="shared" si="8"/>
        <v>74.129199999999997</v>
      </c>
      <c r="J55" s="21"/>
      <c r="L55" s="16"/>
      <c r="M55" s="17"/>
      <c r="N55" s="18"/>
    </row>
    <row r="56" spans="1:22" ht="18.75" hidden="1" customHeight="1">
      <c r="A56" s="27">
        <v>11</v>
      </c>
      <c r="B56" s="70" t="s">
        <v>40</v>
      </c>
      <c r="C56" s="71" t="s">
        <v>101</v>
      </c>
      <c r="D56" s="151">
        <v>43504</v>
      </c>
      <c r="E56" s="72">
        <v>90</v>
      </c>
      <c r="F56" s="73">
        <f>SUM(E56)*3</f>
        <v>270</v>
      </c>
      <c r="G56" s="69">
        <v>86.15</v>
      </c>
      <c r="H56" s="74">
        <f>SUM(F56*G56/1000)</f>
        <v>23.2605</v>
      </c>
      <c r="I56" s="13">
        <f>F56/3*G56</f>
        <v>7753.5000000000009</v>
      </c>
      <c r="J56" s="21"/>
      <c r="L56" s="16"/>
      <c r="M56" s="17"/>
      <c r="N56" s="18"/>
    </row>
    <row r="57" spans="1:22" ht="15.75" customHeight="1">
      <c r="A57" s="186" t="s">
        <v>123</v>
      </c>
      <c r="B57" s="187"/>
      <c r="C57" s="187"/>
      <c r="D57" s="187"/>
      <c r="E57" s="187"/>
      <c r="F57" s="187"/>
      <c r="G57" s="187"/>
      <c r="H57" s="187"/>
      <c r="I57" s="188"/>
      <c r="J57" s="21"/>
      <c r="L57" s="16"/>
    </row>
    <row r="58" spans="1:22" ht="22.5" hidden="1" customHeight="1">
      <c r="A58" s="27"/>
      <c r="B58" s="101" t="s">
        <v>42</v>
      </c>
      <c r="C58" s="71"/>
      <c r="D58" s="70"/>
      <c r="E58" s="72"/>
      <c r="F58" s="73"/>
      <c r="G58" s="73"/>
      <c r="H58" s="74"/>
      <c r="I58" s="13"/>
    </row>
    <row r="59" spans="1:22" ht="32.25" hidden="1" customHeight="1">
      <c r="A59" s="27">
        <v>14</v>
      </c>
      <c r="B59" s="70" t="s">
        <v>129</v>
      </c>
      <c r="C59" s="71" t="s">
        <v>82</v>
      </c>
      <c r="D59" s="70"/>
      <c r="E59" s="72">
        <v>111</v>
      </c>
      <c r="F59" s="73">
        <f>SUM(E59*6/100)</f>
        <v>6.66</v>
      </c>
      <c r="G59" s="31">
        <v>2029.3</v>
      </c>
      <c r="H59" s="74"/>
      <c r="I59" s="13">
        <f>G59*0.3</f>
        <v>608.79</v>
      </c>
    </row>
    <row r="60" spans="1:22" ht="15.75" hidden="1" customHeight="1">
      <c r="A60" s="27">
        <v>15</v>
      </c>
      <c r="B60" s="70" t="s">
        <v>141</v>
      </c>
      <c r="C60" s="71" t="s">
        <v>142</v>
      </c>
      <c r="D60" s="70" t="s">
        <v>204</v>
      </c>
      <c r="E60" s="72"/>
      <c r="F60" s="73">
        <v>3</v>
      </c>
      <c r="G60" s="31">
        <v>1582.05</v>
      </c>
      <c r="H60" s="74">
        <f>SUM(F60*G60/1000)</f>
        <v>4.7461499999999992</v>
      </c>
      <c r="I60" s="13">
        <f>G60*3</f>
        <v>4746.1499999999996</v>
      </c>
    </row>
    <row r="61" spans="1:22" ht="15.75" customHeight="1">
      <c r="A61" s="27"/>
      <c r="B61" s="102" t="s">
        <v>43</v>
      </c>
      <c r="C61" s="82"/>
      <c r="D61" s="83"/>
      <c r="E61" s="84"/>
      <c r="F61" s="85"/>
      <c r="G61" s="31"/>
      <c r="H61" s="86"/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hidden="1" customHeight="1">
      <c r="A62" s="27"/>
      <c r="B62" s="83" t="s">
        <v>44</v>
      </c>
      <c r="C62" s="82" t="s">
        <v>52</v>
      </c>
      <c r="D62" s="83" t="s">
        <v>53</v>
      </c>
      <c r="E62" s="84">
        <v>130</v>
      </c>
      <c r="F62" s="85">
        <f>E62/100</f>
        <v>1.3</v>
      </c>
      <c r="G62" s="31">
        <v>1040.8399999999999</v>
      </c>
      <c r="H62" s="86">
        <f>F62*G62/1000</f>
        <v>1.353092</v>
      </c>
      <c r="I62" s="13">
        <v>0</v>
      </c>
      <c r="J62" s="23"/>
      <c r="K62" s="2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customHeight="1">
      <c r="A63" s="27">
        <v>14</v>
      </c>
      <c r="B63" s="83" t="s">
        <v>115</v>
      </c>
      <c r="C63" s="82" t="s">
        <v>25</v>
      </c>
      <c r="D63" s="83" t="s">
        <v>156</v>
      </c>
      <c r="E63" s="84">
        <v>130</v>
      </c>
      <c r="F63" s="87">
        <f>E63*12</f>
        <v>1560</v>
      </c>
      <c r="G63" s="88">
        <v>1.4</v>
      </c>
      <c r="H63" s="85">
        <f>F63*G63/1000</f>
        <v>2.1840000000000002</v>
      </c>
      <c r="I63" s="13">
        <f t="shared" ref="I63" si="9">F63/12*G63</f>
        <v>182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27"/>
      <c r="B64" s="103" t="s">
        <v>45</v>
      </c>
      <c r="C64" s="82"/>
      <c r="D64" s="83"/>
      <c r="E64" s="84"/>
      <c r="F64" s="87"/>
      <c r="G64" s="87"/>
      <c r="H64" s="85" t="s">
        <v>128</v>
      </c>
      <c r="I64" s="13"/>
      <c r="J64" s="5"/>
      <c r="K64" s="5"/>
      <c r="L64" s="5"/>
      <c r="M64" s="5"/>
      <c r="N64" s="5"/>
      <c r="O64" s="5"/>
      <c r="P64" s="5"/>
      <c r="Q64" s="5"/>
      <c r="R64" s="162"/>
      <c r="S64" s="162"/>
      <c r="T64" s="162"/>
      <c r="U64" s="162"/>
    </row>
    <row r="65" spans="1:21" ht="15.75" hidden="1" customHeight="1">
      <c r="A65" s="27"/>
      <c r="B65" s="89" t="s">
        <v>46</v>
      </c>
      <c r="C65" s="90" t="s">
        <v>101</v>
      </c>
      <c r="D65" s="70" t="s">
        <v>65</v>
      </c>
      <c r="E65" s="15">
        <v>9</v>
      </c>
      <c r="F65" s="69">
        <f>SUM(E65)</f>
        <v>9</v>
      </c>
      <c r="G65" s="31">
        <v>291.68</v>
      </c>
      <c r="H65" s="63">
        <f t="shared" ref="H65:H83" si="10">SUM(F65*G65/1000)</f>
        <v>2.6251199999999999</v>
      </c>
      <c r="I65" s="13">
        <v>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hidden="1" customHeight="1">
      <c r="A66" s="27"/>
      <c r="B66" s="89" t="s">
        <v>47</v>
      </c>
      <c r="C66" s="90" t="s">
        <v>101</v>
      </c>
      <c r="D66" s="70" t="s">
        <v>65</v>
      </c>
      <c r="E66" s="15">
        <v>4</v>
      </c>
      <c r="F66" s="69">
        <f>SUM(E66)</f>
        <v>4</v>
      </c>
      <c r="G66" s="31">
        <v>100.01</v>
      </c>
      <c r="H66" s="63">
        <f t="shared" si="10"/>
        <v>0.40004000000000001</v>
      </c>
      <c r="I66" s="13">
        <v>0</v>
      </c>
    </row>
    <row r="67" spans="1:21" ht="15.75" hidden="1" customHeight="1">
      <c r="A67" s="27"/>
      <c r="B67" s="89" t="s">
        <v>48</v>
      </c>
      <c r="C67" s="91" t="s">
        <v>103</v>
      </c>
      <c r="D67" s="33" t="s">
        <v>53</v>
      </c>
      <c r="E67" s="72">
        <v>13287</v>
      </c>
      <c r="F67" s="69">
        <f>SUM(E67/100)</f>
        <v>132.87</v>
      </c>
      <c r="G67" s="31">
        <v>278.24</v>
      </c>
      <c r="H67" s="63">
        <f t="shared" si="10"/>
        <v>36.969748799999998</v>
      </c>
      <c r="I67" s="13">
        <v>0</v>
      </c>
    </row>
    <row r="68" spans="1:21" ht="15.75" hidden="1" customHeight="1">
      <c r="A68" s="27"/>
      <c r="B68" s="89" t="s">
        <v>49</v>
      </c>
      <c r="C68" s="90" t="s">
        <v>104</v>
      </c>
      <c r="D68" s="33" t="s">
        <v>53</v>
      </c>
      <c r="E68" s="72">
        <v>13287</v>
      </c>
      <c r="F68" s="31">
        <f>SUM(E68/1000)</f>
        <v>13.287000000000001</v>
      </c>
      <c r="G68" s="31">
        <v>216.68</v>
      </c>
      <c r="H68" s="63">
        <f t="shared" si="10"/>
        <v>2.8790271600000001</v>
      </c>
      <c r="I68" s="13">
        <v>0</v>
      </c>
    </row>
    <row r="69" spans="1:21" ht="15.75" hidden="1" customHeight="1">
      <c r="A69" s="27"/>
      <c r="B69" s="89" t="s">
        <v>50</v>
      </c>
      <c r="C69" s="90" t="s">
        <v>74</v>
      </c>
      <c r="D69" s="33" t="s">
        <v>53</v>
      </c>
      <c r="E69" s="72">
        <v>2110</v>
      </c>
      <c r="F69" s="31">
        <f>SUM(E69/100)</f>
        <v>21.1</v>
      </c>
      <c r="G69" s="31">
        <v>2720.94</v>
      </c>
      <c r="H69" s="63">
        <f>SUM(F69*G69/1000)</f>
        <v>57.411834000000006</v>
      </c>
      <c r="I69" s="13">
        <v>0</v>
      </c>
    </row>
    <row r="70" spans="1:21" ht="15.75" hidden="1" customHeight="1">
      <c r="A70" s="27"/>
      <c r="B70" s="92" t="s">
        <v>105</v>
      </c>
      <c r="C70" s="90" t="s">
        <v>32</v>
      </c>
      <c r="D70" s="33"/>
      <c r="E70" s="72">
        <v>8.6</v>
      </c>
      <c r="F70" s="31">
        <f>SUM(E70)</f>
        <v>8.6</v>
      </c>
      <c r="G70" s="31">
        <v>42.61</v>
      </c>
      <c r="H70" s="63">
        <f t="shared" si="10"/>
        <v>0.36644599999999999</v>
      </c>
      <c r="I70" s="13">
        <v>0</v>
      </c>
    </row>
    <row r="71" spans="1:21" ht="15.75" hidden="1" customHeight="1">
      <c r="A71" s="27"/>
      <c r="B71" s="92" t="s">
        <v>106</v>
      </c>
      <c r="C71" s="90" t="s">
        <v>32</v>
      </c>
      <c r="D71" s="33"/>
      <c r="E71" s="72">
        <v>8.6</v>
      </c>
      <c r="F71" s="31">
        <f>SUM(E71)</f>
        <v>8.6</v>
      </c>
      <c r="G71" s="31">
        <v>46.04</v>
      </c>
      <c r="H71" s="63">
        <f t="shared" si="10"/>
        <v>0.39594399999999996</v>
      </c>
      <c r="I71" s="13">
        <v>0</v>
      </c>
    </row>
    <row r="72" spans="1:21" ht="15.75" hidden="1" customHeight="1">
      <c r="A72" s="27"/>
      <c r="B72" s="33" t="s">
        <v>56</v>
      </c>
      <c r="C72" s="90" t="s">
        <v>57</v>
      </c>
      <c r="D72" s="33" t="s">
        <v>53</v>
      </c>
      <c r="E72" s="15">
        <v>3</v>
      </c>
      <c r="F72" s="31">
        <f>SUM(E72)</f>
        <v>3</v>
      </c>
      <c r="G72" s="31">
        <v>65.42</v>
      </c>
      <c r="H72" s="63">
        <f t="shared" si="10"/>
        <v>0.19625999999999999</v>
      </c>
      <c r="I72" s="13">
        <v>0</v>
      </c>
    </row>
    <row r="73" spans="1:21" ht="15.75" customHeight="1">
      <c r="A73" s="27"/>
      <c r="B73" s="104" t="s">
        <v>70</v>
      </c>
      <c r="C73" s="90"/>
      <c r="D73" s="33"/>
      <c r="E73" s="15"/>
      <c r="F73" s="31"/>
      <c r="G73" s="31"/>
      <c r="H73" s="63" t="s">
        <v>128</v>
      </c>
      <c r="I73" s="13"/>
    </row>
    <row r="74" spans="1:21" ht="31.5" hidden="1" customHeight="1">
      <c r="A74" s="27"/>
      <c r="B74" s="33" t="s">
        <v>143</v>
      </c>
      <c r="C74" s="90" t="s">
        <v>101</v>
      </c>
      <c r="D74" s="70" t="s">
        <v>65</v>
      </c>
      <c r="E74" s="15">
        <v>1</v>
      </c>
      <c r="F74" s="31">
        <v>1</v>
      </c>
      <c r="G74" s="31">
        <v>1543.4</v>
      </c>
      <c r="H74" s="63">
        <f t="shared" ref="H74:H76" si="11">SUM(F74*G74/1000)</f>
        <v>1.5434000000000001</v>
      </c>
      <c r="I74" s="13">
        <v>0</v>
      </c>
    </row>
    <row r="75" spans="1:21" ht="15.75" hidden="1" customHeight="1">
      <c r="A75" s="27">
        <v>17</v>
      </c>
      <c r="B75" s="33" t="s">
        <v>71</v>
      </c>
      <c r="C75" s="90" t="s">
        <v>72</v>
      </c>
      <c r="D75" s="70" t="s">
        <v>65</v>
      </c>
      <c r="E75" s="15">
        <v>3</v>
      </c>
      <c r="F75" s="31">
        <f>E75/10</f>
        <v>0.3</v>
      </c>
      <c r="G75" s="31">
        <v>657.87</v>
      </c>
      <c r="H75" s="63">
        <f t="shared" si="11"/>
        <v>0.19736099999999998</v>
      </c>
      <c r="I75" s="13">
        <f>G75*0.9</f>
        <v>592.08299999999997</v>
      </c>
    </row>
    <row r="76" spans="1:21" ht="15.75" hidden="1" customHeight="1">
      <c r="A76" s="27"/>
      <c r="B76" s="33" t="s">
        <v>144</v>
      </c>
      <c r="C76" s="90" t="s">
        <v>101</v>
      </c>
      <c r="D76" s="70" t="s">
        <v>65</v>
      </c>
      <c r="E76" s="15">
        <v>2</v>
      </c>
      <c r="F76" s="73">
        <f>SUM(E76)</f>
        <v>2</v>
      </c>
      <c r="G76" s="31">
        <v>1118.72</v>
      </c>
      <c r="H76" s="63">
        <f t="shared" si="11"/>
        <v>2.2374399999999999</v>
      </c>
      <c r="I76" s="13">
        <v>0</v>
      </c>
    </row>
    <row r="77" spans="1:21" ht="15.75" hidden="1" customHeight="1">
      <c r="A77" s="27"/>
      <c r="B77" s="44" t="s">
        <v>145</v>
      </c>
      <c r="C77" s="45" t="s">
        <v>101</v>
      </c>
      <c r="D77" s="70" t="s">
        <v>65</v>
      </c>
      <c r="E77" s="15">
        <v>1</v>
      </c>
      <c r="F77" s="88">
        <v>1</v>
      </c>
      <c r="G77" s="31">
        <v>1605.83</v>
      </c>
      <c r="H77" s="63">
        <f>SUM(F77*G77/1000)</f>
        <v>1.6058299999999999</v>
      </c>
      <c r="I77" s="13">
        <v>0</v>
      </c>
    </row>
    <row r="78" spans="1:21" ht="15.75" customHeight="1">
      <c r="A78" s="27">
        <v>15</v>
      </c>
      <c r="B78" s="44" t="s">
        <v>146</v>
      </c>
      <c r="C78" s="45" t="s">
        <v>101</v>
      </c>
      <c r="D78" s="33" t="s">
        <v>156</v>
      </c>
      <c r="E78" s="93">
        <v>2</v>
      </c>
      <c r="F78" s="87">
        <f>E78*12</f>
        <v>24</v>
      </c>
      <c r="G78" s="94">
        <v>53.42</v>
      </c>
      <c r="H78" s="63">
        <f t="shared" ref="H78:H79" si="12">SUM(F78*G78/1000)</f>
        <v>1.2820799999999999</v>
      </c>
      <c r="I78" s="13">
        <f t="shared" ref="I78:I81" si="13">F78/12*G78</f>
        <v>106.84</v>
      </c>
    </row>
    <row r="79" spans="1:21" ht="20.25" customHeight="1">
      <c r="A79" s="27">
        <v>16</v>
      </c>
      <c r="B79" s="52" t="s">
        <v>147</v>
      </c>
      <c r="C79" s="90"/>
      <c r="D79" s="33" t="s">
        <v>156</v>
      </c>
      <c r="E79" s="15">
        <v>1</v>
      </c>
      <c r="F79" s="31">
        <v>12</v>
      </c>
      <c r="G79" s="31">
        <v>1194</v>
      </c>
      <c r="H79" s="63">
        <f t="shared" si="12"/>
        <v>14.327999999999999</v>
      </c>
      <c r="I79" s="13">
        <f t="shared" si="13"/>
        <v>1194</v>
      </c>
    </row>
    <row r="80" spans="1:21" ht="15.75" customHeight="1">
      <c r="A80" s="27"/>
      <c r="B80" s="105" t="s">
        <v>148</v>
      </c>
      <c r="C80" s="45"/>
      <c r="D80" s="33"/>
      <c r="E80" s="15"/>
      <c r="F80" s="31"/>
      <c r="G80" s="31"/>
      <c r="H80" s="63"/>
      <c r="I80" s="13"/>
    </row>
    <row r="81" spans="1:9" ht="15.75" customHeight="1">
      <c r="A81" s="27">
        <v>17</v>
      </c>
      <c r="B81" s="33" t="s">
        <v>149</v>
      </c>
      <c r="C81" s="95" t="s">
        <v>150</v>
      </c>
      <c r="D81" s="70" t="s">
        <v>157</v>
      </c>
      <c r="E81" s="15">
        <v>2626.5</v>
      </c>
      <c r="F81" s="31">
        <f>SUM(E81*12)</f>
        <v>31518</v>
      </c>
      <c r="G81" s="31">
        <v>2.2799999999999998</v>
      </c>
      <c r="H81" s="63">
        <f t="shared" ref="H81" si="14">SUM(F81*G81/1000)</f>
        <v>71.861039999999988</v>
      </c>
      <c r="I81" s="13">
        <f t="shared" si="13"/>
        <v>5988.4199999999992</v>
      </c>
    </row>
    <row r="82" spans="1:9" ht="15.75" hidden="1" customHeight="1">
      <c r="A82" s="27"/>
      <c r="B82" s="106" t="s">
        <v>73</v>
      </c>
      <c r="C82" s="90"/>
      <c r="D82" s="33"/>
      <c r="E82" s="15"/>
      <c r="F82" s="31"/>
      <c r="G82" s="31" t="s">
        <v>128</v>
      </c>
      <c r="H82" s="63" t="s">
        <v>128</v>
      </c>
      <c r="I82" s="13"/>
    </row>
    <row r="83" spans="1:9" ht="15.75" hidden="1" customHeight="1">
      <c r="A83" s="27"/>
      <c r="B83" s="96" t="s">
        <v>120</v>
      </c>
      <c r="C83" s="91" t="s">
        <v>74</v>
      </c>
      <c r="D83" s="89"/>
      <c r="E83" s="97"/>
      <c r="F83" s="69">
        <v>0.5</v>
      </c>
      <c r="G83" s="69">
        <v>3619.09</v>
      </c>
      <c r="H83" s="63">
        <f t="shared" si="10"/>
        <v>1.8095450000000002</v>
      </c>
      <c r="I83" s="13"/>
    </row>
    <row r="84" spans="1:9" ht="15.75" hidden="1" customHeight="1">
      <c r="A84" s="27"/>
      <c r="B84" s="57" t="s">
        <v>88</v>
      </c>
      <c r="C84" s="13"/>
      <c r="D84" s="13"/>
      <c r="E84" s="13"/>
      <c r="F84" s="13"/>
      <c r="G84" s="13"/>
      <c r="H84" s="13"/>
      <c r="I84" s="13"/>
    </row>
    <row r="85" spans="1:9" ht="15.75" hidden="1" customHeight="1">
      <c r="A85" s="27"/>
      <c r="B85" s="70" t="s">
        <v>107</v>
      </c>
      <c r="C85" s="98"/>
      <c r="D85" s="99"/>
      <c r="E85" s="100"/>
      <c r="F85" s="32">
        <v>1</v>
      </c>
      <c r="G85" s="32">
        <v>8275.7000000000007</v>
      </c>
      <c r="H85" s="63">
        <f>G85*F85/1000</f>
        <v>8.2757000000000005</v>
      </c>
      <c r="I85" s="13"/>
    </row>
    <row r="86" spans="1:9" ht="15" customHeight="1">
      <c r="A86" s="174" t="s">
        <v>124</v>
      </c>
      <c r="B86" s="175"/>
      <c r="C86" s="175"/>
      <c r="D86" s="175"/>
      <c r="E86" s="175"/>
      <c r="F86" s="175"/>
      <c r="G86" s="175"/>
      <c r="H86" s="175"/>
      <c r="I86" s="176"/>
    </row>
    <row r="87" spans="1:9" ht="15.75" customHeight="1">
      <c r="A87" s="27">
        <v>18</v>
      </c>
      <c r="B87" s="70" t="s">
        <v>108</v>
      </c>
      <c r="C87" s="90" t="s">
        <v>54</v>
      </c>
      <c r="D87" s="56"/>
      <c r="E87" s="31">
        <v>2626.5</v>
      </c>
      <c r="F87" s="31">
        <f>SUM(E87*12)</f>
        <v>31518</v>
      </c>
      <c r="G87" s="31">
        <v>3.1</v>
      </c>
      <c r="H87" s="63">
        <f>SUM(F87*G87/1000)</f>
        <v>97.705799999999996</v>
      </c>
      <c r="I87" s="13">
        <f t="shared" ref="I87:I88" si="15">F87/12*G87</f>
        <v>8142.1500000000005</v>
      </c>
    </row>
    <row r="88" spans="1:9" ht="31.5" customHeight="1">
      <c r="A88" s="27">
        <v>19</v>
      </c>
      <c r="B88" s="33" t="s">
        <v>75</v>
      </c>
      <c r="C88" s="90"/>
      <c r="D88" s="56"/>
      <c r="E88" s="72">
        <f>E87</f>
        <v>2626.5</v>
      </c>
      <c r="F88" s="31">
        <f>E88*12</f>
        <v>31518</v>
      </c>
      <c r="G88" s="31">
        <v>3.5</v>
      </c>
      <c r="H88" s="63">
        <f>F88*G88/1000</f>
        <v>110.313</v>
      </c>
      <c r="I88" s="13">
        <f t="shared" si="15"/>
        <v>9192.75</v>
      </c>
    </row>
    <row r="89" spans="1:9" ht="15.75" customHeight="1">
      <c r="A89" s="27"/>
      <c r="B89" s="34" t="s">
        <v>77</v>
      </c>
      <c r="C89" s="54"/>
      <c r="D89" s="53"/>
      <c r="E89" s="50"/>
      <c r="F89" s="50"/>
      <c r="G89" s="50"/>
      <c r="H89" s="55">
        <f>H79</f>
        <v>14.327999999999999</v>
      </c>
      <c r="I89" s="50">
        <f>I88+I87+I81+I79+I78+I63+I52+I45+I44+I43+I42+I40+I39+I38+I27+I20+I18+I17+I16</f>
        <v>46450.584285000004</v>
      </c>
    </row>
    <row r="90" spans="1:9" ht="15.75" customHeight="1">
      <c r="A90" s="163" t="s">
        <v>59</v>
      </c>
      <c r="B90" s="164"/>
      <c r="C90" s="164"/>
      <c r="D90" s="164"/>
      <c r="E90" s="164"/>
      <c r="F90" s="164"/>
      <c r="G90" s="164"/>
      <c r="H90" s="164"/>
      <c r="I90" s="165"/>
    </row>
    <row r="91" spans="1:9" ht="15.75" customHeight="1">
      <c r="A91" s="154">
        <v>20</v>
      </c>
      <c r="B91" s="44" t="s">
        <v>236</v>
      </c>
      <c r="C91" s="45" t="s">
        <v>237</v>
      </c>
      <c r="D91" s="152" t="s">
        <v>240</v>
      </c>
      <c r="E91" s="31"/>
      <c r="F91" s="31">
        <v>3</v>
      </c>
      <c r="G91" s="31">
        <v>1500</v>
      </c>
      <c r="H91" s="153"/>
      <c r="I91" s="159">
        <f>G91*3</f>
        <v>4500</v>
      </c>
    </row>
    <row r="92" spans="1:9" ht="15.75" customHeight="1">
      <c r="A92" s="154">
        <v>21</v>
      </c>
      <c r="B92" s="44" t="s">
        <v>238</v>
      </c>
      <c r="C92" s="45" t="s">
        <v>101</v>
      </c>
      <c r="D92" s="152" t="s">
        <v>211</v>
      </c>
      <c r="E92" s="31"/>
      <c r="F92" s="31">
        <v>1</v>
      </c>
      <c r="G92" s="31">
        <v>228.9</v>
      </c>
      <c r="H92" s="157"/>
      <c r="I92" s="159">
        <f>G92*1</f>
        <v>228.9</v>
      </c>
    </row>
    <row r="93" spans="1:9" ht="15.75" customHeight="1">
      <c r="A93" s="154">
        <v>22</v>
      </c>
      <c r="B93" s="44" t="s">
        <v>184</v>
      </c>
      <c r="C93" s="45" t="s">
        <v>185</v>
      </c>
      <c r="D93" s="152" t="s">
        <v>239</v>
      </c>
      <c r="E93" s="31"/>
      <c r="F93" s="31">
        <v>7</v>
      </c>
      <c r="G93" s="31">
        <v>295.36</v>
      </c>
      <c r="H93" s="157"/>
      <c r="I93" s="159">
        <v>0</v>
      </c>
    </row>
    <row r="94" spans="1:9" ht="16.5" customHeight="1">
      <c r="A94" s="27"/>
      <c r="B94" s="39" t="s">
        <v>51</v>
      </c>
      <c r="C94" s="35"/>
      <c r="D94" s="42"/>
      <c r="E94" s="35">
        <v>1</v>
      </c>
      <c r="F94" s="35"/>
      <c r="G94" s="35"/>
      <c r="H94" s="35"/>
      <c r="I94" s="29">
        <f>SUM(I91:I93)</f>
        <v>4728.8999999999996</v>
      </c>
    </row>
    <row r="95" spans="1:9" ht="15.75" customHeight="1">
      <c r="A95" s="27"/>
      <c r="B95" s="41" t="s">
        <v>76</v>
      </c>
      <c r="C95" s="14"/>
      <c r="D95" s="14"/>
      <c r="E95" s="36"/>
      <c r="F95" s="36"/>
      <c r="G95" s="37"/>
      <c r="H95" s="37"/>
      <c r="I95" s="15">
        <v>0</v>
      </c>
    </row>
    <row r="96" spans="1:9" ht="15.75" customHeight="1">
      <c r="A96" s="43"/>
      <c r="B96" s="40" t="s">
        <v>134</v>
      </c>
      <c r="C96" s="30"/>
      <c r="D96" s="30"/>
      <c r="E96" s="30"/>
      <c r="F96" s="30"/>
      <c r="G96" s="30"/>
      <c r="H96" s="30"/>
      <c r="I96" s="38">
        <f>I89+I94</f>
        <v>51179.484285000006</v>
      </c>
    </row>
    <row r="97" spans="1:9" ht="15.75" customHeight="1">
      <c r="A97" s="166" t="s">
        <v>241</v>
      </c>
      <c r="B97" s="166"/>
      <c r="C97" s="166"/>
      <c r="D97" s="166"/>
      <c r="E97" s="166"/>
      <c r="F97" s="166"/>
      <c r="G97" s="166"/>
      <c r="H97" s="166"/>
      <c r="I97" s="166"/>
    </row>
    <row r="98" spans="1:9" ht="15.75">
      <c r="A98" s="46"/>
      <c r="B98" s="167" t="s">
        <v>242</v>
      </c>
      <c r="C98" s="167"/>
      <c r="D98" s="167"/>
      <c r="E98" s="167"/>
      <c r="F98" s="167"/>
      <c r="G98" s="167"/>
      <c r="H98" s="49"/>
      <c r="I98" s="3"/>
    </row>
    <row r="99" spans="1:9">
      <c r="A99" s="64"/>
      <c r="B99" s="168" t="s">
        <v>6</v>
      </c>
      <c r="C99" s="168"/>
      <c r="D99" s="168"/>
      <c r="E99" s="168"/>
      <c r="F99" s="168"/>
      <c r="G99" s="168"/>
      <c r="H99" s="22"/>
      <c r="I99" s="5"/>
    </row>
    <row r="100" spans="1:9" ht="15.75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 customHeight="1">
      <c r="A101" s="169" t="s">
        <v>7</v>
      </c>
      <c r="B101" s="169"/>
      <c r="C101" s="169"/>
      <c r="D101" s="169"/>
      <c r="E101" s="169"/>
      <c r="F101" s="169"/>
      <c r="G101" s="169"/>
      <c r="H101" s="169"/>
      <c r="I101" s="169"/>
    </row>
    <row r="102" spans="1:9" ht="15.75">
      <c r="A102" s="169" t="s">
        <v>8</v>
      </c>
      <c r="B102" s="169"/>
      <c r="C102" s="169"/>
      <c r="D102" s="169"/>
      <c r="E102" s="169"/>
      <c r="F102" s="169"/>
      <c r="G102" s="169"/>
      <c r="H102" s="169"/>
      <c r="I102" s="169"/>
    </row>
    <row r="103" spans="1:9" ht="15.75">
      <c r="A103" s="170" t="s">
        <v>60</v>
      </c>
      <c r="B103" s="170"/>
      <c r="C103" s="170"/>
      <c r="D103" s="170"/>
      <c r="E103" s="170"/>
      <c r="F103" s="170"/>
      <c r="G103" s="170"/>
      <c r="H103" s="170"/>
      <c r="I103" s="170"/>
    </row>
    <row r="104" spans="1:9" ht="15.75">
      <c r="A104" s="11"/>
    </row>
    <row r="105" spans="1:9" ht="15.75">
      <c r="A105" s="171" t="s">
        <v>9</v>
      </c>
      <c r="B105" s="171"/>
      <c r="C105" s="171"/>
      <c r="D105" s="171"/>
      <c r="E105" s="171"/>
      <c r="F105" s="171"/>
      <c r="G105" s="171"/>
      <c r="H105" s="171"/>
      <c r="I105" s="171"/>
    </row>
    <row r="106" spans="1:9" ht="15.75" customHeight="1">
      <c r="A106" s="4"/>
    </row>
    <row r="107" spans="1:9" ht="15.75">
      <c r="B107" s="66" t="s">
        <v>10</v>
      </c>
      <c r="C107" s="172" t="s">
        <v>217</v>
      </c>
      <c r="D107" s="172"/>
      <c r="E107" s="172"/>
      <c r="F107" s="47"/>
      <c r="I107" s="67"/>
    </row>
    <row r="108" spans="1:9">
      <c r="A108" s="64"/>
      <c r="C108" s="168" t="s">
        <v>11</v>
      </c>
      <c r="D108" s="168"/>
      <c r="E108" s="168"/>
      <c r="F108" s="22"/>
      <c r="I108" s="65" t="s">
        <v>12</v>
      </c>
    </row>
    <row r="109" spans="1:9" ht="15.75" customHeight="1">
      <c r="A109" s="23"/>
      <c r="C109" s="12"/>
      <c r="D109" s="12"/>
      <c r="G109" s="12"/>
      <c r="H109" s="12"/>
    </row>
    <row r="110" spans="1:9" ht="15.75" customHeight="1">
      <c r="B110" s="66" t="s">
        <v>13</v>
      </c>
      <c r="C110" s="173"/>
      <c r="D110" s="173"/>
      <c r="E110" s="173"/>
      <c r="F110" s="48"/>
      <c r="I110" s="67"/>
    </row>
    <row r="111" spans="1:9" ht="15.75" customHeight="1">
      <c r="A111" s="64"/>
      <c r="C111" s="162" t="s">
        <v>11</v>
      </c>
      <c r="D111" s="162"/>
      <c r="E111" s="162"/>
      <c r="F111" s="64"/>
      <c r="I111" s="65" t="s">
        <v>12</v>
      </c>
    </row>
    <row r="112" spans="1:9" ht="15.75">
      <c r="A112" s="4" t="s">
        <v>14</v>
      </c>
    </row>
    <row r="113" spans="1:9">
      <c r="A113" s="189" t="s">
        <v>15</v>
      </c>
      <c r="B113" s="189"/>
      <c r="C113" s="189"/>
      <c r="D113" s="189"/>
      <c r="E113" s="189"/>
      <c r="F113" s="189"/>
      <c r="G113" s="189"/>
      <c r="H113" s="189"/>
      <c r="I113" s="189"/>
    </row>
    <row r="114" spans="1:9" ht="45" customHeight="1">
      <c r="A114" s="190" t="s">
        <v>16</v>
      </c>
      <c r="B114" s="190"/>
      <c r="C114" s="190"/>
      <c r="D114" s="190"/>
      <c r="E114" s="190"/>
      <c r="F114" s="190"/>
      <c r="G114" s="190"/>
      <c r="H114" s="190"/>
      <c r="I114" s="190"/>
    </row>
    <row r="115" spans="1:9" ht="30" customHeight="1">
      <c r="A115" s="190" t="s">
        <v>17</v>
      </c>
      <c r="B115" s="190"/>
      <c r="C115" s="190"/>
      <c r="D115" s="190"/>
      <c r="E115" s="190"/>
      <c r="F115" s="190"/>
      <c r="G115" s="190"/>
      <c r="H115" s="190"/>
      <c r="I115" s="190"/>
    </row>
    <row r="116" spans="1:9" ht="30" customHeight="1">
      <c r="A116" s="190" t="s">
        <v>21</v>
      </c>
      <c r="B116" s="190"/>
      <c r="C116" s="190"/>
      <c r="D116" s="190"/>
      <c r="E116" s="190"/>
      <c r="F116" s="190"/>
      <c r="G116" s="190"/>
      <c r="H116" s="190"/>
      <c r="I116" s="190"/>
    </row>
    <row r="117" spans="1:9" ht="15" customHeight="1">
      <c r="A117" s="190" t="s">
        <v>20</v>
      </c>
      <c r="B117" s="190"/>
      <c r="C117" s="190"/>
      <c r="D117" s="190"/>
      <c r="E117" s="190"/>
      <c r="F117" s="190"/>
      <c r="G117" s="190"/>
      <c r="H117" s="190"/>
      <c r="I117" s="190"/>
    </row>
  </sheetData>
  <autoFilter ref="I12:I58"/>
  <mergeCells count="29">
    <mergeCell ref="A113:I113"/>
    <mergeCell ref="A114:I114"/>
    <mergeCell ref="A115:I115"/>
    <mergeCell ref="A116:I116"/>
    <mergeCell ref="A117:I117"/>
    <mergeCell ref="A14:I14"/>
    <mergeCell ref="A15:I15"/>
    <mergeCell ref="A28:I28"/>
    <mergeCell ref="A46:I46"/>
    <mergeCell ref="A57:I57"/>
    <mergeCell ref="A3:I3"/>
    <mergeCell ref="A4:I4"/>
    <mergeCell ref="A5:I5"/>
    <mergeCell ref="A8:I8"/>
    <mergeCell ref="A10:I10"/>
    <mergeCell ref="R64:U64"/>
    <mergeCell ref="C111:E111"/>
    <mergeCell ref="A90:I90"/>
    <mergeCell ref="A97:I97"/>
    <mergeCell ref="B98:G98"/>
    <mergeCell ref="B99:G99"/>
    <mergeCell ref="A101:I101"/>
    <mergeCell ref="A102:I102"/>
    <mergeCell ref="A103:I103"/>
    <mergeCell ref="A105:I105"/>
    <mergeCell ref="C107:E107"/>
    <mergeCell ref="C108:E108"/>
    <mergeCell ref="C110:E110"/>
    <mergeCell ref="A86:I86"/>
  </mergeCells>
  <pageMargins left="0.70866141732283472" right="0" top="0.27559055118110237" bottom="0.27559055118110237" header="0.31496062992125984" footer="0.31496062992125984"/>
  <pageSetup paperSize="9" scale="59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6"/>
  <sheetViews>
    <sheetView view="pageBreakPreview" topLeftCell="A28" zoomScale="60" zoomScaleNormal="100" workbookViewId="0">
      <selection activeCell="G109" sqref="G109"/>
    </sheetView>
  </sheetViews>
  <sheetFormatPr defaultRowHeight="15"/>
  <cols>
    <col min="1" max="1" width="7.5703125" customWidth="1"/>
    <col min="2" max="2" width="55" customWidth="1"/>
    <col min="3" max="3" width="25.42578125" customWidth="1"/>
    <col min="4" max="4" width="22.42578125" customWidth="1"/>
    <col min="5" max="5" width="18.85546875" hidden="1" customWidth="1"/>
    <col min="6" max="6" width="13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5" t="s">
        <v>178</v>
      </c>
      <c r="I1" s="24"/>
      <c r="J1" s="1"/>
      <c r="K1" s="1"/>
      <c r="L1" s="1"/>
      <c r="M1" s="1"/>
    </row>
    <row r="2" spans="1:13" ht="15.75">
      <c r="A2" s="26" t="s">
        <v>61</v>
      </c>
      <c r="J2" s="2"/>
      <c r="K2" s="2"/>
      <c r="L2" s="2"/>
      <c r="M2" s="2"/>
    </row>
    <row r="3" spans="1:13" ht="15.75" customHeight="1">
      <c r="A3" s="179" t="s">
        <v>151</v>
      </c>
      <c r="B3" s="179"/>
      <c r="C3" s="179"/>
      <c r="D3" s="179"/>
      <c r="E3" s="179"/>
      <c r="F3" s="179"/>
      <c r="G3" s="179"/>
      <c r="H3" s="179"/>
      <c r="I3" s="179"/>
      <c r="J3" s="3"/>
      <c r="K3" s="3"/>
      <c r="L3" s="3"/>
    </row>
    <row r="4" spans="1:13" ht="31.5" customHeight="1">
      <c r="A4" s="180" t="s">
        <v>121</v>
      </c>
      <c r="B4" s="180"/>
      <c r="C4" s="180"/>
      <c r="D4" s="180"/>
      <c r="E4" s="180"/>
      <c r="F4" s="180"/>
      <c r="G4" s="180"/>
      <c r="H4" s="180"/>
      <c r="I4" s="180"/>
    </row>
    <row r="5" spans="1:13" ht="15.75">
      <c r="A5" s="179" t="s">
        <v>243</v>
      </c>
      <c r="B5" s="181"/>
      <c r="C5" s="181"/>
      <c r="D5" s="181"/>
      <c r="E5" s="181"/>
      <c r="F5" s="181"/>
      <c r="G5" s="181"/>
      <c r="H5" s="181"/>
      <c r="I5" s="181"/>
      <c r="J5" s="2"/>
      <c r="K5" s="2"/>
      <c r="L5" s="2"/>
      <c r="M5" s="2"/>
    </row>
    <row r="6" spans="1:13" ht="15.75">
      <c r="A6" s="2"/>
      <c r="B6" s="108"/>
      <c r="C6" s="108"/>
      <c r="D6" s="108"/>
      <c r="E6" s="108"/>
      <c r="F6" s="108"/>
      <c r="G6" s="108"/>
      <c r="H6" s="108"/>
      <c r="I6" s="28">
        <v>44286</v>
      </c>
      <c r="J6" s="2"/>
      <c r="K6" s="2"/>
      <c r="L6" s="2"/>
      <c r="M6" s="2"/>
    </row>
    <row r="7" spans="1:13" ht="15.75">
      <c r="B7" s="111"/>
      <c r="C7" s="111"/>
      <c r="D7" s="11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2" t="s">
        <v>215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3" t="s">
        <v>133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4" t="s">
        <v>58</v>
      </c>
      <c r="B14" s="184"/>
      <c r="C14" s="184"/>
      <c r="D14" s="184"/>
      <c r="E14" s="184"/>
      <c r="F14" s="184"/>
      <c r="G14" s="184"/>
      <c r="H14" s="184"/>
      <c r="I14" s="184"/>
      <c r="J14" s="8"/>
      <c r="K14" s="8"/>
      <c r="L14" s="8"/>
      <c r="M14" s="8"/>
    </row>
    <row r="15" spans="1:13" ht="15" customHeight="1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  <c r="J15" s="8"/>
      <c r="K15" s="8"/>
      <c r="L15" s="8"/>
      <c r="M15" s="8"/>
    </row>
    <row r="16" spans="1:13" ht="15.75" customHeight="1">
      <c r="A16" s="27">
        <v>1</v>
      </c>
      <c r="B16" s="70" t="s">
        <v>81</v>
      </c>
      <c r="C16" s="71" t="s">
        <v>82</v>
      </c>
      <c r="D16" s="70" t="s">
        <v>164</v>
      </c>
      <c r="E16" s="72">
        <v>49.72</v>
      </c>
      <c r="F16" s="73">
        <f>SUM(E16*156/100)</f>
        <v>77.563199999999995</v>
      </c>
      <c r="G16" s="73">
        <v>230</v>
      </c>
      <c r="H16" s="74">
        <f t="shared" ref="H16:H25" si="0">SUM(F16*G16/1000)</f>
        <v>17.839535999999999</v>
      </c>
      <c r="I16" s="13">
        <f>F16/12*G16</f>
        <v>1486.6279999999999</v>
      </c>
      <c r="J16" s="19"/>
      <c r="K16" s="8"/>
      <c r="L16" s="8"/>
      <c r="M16" s="8"/>
    </row>
    <row r="17" spans="1:13" ht="16.5" customHeight="1">
      <c r="A17" s="27">
        <v>2</v>
      </c>
      <c r="B17" s="70" t="s">
        <v>169</v>
      </c>
      <c r="C17" s="71" t="s">
        <v>82</v>
      </c>
      <c r="D17" s="70" t="s">
        <v>186</v>
      </c>
      <c r="E17" s="72">
        <v>198.88</v>
      </c>
      <c r="F17" s="73">
        <f>SUM(E17*104/100)</f>
        <v>206.83520000000001</v>
      </c>
      <c r="G17" s="73">
        <v>230</v>
      </c>
      <c r="H17" s="74">
        <f t="shared" si="0"/>
        <v>47.572096000000002</v>
      </c>
      <c r="I17" s="13">
        <f>G17*F17/12</f>
        <v>3964.3413333333338</v>
      </c>
      <c r="J17" s="20"/>
      <c r="K17" s="8"/>
      <c r="L17" s="8"/>
      <c r="M17" s="8"/>
    </row>
    <row r="18" spans="1:13" ht="15" customHeight="1">
      <c r="A18" s="27">
        <v>3</v>
      </c>
      <c r="B18" s="70" t="s">
        <v>180</v>
      </c>
      <c r="C18" s="71" t="s">
        <v>82</v>
      </c>
      <c r="D18" s="70" t="s">
        <v>158</v>
      </c>
      <c r="E18" s="72">
        <v>248.6</v>
      </c>
      <c r="F18" s="73">
        <f>SUM(E18*24/100)</f>
        <v>59.663999999999994</v>
      </c>
      <c r="G18" s="73">
        <v>661.67</v>
      </c>
      <c r="H18" s="74">
        <f t="shared" si="0"/>
        <v>39.477878879999999</v>
      </c>
      <c r="I18" s="13">
        <f>G18*F18/12</f>
        <v>3289.8232399999997</v>
      </c>
      <c r="J18" s="20"/>
      <c r="K18" s="8"/>
      <c r="L18" s="8"/>
      <c r="M18" s="8"/>
    </row>
    <row r="19" spans="1:13" ht="15.75" hidden="1" customHeight="1">
      <c r="A19" s="27"/>
      <c r="B19" s="70" t="s">
        <v>89</v>
      </c>
      <c r="C19" s="71" t="s">
        <v>90</v>
      </c>
      <c r="D19" s="70" t="s">
        <v>91</v>
      </c>
      <c r="E19" s="72">
        <v>18.48</v>
      </c>
      <c r="F19" s="73">
        <f>SUM(E19/10)</f>
        <v>1.8480000000000001</v>
      </c>
      <c r="G19" s="73">
        <v>223.17</v>
      </c>
      <c r="H19" s="74">
        <f t="shared" si="0"/>
        <v>0.41241815999999998</v>
      </c>
      <c r="I19" s="13">
        <v>0</v>
      </c>
      <c r="J19" s="20"/>
      <c r="K19" s="8"/>
      <c r="L19" s="8"/>
      <c r="M19" s="8"/>
    </row>
    <row r="20" spans="1:13" ht="15.75" customHeight="1">
      <c r="A20" s="27">
        <v>4</v>
      </c>
      <c r="B20" s="70" t="s">
        <v>92</v>
      </c>
      <c r="C20" s="71" t="s">
        <v>82</v>
      </c>
      <c r="D20" s="70" t="s">
        <v>157</v>
      </c>
      <c r="E20" s="72">
        <v>10.5</v>
      </c>
      <c r="F20" s="73">
        <f>SUM(E20*12/100)</f>
        <v>1.26</v>
      </c>
      <c r="G20" s="73">
        <v>285.76</v>
      </c>
      <c r="H20" s="74">
        <f t="shared" si="0"/>
        <v>0.36005759999999998</v>
      </c>
      <c r="I20" s="13">
        <f>F20/12*G20</f>
        <v>30.004799999999999</v>
      </c>
      <c r="J20" s="20"/>
      <c r="K20" s="8"/>
      <c r="L20" s="8"/>
      <c r="M20" s="8"/>
    </row>
    <row r="21" spans="1:13" ht="15.75" hidden="1" customHeight="1">
      <c r="A21" s="27">
        <v>5</v>
      </c>
      <c r="B21" s="70" t="s">
        <v>93</v>
      </c>
      <c r="C21" s="71" t="s">
        <v>82</v>
      </c>
      <c r="D21" s="70" t="s">
        <v>41</v>
      </c>
      <c r="E21" s="72">
        <v>3</v>
      </c>
      <c r="F21" s="73">
        <f>SUM(E21*2/100)</f>
        <v>0.06</v>
      </c>
      <c r="G21" s="73">
        <v>283.44</v>
      </c>
      <c r="H21" s="74">
        <f t="shared" si="0"/>
        <v>1.7006399999999998E-2</v>
      </c>
      <c r="I21" s="13">
        <f>F21/6*G21</f>
        <v>2.8344</v>
      </c>
      <c r="J21" s="20"/>
      <c r="K21" s="8"/>
      <c r="L21" s="8"/>
      <c r="M21" s="8"/>
    </row>
    <row r="22" spans="1:13" ht="15.75" hidden="1" customHeight="1">
      <c r="A22" s="27"/>
      <c r="B22" s="70" t="s">
        <v>94</v>
      </c>
      <c r="C22" s="71" t="s">
        <v>52</v>
      </c>
      <c r="D22" s="70" t="s">
        <v>91</v>
      </c>
      <c r="E22" s="72">
        <v>267.75</v>
      </c>
      <c r="F22" s="73">
        <f>SUM(E22/100)</f>
        <v>2.6775000000000002</v>
      </c>
      <c r="G22" s="73">
        <v>353.14</v>
      </c>
      <c r="H22" s="74">
        <f t="shared" si="0"/>
        <v>0.94553235000000002</v>
      </c>
      <c r="I22" s="13">
        <v>0</v>
      </c>
      <c r="J22" s="20"/>
      <c r="K22" s="8"/>
      <c r="L22" s="8"/>
      <c r="M22" s="8"/>
    </row>
    <row r="23" spans="1:13" ht="15.75" hidden="1" customHeight="1">
      <c r="A23" s="27"/>
      <c r="B23" s="70" t="s">
        <v>95</v>
      </c>
      <c r="C23" s="71" t="s">
        <v>52</v>
      </c>
      <c r="D23" s="70" t="s">
        <v>91</v>
      </c>
      <c r="E23" s="75">
        <v>36.229999999999997</v>
      </c>
      <c r="F23" s="73">
        <f>SUM(E23/100)</f>
        <v>0.36229999999999996</v>
      </c>
      <c r="G23" s="73">
        <v>58.08</v>
      </c>
      <c r="H23" s="74">
        <f t="shared" si="0"/>
        <v>2.1042383999999997E-2</v>
      </c>
      <c r="I23" s="13">
        <v>0</v>
      </c>
      <c r="J23" s="20"/>
      <c r="K23" s="8"/>
      <c r="L23" s="8"/>
      <c r="M23" s="8"/>
    </row>
    <row r="24" spans="1:13" ht="15.75" hidden="1" customHeight="1">
      <c r="A24" s="27"/>
      <c r="B24" s="70" t="s">
        <v>96</v>
      </c>
      <c r="C24" s="71" t="s">
        <v>52</v>
      </c>
      <c r="D24" s="70" t="s">
        <v>53</v>
      </c>
      <c r="E24" s="72">
        <v>15</v>
      </c>
      <c r="F24" s="73">
        <f>SUM(E24/100)</f>
        <v>0.15</v>
      </c>
      <c r="G24" s="73">
        <v>511.12</v>
      </c>
      <c r="H24" s="74">
        <f t="shared" si="0"/>
        <v>7.6667999999999986E-2</v>
      </c>
      <c r="I24" s="13">
        <v>0</v>
      </c>
      <c r="J24" s="20"/>
      <c r="K24" s="8"/>
      <c r="L24" s="8"/>
      <c r="M24" s="8"/>
    </row>
    <row r="25" spans="1:13" ht="15.75" hidden="1" customHeight="1">
      <c r="A25" s="27"/>
      <c r="B25" s="70" t="s">
        <v>97</v>
      </c>
      <c r="C25" s="71" t="s">
        <v>52</v>
      </c>
      <c r="D25" s="70" t="s">
        <v>53</v>
      </c>
      <c r="E25" s="72">
        <v>6.38</v>
      </c>
      <c r="F25" s="73">
        <f>SUM(E25/100)</f>
        <v>6.3799999999999996E-2</v>
      </c>
      <c r="G25" s="73">
        <v>683.05</v>
      </c>
      <c r="H25" s="74">
        <f t="shared" si="0"/>
        <v>4.3578589999999993E-2</v>
      </c>
      <c r="I25" s="13">
        <v>0</v>
      </c>
      <c r="J25" s="20"/>
      <c r="K25" s="8"/>
      <c r="L25" s="8"/>
      <c r="M25" s="8"/>
    </row>
    <row r="26" spans="1:13" ht="15.75" hidden="1" customHeight="1">
      <c r="A26" s="27"/>
      <c r="B26" s="70" t="s">
        <v>116</v>
      </c>
      <c r="C26" s="71" t="s">
        <v>52</v>
      </c>
      <c r="D26" s="70" t="s">
        <v>53</v>
      </c>
      <c r="E26" s="72">
        <v>14.25</v>
      </c>
      <c r="F26" s="73">
        <v>0.14000000000000001</v>
      </c>
      <c r="G26" s="73">
        <v>283.44</v>
      </c>
      <c r="H26" s="74">
        <f>G26*F26/1000</f>
        <v>3.9681600000000004E-2</v>
      </c>
      <c r="I26" s="13">
        <v>0</v>
      </c>
      <c r="J26" s="20"/>
      <c r="K26" s="8"/>
      <c r="L26" s="8"/>
      <c r="M26" s="8"/>
    </row>
    <row r="27" spans="1:13" ht="15.75" hidden="1" customHeight="1">
      <c r="A27" s="27">
        <v>5</v>
      </c>
      <c r="B27" s="70" t="s">
        <v>195</v>
      </c>
      <c r="C27" s="71" t="s">
        <v>25</v>
      </c>
      <c r="D27" s="70" t="s">
        <v>202</v>
      </c>
      <c r="E27" s="77">
        <v>4.37</v>
      </c>
      <c r="F27" s="73">
        <f>E27*258</f>
        <v>1127.46</v>
      </c>
      <c r="G27" s="73">
        <v>10.39</v>
      </c>
      <c r="H27" s="74">
        <f>SUM(F27*G27/1000)</f>
        <v>11.714309400000001</v>
      </c>
      <c r="I27" s="13">
        <f>G27*F27/12</f>
        <v>976.19245000000012</v>
      </c>
      <c r="J27" s="21"/>
    </row>
    <row r="28" spans="1:13" ht="15.75" customHeight="1">
      <c r="A28" s="185" t="s">
        <v>80</v>
      </c>
      <c r="B28" s="185"/>
      <c r="C28" s="185"/>
      <c r="D28" s="185"/>
      <c r="E28" s="185"/>
      <c r="F28" s="185"/>
      <c r="G28" s="185"/>
      <c r="H28" s="185"/>
      <c r="I28" s="185"/>
      <c r="J28" s="20"/>
      <c r="K28" s="8"/>
      <c r="L28" s="8"/>
      <c r="M28" s="8"/>
    </row>
    <row r="29" spans="1:13" ht="15.75" hidden="1" customHeight="1">
      <c r="A29" s="27"/>
      <c r="B29" s="101" t="s">
        <v>28</v>
      </c>
      <c r="C29" s="71"/>
      <c r="D29" s="70"/>
      <c r="E29" s="72"/>
      <c r="F29" s="73"/>
      <c r="G29" s="73"/>
      <c r="H29" s="74"/>
      <c r="I29" s="13"/>
      <c r="J29" s="21"/>
    </row>
    <row r="30" spans="1:13" ht="15.75" hidden="1" customHeight="1">
      <c r="A30" s="27"/>
      <c r="B30" s="70" t="s">
        <v>99</v>
      </c>
      <c r="C30" s="71" t="s">
        <v>84</v>
      </c>
      <c r="D30" s="70" t="s">
        <v>135</v>
      </c>
      <c r="E30" s="73">
        <v>665</v>
      </c>
      <c r="F30" s="73">
        <f>SUM(E30*52/1000)</f>
        <v>34.58</v>
      </c>
      <c r="G30" s="73">
        <v>204.44</v>
      </c>
      <c r="H30" s="74">
        <f t="shared" ref="H30:H36" si="1">SUM(F30*G30/1000)</f>
        <v>7.0695351999999989</v>
      </c>
      <c r="I30" s="13">
        <f t="shared" ref="I30:I31" si="2">F30/6*G30</f>
        <v>1178.2558666666666</v>
      </c>
      <c r="J30" s="20"/>
      <c r="K30" s="8"/>
      <c r="L30" s="8"/>
      <c r="M30" s="8"/>
    </row>
    <row r="31" spans="1:13" ht="15.75" hidden="1" customHeight="1">
      <c r="A31" s="27"/>
      <c r="B31" s="70" t="s">
        <v>112</v>
      </c>
      <c r="C31" s="71" t="s">
        <v>84</v>
      </c>
      <c r="D31" s="70" t="s">
        <v>136</v>
      </c>
      <c r="E31" s="73">
        <v>81.5</v>
      </c>
      <c r="F31" s="73">
        <f>SUM(E31*78/1000)</f>
        <v>6.3570000000000002</v>
      </c>
      <c r="G31" s="73">
        <v>339.21</v>
      </c>
      <c r="H31" s="74">
        <f t="shared" si="1"/>
        <v>2.1563579700000002</v>
      </c>
      <c r="I31" s="13">
        <f t="shared" si="2"/>
        <v>359.39299500000004</v>
      </c>
      <c r="J31" s="20"/>
      <c r="K31" s="8"/>
      <c r="L31" s="8"/>
      <c r="M31" s="8"/>
    </row>
    <row r="32" spans="1:13" ht="15.75" hidden="1" customHeight="1">
      <c r="A32" s="27"/>
      <c r="B32" s="70" t="s">
        <v>27</v>
      </c>
      <c r="C32" s="71" t="s">
        <v>84</v>
      </c>
      <c r="D32" s="70" t="s">
        <v>53</v>
      </c>
      <c r="E32" s="73">
        <v>665</v>
      </c>
      <c r="F32" s="73">
        <f>SUM(E32/1000)</f>
        <v>0.66500000000000004</v>
      </c>
      <c r="G32" s="73">
        <v>3961.23</v>
      </c>
      <c r="H32" s="74">
        <f t="shared" si="1"/>
        <v>2.63421795</v>
      </c>
      <c r="I32" s="13">
        <f>F32*G32</f>
        <v>2634.2179500000002</v>
      </c>
      <c r="J32" s="20"/>
      <c r="K32" s="8"/>
      <c r="L32" s="8"/>
      <c r="M32" s="8"/>
    </row>
    <row r="33" spans="1:14" ht="15.75" hidden="1" customHeight="1">
      <c r="A33" s="27"/>
      <c r="B33" s="70" t="s">
        <v>111</v>
      </c>
      <c r="C33" s="71" t="s">
        <v>39</v>
      </c>
      <c r="D33" s="70" t="s">
        <v>62</v>
      </c>
      <c r="E33" s="73">
        <v>3</v>
      </c>
      <c r="F33" s="73">
        <f>E33*155/100</f>
        <v>4.6500000000000004</v>
      </c>
      <c r="G33" s="73">
        <v>1707.63</v>
      </c>
      <c r="H33" s="74">
        <f>G33*F33/1000</f>
        <v>7.9404795000000012</v>
      </c>
      <c r="I33" s="13">
        <f>F33/6*G33</f>
        <v>1323.4132500000001</v>
      </c>
      <c r="J33" s="20"/>
      <c r="K33" s="8"/>
      <c r="L33" s="8"/>
      <c r="M33" s="8"/>
    </row>
    <row r="34" spans="1:14" ht="15.75" hidden="1" customHeight="1">
      <c r="A34" s="27"/>
      <c r="B34" s="70" t="s">
        <v>98</v>
      </c>
      <c r="C34" s="71" t="s">
        <v>30</v>
      </c>
      <c r="D34" s="70" t="s">
        <v>62</v>
      </c>
      <c r="E34" s="76">
        <f>1/3</f>
        <v>0.33333333333333331</v>
      </c>
      <c r="F34" s="73">
        <f>155/3</f>
        <v>51.666666666666664</v>
      </c>
      <c r="G34" s="73">
        <v>74.349999999999994</v>
      </c>
      <c r="H34" s="74">
        <f>SUM(G34*155/3/1000)</f>
        <v>3.8414166666666665</v>
      </c>
      <c r="I34" s="13">
        <f>F34/6*G34</f>
        <v>640.23611111111109</v>
      </c>
      <c r="J34" s="20"/>
      <c r="K34" s="8"/>
    </row>
    <row r="35" spans="1:14" ht="15.75" hidden="1" customHeight="1">
      <c r="A35" s="27"/>
      <c r="B35" s="70" t="s">
        <v>63</v>
      </c>
      <c r="C35" s="71" t="s">
        <v>32</v>
      </c>
      <c r="D35" s="70" t="s">
        <v>65</v>
      </c>
      <c r="E35" s="72"/>
      <c r="F35" s="73">
        <v>1</v>
      </c>
      <c r="G35" s="73">
        <v>250.92</v>
      </c>
      <c r="H35" s="74">
        <f t="shared" si="1"/>
        <v>0.25091999999999998</v>
      </c>
      <c r="I35" s="13">
        <v>0</v>
      </c>
      <c r="J35" s="21"/>
    </row>
    <row r="36" spans="1:14" ht="15.75" hidden="1" customHeight="1">
      <c r="A36" s="27"/>
      <c r="B36" s="70" t="s">
        <v>64</v>
      </c>
      <c r="C36" s="71" t="s">
        <v>31</v>
      </c>
      <c r="D36" s="70" t="s">
        <v>65</v>
      </c>
      <c r="E36" s="72"/>
      <c r="F36" s="73">
        <v>1</v>
      </c>
      <c r="G36" s="73">
        <v>1490.31</v>
      </c>
      <c r="H36" s="74">
        <f t="shared" si="1"/>
        <v>1.49031</v>
      </c>
      <c r="I36" s="13">
        <v>0</v>
      </c>
      <c r="J36" s="21"/>
    </row>
    <row r="37" spans="1:14" ht="15.75" customHeight="1">
      <c r="A37" s="27"/>
      <c r="B37" s="101" t="s">
        <v>5</v>
      </c>
      <c r="C37" s="71"/>
      <c r="D37" s="70"/>
      <c r="E37" s="72"/>
      <c r="F37" s="73"/>
      <c r="G37" s="73"/>
      <c r="H37" s="74" t="s">
        <v>128</v>
      </c>
      <c r="I37" s="13"/>
      <c r="J37" s="21"/>
    </row>
    <row r="38" spans="1:14" ht="18" customHeight="1">
      <c r="A38" s="27">
        <v>5</v>
      </c>
      <c r="B38" s="79" t="s">
        <v>26</v>
      </c>
      <c r="C38" s="71" t="s">
        <v>31</v>
      </c>
      <c r="D38" s="70" t="s">
        <v>244</v>
      </c>
      <c r="E38" s="72"/>
      <c r="F38" s="73">
        <v>5</v>
      </c>
      <c r="G38" s="73">
        <v>2003</v>
      </c>
      <c r="H38" s="74">
        <f t="shared" ref="H38:H45" si="3">SUM(F38*G38/1000)</f>
        <v>10.015000000000001</v>
      </c>
      <c r="I38" s="13">
        <f>G38*3.6</f>
        <v>7210.8</v>
      </c>
      <c r="J38" s="21"/>
    </row>
    <row r="39" spans="1:14" ht="15.75" customHeight="1">
      <c r="A39" s="27">
        <v>6</v>
      </c>
      <c r="B39" s="79" t="s">
        <v>100</v>
      </c>
      <c r="C39" s="80" t="s">
        <v>29</v>
      </c>
      <c r="D39" s="70" t="s">
        <v>189</v>
      </c>
      <c r="E39" s="72">
        <v>81.5</v>
      </c>
      <c r="F39" s="81">
        <f>E39*30/1000</f>
        <v>2.4449999999999998</v>
      </c>
      <c r="G39" s="73">
        <v>2757.78</v>
      </c>
      <c r="H39" s="74">
        <f t="shared" si="3"/>
        <v>6.7427720999999998</v>
      </c>
      <c r="I39" s="13">
        <f t="shared" ref="I39:I42" si="4">F39/6*G39</f>
        <v>1123.7953500000001</v>
      </c>
      <c r="J39" s="21"/>
    </row>
    <row r="40" spans="1:14" ht="15.75" customHeight="1">
      <c r="A40" s="27">
        <v>7</v>
      </c>
      <c r="B40" s="70" t="s">
        <v>66</v>
      </c>
      <c r="C40" s="71" t="s">
        <v>29</v>
      </c>
      <c r="D40" s="70" t="s">
        <v>190</v>
      </c>
      <c r="E40" s="73">
        <v>81.5</v>
      </c>
      <c r="F40" s="81">
        <f>SUM(E40*155/1000)</f>
        <v>12.6325</v>
      </c>
      <c r="G40" s="73">
        <v>460.02</v>
      </c>
      <c r="H40" s="74">
        <f t="shared" si="3"/>
        <v>5.8112026500000002</v>
      </c>
      <c r="I40" s="13">
        <f t="shared" si="4"/>
        <v>968.53377499999999</v>
      </c>
      <c r="J40" s="21"/>
      <c r="L40" s="16"/>
      <c r="M40" s="17"/>
      <c r="N40" s="18"/>
    </row>
    <row r="41" spans="1:14" ht="15.75" hidden="1" customHeight="1">
      <c r="A41" s="27"/>
      <c r="B41" s="70" t="s">
        <v>113</v>
      </c>
      <c r="C41" s="71" t="s">
        <v>114</v>
      </c>
      <c r="D41" s="70" t="s">
        <v>65</v>
      </c>
      <c r="E41" s="72"/>
      <c r="F41" s="81">
        <v>26</v>
      </c>
      <c r="G41" s="73">
        <v>314</v>
      </c>
      <c r="H41" s="74">
        <f t="shared" si="3"/>
        <v>8.1639999999999997</v>
      </c>
      <c r="I41" s="13">
        <v>0</v>
      </c>
      <c r="J41" s="21"/>
      <c r="L41" s="16"/>
      <c r="M41" s="17"/>
      <c r="N41" s="18"/>
    </row>
    <row r="42" spans="1:14" ht="47.25" customHeight="1">
      <c r="A42" s="27">
        <v>8</v>
      </c>
      <c r="B42" s="70" t="s">
        <v>78</v>
      </c>
      <c r="C42" s="71" t="s">
        <v>84</v>
      </c>
      <c r="D42" s="70" t="s">
        <v>188</v>
      </c>
      <c r="E42" s="73">
        <v>81.5</v>
      </c>
      <c r="F42" s="81">
        <f>SUM(E42*35/1000)</f>
        <v>2.8525</v>
      </c>
      <c r="G42" s="73">
        <v>7611.16</v>
      </c>
      <c r="H42" s="74">
        <f t="shared" si="3"/>
        <v>21.710833900000001</v>
      </c>
      <c r="I42" s="13">
        <f t="shared" si="4"/>
        <v>3618.4723166666663</v>
      </c>
      <c r="J42" s="21"/>
      <c r="L42" s="16"/>
      <c r="M42" s="17"/>
      <c r="N42" s="18"/>
    </row>
    <row r="43" spans="1:14" ht="15.75" customHeight="1">
      <c r="A43" s="27">
        <v>9</v>
      </c>
      <c r="B43" s="70" t="s">
        <v>85</v>
      </c>
      <c r="C43" s="71" t="s">
        <v>84</v>
      </c>
      <c r="D43" s="70" t="s">
        <v>158</v>
      </c>
      <c r="E43" s="73">
        <v>81.5</v>
      </c>
      <c r="F43" s="81">
        <f>SUM(E43*45/1000)</f>
        <v>3.6675</v>
      </c>
      <c r="G43" s="73">
        <v>562.25</v>
      </c>
      <c r="H43" s="74">
        <f t="shared" si="3"/>
        <v>2.0620518750000003</v>
      </c>
      <c r="I43" s="13">
        <f>G43*F43/45*2</f>
        <v>91.646750000000011</v>
      </c>
      <c r="J43" s="21"/>
      <c r="L43" s="16"/>
      <c r="M43" s="17"/>
      <c r="N43" s="18"/>
    </row>
    <row r="44" spans="1:14" ht="15.75" customHeight="1">
      <c r="A44" s="27">
        <v>10</v>
      </c>
      <c r="B44" s="79" t="s">
        <v>68</v>
      </c>
      <c r="C44" s="80" t="s">
        <v>32</v>
      </c>
      <c r="D44" s="79"/>
      <c r="E44" s="77"/>
      <c r="F44" s="81">
        <v>0.9</v>
      </c>
      <c r="G44" s="81">
        <v>974.83</v>
      </c>
      <c r="H44" s="74">
        <f t="shared" si="3"/>
        <v>0.8773470000000001</v>
      </c>
      <c r="I44" s="13">
        <f>G44*F44/45*2</f>
        <v>38.993200000000002</v>
      </c>
      <c r="J44" s="21"/>
      <c r="L44" s="16"/>
      <c r="M44" s="17"/>
      <c r="N44" s="18"/>
    </row>
    <row r="45" spans="1:14" ht="33" customHeight="1">
      <c r="A45" s="27">
        <v>11</v>
      </c>
      <c r="B45" s="44" t="s">
        <v>139</v>
      </c>
      <c r="C45" s="45" t="s">
        <v>29</v>
      </c>
      <c r="D45" s="79" t="s">
        <v>159</v>
      </c>
      <c r="E45" s="77">
        <v>2.4</v>
      </c>
      <c r="F45" s="81">
        <f>SUM(E45*12/1000)</f>
        <v>2.8799999999999996E-2</v>
      </c>
      <c r="G45" s="81">
        <v>260.2</v>
      </c>
      <c r="H45" s="74">
        <f t="shared" si="3"/>
        <v>7.4937599999999986E-3</v>
      </c>
      <c r="I45" s="13">
        <f>F45/6*G45</f>
        <v>1.2489599999999998</v>
      </c>
      <c r="J45" s="21"/>
      <c r="L45" s="16"/>
      <c r="M45" s="17"/>
      <c r="N45" s="18"/>
    </row>
    <row r="46" spans="1:14" ht="17.25" customHeight="1">
      <c r="A46" s="186" t="s">
        <v>122</v>
      </c>
      <c r="B46" s="187"/>
      <c r="C46" s="187"/>
      <c r="D46" s="187"/>
      <c r="E46" s="187"/>
      <c r="F46" s="187"/>
      <c r="G46" s="187"/>
      <c r="H46" s="187"/>
      <c r="I46" s="188"/>
      <c r="J46" s="21"/>
      <c r="L46" s="16"/>
      <c r="M46" s="17"/>
      <c r="N46" s="18"/>
    </row>
    <row r="47" spans="1:14" ht="15.75" hidden="1" customHeight="1">
      <c r="A47" s="27"/>
      <c r="B47" s="70" t="s">
        <v>119</v>
      </c>
      <c r="C47" s="71" t="s">
        <v>84</v>
      </c>
      <c r="D47" s="70" t="s">
        <v>41</v>
      </c>
      <c r="E47" s="72">
        <v>1080</v>
      </c>
      <c r="F47" s="73">
        <f>SUM(E47*2/1000)</f>
        <v>2.16</v>
      </c>
      <c r="G47" s="31">
        <v>1172.4100000000001</v>
      </c>
      <c r="H47" s="74">
        <f t="shared" ref="H47:H55" si="5">SUM(F47*G47/1000)</f>
        <v>2.5324056000000006</v>
      </c>
      <c r="I47" s="13">
        <f t="shared" ref="I47:I50" si="6">F47/2*G47</f>
        <v>1266.2028000000003</v>
      </c>
      <c r="J47" s="21"/>
      <c r="L47" s="16"/>
      <c r="M47" s="17"/>
      <c r="N47" s="18"/>
    </row>
    <row r="48" spans="1:14" ht="19.5" hidden="1" customHeight="1">
      <c r="A48" s="27"/>
      <c r="B48" s="70" t="s">
        <v>34</v>
      </c>
      <c r="C48" s="71" t="s">
        <v>84</v>
      </c>
      <c r="D48" s="70" t="s">
        <v>41</v>
      </c>
      <c r="E48" s="72">
        <v>39</v>
      </c>
      <c r="F48" s="73">
        <f>SUM(E48*2/1000)</f>
        <v>7.8E-2</v>
      </c>
      <c r="G48" s="31">
        <v>4419.05</v>
      </c>
      <c r="H48" s="74">
        <f t="shared" si="5"/>
        <v>0.34468589999999999</v>
      </c>
      <c r="I48" s="13">
        <f t="shared" si="6"/>
        <v>172.34295</v>
      </c>
      <c r="J48" s="21"/>
      <c r="L48" s="16"/>
      <c r="M48" s="17"/>
      <c r="N48" s="18"/>
    </row>
    <row r="49" spans="1:22" ht="17.25" hidden="1" customHeight="1">
      <c r="A49" s="27"/>
      <c r="B49" s="70" t="s">
        <v>35</v>
      </c>
      <c r="C49" s="71" t="s">
        <v>84</v>
      </c>
      <c r="D49" s="70" t="s">
        <v>41</v>
      </c>
      <c r="E49" s="72">
        <v>1037</v>
      </c>
      <c r="F49" s="73">
        <f>SUM(E49*2/1000)</f>
        <v>2.0739999999999998</v>
      </c>
      <c r="G49" s="31">
        <v>1803.69</v>
      </c>
      <c r="H49" s="74">
        <f t="shared" si="5"/>
        <v>3.7408530600000001</v>
      </c>
      <c r="I49" s="13">
        <f t="shared" si="6"/>
        <v>1870.42653</v>
      </c>
      <c r="J49" s="21"/>
      <c r="L49" s="16"/>
      <c r="M49" s="17"/>
      <c r="N49" s="18"/>
    </row>
    <row r="50" spans="1:22" ht="18" hidden="1" customHeight="1">
      <c r="A50" s="27"/>
      <c r="B50" s="70" t="s">
        <v>36</v>
      </c>
      <c r="C50" s="71" t="s">
        <v>84</v>
      </c>
      <c r="D50" s="70" t="s">
        <v>41</v>
      </c>
      <c r="E50" s="72">
        <v>2274</v>
      </c>
      <c r="F50" s="73">
        <f>SUM(E50*2/1000)</f>
        <v>4.548</v>
      </c>
      <c r="G50" s="31">
        <v>1243.43</v>
      </c>
      <c r="H50" s="74">
        <f t="shared" si="5"/>
        <v>5.6551196399999997</v>
      </c>
      <c r="I50" s="13">
        <f t="shared" si="6"/>
        <v>2827.5598199999999</v>
      </c>
      <c r="J50" s="21"/>
      <c r="L50" s="16"/>
      <c r="M50" s="17"/>
      <c r="N50" s="18"/>
    </row>
    <row r="51" spans="1:22" ht="18.75" hidden="1" customHeight="1">
      <c r="A51" s="27"/>
      <c r="B51" s="70" t="s">
        <v>33</v>
      </c>
      <c r="C51" s="71" t="s">
        <v>52</v>
      </c>
      <c r="D51" s="70" t="s">
        <v>41</v>
      </c>
      <c r="E51" s="72">
        <v>83.04</v>
      </c>
      <c r="F51" s="73">
        <v>1.66</v>
      </c>
      <c r="G51" s="31">
        <v>1352.76</v>
      </c>
      <c r="H51" s="74">
        <f>SUM(F51*G51/1000)</f>
        <v>2.2455816</v>
      </c>
      <c r="I51" s="13">
        <f>F51/2*G51</f>
        <v>1122.7908</v>
      </c>
      <c r="J51" s="21"/>
      <c r="L51" s="16"/>
      <c r="M51" s="17"/>
      <c r="N51" s="18"/>
    </row>
    <row r="52" spans="1:22" ht="18" hidden="1" customHeight="1">
      <c r="A52" s="27">
        <v>13</v>
      </c>
      <c r="B52" s="70" t="s">
        <v>165</v>
      </c>
      <c r="C52" s="71" t="s">
        <v>84</v>
      </c>
      <c r="D52" s="70" t="s">
        <v>157</v>
      </c>
      <c r="E52" s="72">
        <v>2626.5</v>
      </c>
      <c r="F52" s="73">
        <f>SUM(E52*5/1000)</f>
        <v>13.1325</v>
      </c>
      <c r="G52" s="31">
        <v>1803.69</v>
      </c>
      <c r="H52" s="74">
        <f t="shared" ref="H52:H54" si="7">SUM(F52*G52/1000)</f>
        <v>23.686958925000003</v>
      </c>
      <c r="I52" s="13">
        <f>F52/5*G52</f>
        <v>4737.3917849999998</v>
      </c>
      <c r="J52" s="21"/>
      <c r="L52" s="16"/>
      <c r="M52" s="17"/>
      <c r="N52" s="18"/>
    </row>
    <row r="53" spans="1:22" ht="18" hidden="1" customHeight="1">
      <c r="A53" s="27"/>
      <c r="B53" s="70" t="s">
        <v>86</v>
      </c>
      <c r="C53" s="71" t="s">
        <v>84</v>
      </c>
      <c r="D53" s="70" t="s">
        <v>41</v>
      </c>
      <c r="E53" s="72">
        <v>2626.5</v>
      </c>
      <c r="F53" s="73">
        <f>SUM(E53*2/1000)</f>
        <v>5.2530000000000001</v>
      </c>
      <c r="G53" s="31">
        <v>1591.6</v>
      </c>
      <c r="H53" s="74">
        <f t="shared" si="7"/>
        <v>8.3606747999999982</v>
      </c>
      <c r="I53" s="13">
        <f>F53/2*G53</f>
        <v>4180.3373999999994</v>
      </c>
      <c r="J53" s="21"/>
      <c r="L53" s="16"/>
      <c r="M53" s="17"/>
      <c r="N53" s="18"/>
    </row>
    <row r="54" spans="1:22" ht="18.75" hidden="1" customHeight="1">
      <c r="A54" s="27"/>
      <c r="B54" s="70" t="s">
        <v>87</v>
      </c>
      <c r="C54" s="71" t="s">
        <v>37</v>
      </c>
      <c r="D54" s="70" t="s">
        <v>41</v>
      </c>
      <c r="E54" s="72">
        <v>15</v>
      </c>
      <c r="F54" s="73">
        <f>SUM(E54*2/100)</f>
        <v>0.3</v>
      </c>
      <c r="G54" s="31">
        <v>4058.32</v>
      </c>
      <c r="H54" s="74">
        <f t="shared" si="7"/>
        <v>1.2174960000000001</v>
      </c>
      <c r="I54" s="13">
        <f t="shared" ref="I54:I55" si="8">F54/2*G54</f>
        <v>608.74800000000005</v>
      </c>
      <c r="J54" s="21"/>
      <c r="L54" s="16"/>
      <c r="M54" s="17"/>
      <c r="N54" s="18"/>
    </row>
    <row r="55" spans="1:22" ht="19.5" hidden="1" customHeight="1">
      <c r="A55" s="27"/>
      <c r="B55" s="70" t="s">
        <v>38</v>
      </c>
      <c r="C55" s="71" t="s">
        <v>39</v>
      </c>
      <c r="D55" s="70" t="s">
        <v>41</v>
      </c>
      <c r="E55" s="72">
        <v>1</v>
      </c>
      <c r="F55" s="73">
        <v>0.02</v>
      </c>
      <c r="G55" s="31">
        <v>7412.92</v>
      </c>
      <c r="H55" s="74">
        <f t="shared" si="5"/>
        <v>0.14825839999999998</v>
      </c>
      <c r="I55" s="13">
        <f t="shared" si="8"/>
        <v>74.129199999999997</v>
      </c>
      <c r="J55" s="21"/>
      <c r="L55" s="16"/>
      <c r="M55" s="17"/>
      <c r="N55" s="18"/>
    </row>
    <row r="56" spans="1:22" ht="17.25" customHeight="1">
      <c r="A56" s="27">
        <v>12</v>
      </c>
      <c r="B56" s="70" t="s">
        <v>40</v>
      </c>
      <c r="C56" s="71" t="s">
        <v>101</v>
      </c>
      <c r="D56" s="151">
        <v>44272</v>
      </c>
      <c r="E56" s="72">
        <v>90</v>
      </c>
      <c r="F56" s="73">
        <f>SUM(E56)*3</f>
        <v>270</v>
      </c>
      <c r="G56" s="69">
        <v>86.15</v>
      </c>
      <c r="H56" s="74">
        <f>SUM(F56*G56/1000)</f>
        <v>23.2605</v>
      </c>
      <c r="I56" s="13">
        <f>F56/3*G56</f>
        <v>7753.5000000000009</v>
      </c>
      <c r="J56" s="21"/>
      <c r="L56" s="16"/>
      <c r="M56" s="17"/>
      <c r="N56" s="18"/>
    </row>
    <row r="57" spans="1:22" ht="15.75" customHeight="1">
      <c r="A57" s="186" t="s">
        <v>123</v>
      </c>
      <c r="B57" s="187"/>
      <c r="C57" s="187"/>
      <c r="D57" s="187"/>
      <c r="E57" s="187"/>
      <c r="F57" s="187"/>
      <c r="G57" s="187"/>
      <c r="H57" s="187"/>
      <c r="I57" s="188"/>
      <c r="J57" s="21"/>
      <c r="L57" s="16"/>
    </row>
    <row r="58" spans="1:22" ht="15.75" customHeight="1">
      <c r="A58" s="27"/>
      <c r="B58" s="101" t="s">
        <v>42</v>
      </c>
      <c r="C58" s="71"/>
      <c r="D58" s="70"/>
      <c r="E58" s="72"/>
      <c r="F58" s="73"/>
      <c r="G58" s="73"/>
      <c r="H58" s="74"/>
      <c r="I58" s="13"/>
    </row>
    <row r="59" spans="1:22" ht="31.5" customHeight="1">
      <c r="A59" s="27">
        <v>13</v>
      </c>
      <c r="B59" s="70" t="s">
        <v>181</v>
      </c>
      <c r="C59" s="71" t="s">
        <v>82</v>
      </c>
      <c r="D59" s="70"/>
      <c r="E59" s="72">
        <v>111</v>
      </c>
      <c r="F59" s="73">
        <f>SUM(E59*6/100)</f>
        <v>6.66</v>
      </c>
      <c r="G59" s="31">
        <v>2029.3</v>
      </c>
      <c r="H59" s="74">
        <f>SUM(F59*G59/1000)</f>
        <v>13.515138</v>
      </c>
      <c r="I59" s="13">
        <f>G59*0.4</f>
        <v>811.72</v>
      </c>
    </row>
    <row r="60" spans="1:22" ht="15.75" customHeight="1">
      <c r="A60" s="27">
        <v>14</v>
      </c>
      <c r="B60" s="70" t="s">
        <v>160</v>
      </c>
      <c r="C60" s="71" t="s">
        <v>142</v>
      </c>
      <c r="D60" s="70" t="s">
        <v>200</v>
      </c>
      <c r="E60" s="72"/>
      <c r="F60" s="73">
        <v>3</v>
      </c>
      <c r="G60" s="31">
        <v>1582.05</v>
      </c>
      <c r="H60" s="74">
        <f>SUM(F60*G60/1000)</f>
        <v>4.7461499999999992</v>
      </c>
      <c r="I60" s="13">
        <f>G60*2</f>
        <v>3164.1</v>
      </c>
    </row>
    <row r="61" spans="1:22" ht="15.75" customHeight="1">
      <c r="A61" s="27"/>
      <c r="B61" s="102" t="s">
        <v>43</v>
      </c>
      <c r="C61" s="82"/>
      <c r="D61" s="83"/>
      <c r="E61" s="84"/>
      <c r="F61" s="85"/>
      <c r="G61" s="31"/>
      <c r="H61" s="86"/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7.25" customHeight="1">
      <c r="A62" s="27">
        <v>15</v>
      </c>
      <c r="B62" s="83" t="s">
        <v>44</v>
      </c>
      <c r="C62" s="82" t="s">
        <v>52</v>
      </c>
      <c r="D62" s="70" t="s">
        <v>245</v>
      </c>
      <c r="E62" s="84">
        <v>130</v>
      </c>
      <c r="F62" s="85">
        <f>E62/100</f>
        <v>1.3</v>
      </c>
      <c r="G62" s="31">
        <v>1040.8399999999999</v>
      </c>
      <c r="H62" s="86">
        <f>F62*G62/1000</f>
        <v>1.353092</v>
      </c>
      <c r="I62" s="13">
        <f>G62*F62</f>
        <v>1353.0919999999999</v>
      </c>
      <c r="J62" s="23"/>
      <c r="K62" s="2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customHeight="1">
      <c r="A63" s="27">
        <v>16</v>
      </c>
      <c r="B63" s="83" t="s">
        <v>115</v>
      </c>
      <c r="C63" s="82" t="s">
        <v>25</v>
      </c>
      <c r="D63" s="83" t="s">
        <v>156</v>
      </c>
      <c r="E63" s="84">
        <v>130</v>
      </c>
      <c r="F63" s="87">
        <f>E63*12</f>
        <v>1560</v>
      </c>
      <c r="G63" s="88">
        <v>1.4</v>
      </c>
      <c r="H63" s="85">
        <f>F63*G63/1000</f>
        <v>2.1840000000000002</v>
      </c>
      <c r="I63" s="13">
        <f t="shared" ref="I63" si="9">F63/12*G63</f>
        <v>182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27"/>
      <c r="B64" s="103" t="s">
        <v>45</v>
      </c>
      <c r="C64" s="82"/>
      <c r="D64" s="83"/>
      <c r="E64" s="84"/>
      <c r="F64" s="87"/>
      <c r="G64" s="87"/>
      <c r="H64" s="85" t="s">
        <v>128</v>
      </c>
      <c r="I64" s="13"/>
      <c r="J64" s="5"/>
      <c r="K64" s="5"/>
      <c r="L64" s="5"/>
      <c r="M64" s="5"/>
      <c r="N64" s="5"/>
      <c r="O64" s="5"/>
      <c r="P64" s="5"/>
      <c r="Q64" s="5"/>
      <c r="R64" s="162"/>
      <c r="S64" s="162"/>
      <c r="T64" s="162"/>
      <c r="U64" s="162"/>
    </row>
    <row r="65" spans="1:21" ht="15.75" hidden="1" customHeight="1">
      <c r="A65" s="27"/>
      <c r="B65" s="89" t="s">
        <v>46</v>
      </c>
      <c r="C65" s="90" t="s">
        <v>101</v>
      </c>
      <c r="D65" s="70" t="s">
        <v>65</v>
      </c>
      <c r="E65" s="15">
        <v>9</v>
      </c>
      <c r="F65" s="69">
        <f>SUM(E65)</f>
        <v>9</v>
      </c>
      <c r="G65" s="31">
        <v>291.68</v>
      </c>
      <c r="H65" s="63">
        <f t="shared" ref="H65:H83" si="10">SUM(F65*G65/1000)</f>
        <v>2.6251199999999999</v>
      </c>
      <c r="I65" s="13">
        <v>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hidden="1" customHeight="1">
      <c r="A66" s="27"/>
      <c r="B66" s="89" t="s">
        <v>47</v>
      </c>
      <c r="C66" s="90" t="s">
        <v>101</v>
      </c>
      <c r="D66" s="70" t="s">
        <v>65</v>
      </c>
      <c r="E66" s="15">
        <v>4</v>
      </c>
      <c r="F66" s="69">
        <f>SUM(E66)</f>
        <v>4</v>
      </c>
      <c r="G66" s="31">
        <v>100.01</v>
      </c>
      <c r="H66" s="63">
        <f t="shared" si="10"/>
        <v>0.40004000000000001</v>
      </c>
      <c r="I66" s="13">
        <v>0</v>
      </c>
    </row>
    <row r="67" spans="1:21" ht="15.75" hidden="1" customHeight="1">
      <c r="A67" s="27"/>
      <c r="B67" s="89" t="s">
        <v>48</v>
      </c>
      <c r="C67" s="91" t="s">
        <v>103</v>
      </c>
      <c r="D67" s="33" t="s">
        <v>53</v>
      </c>
      <c r="E67" s="72">
        <v>13287</v>
      </c>
      <c r="F67" s="69">
        <f>SUM(E67/100)</f>
        <v>132.87</v>
      </c>
      <c r="G67" s="31">
        <v>278.24</v>
      </c>
      <c r="H67" s="63">
        <f t="shared" si="10"/>
        <v>36.969748799999998</v>
      </c>
      <c r="I67" s="13">
        <v>0</v>
      </c>
    </row>
    <row r="68" spans="1:21" ht="15.75" hidden="1" customHeight="1">
      <c r="A68" s="27"/>
      <c r="B68" s="89" t="s">
        <v>49</v>
      </c>
      <c r="C68" s="90" t="s">
        <v>104</v>
      </c>
      <c r="D68" s="33" t="s">
        <v>53</v>
      </c>
      <c r="E68" s="72">
        <v>13287</v>
      </c>
      <c r="F68" s="31">
        <f>SUM(E68/1000)</f>
        <v>13.287000000000001</v>
      </c>
      <c r="G68" s="31">
        <v>216.68</v>
      </c>
      <c r="H68" s="63">
        <f t="shared" si="10"/>
        <v>2.8790271600000001</v>
      </c>
      <c r="I68" s="13">
        <v>0</v>
      </c>
    </row>
    <row r="69" spans="1:21" ht="15.75" hidden="1" customHeight="1">
      <c r="A69" s="27"/>
      <c r="B69" s="89" t="s">
        <v>50</v>
      </c>
      <c r="C69" s="90" t="s">
        <v>74</v>
      </c>
      <c r="D69" s="33" t="s">
        <v>53</v>
      </c>
      <c r="E69" s="72">
        <v>2110</v>
      </c>
      <c r="F69" s="31">
        <f>SUM(E69/100)</f>
        <v>21.1</v>
      </c>
      <c r="G69" s="31">
        <v>2720.94</v>
      </c>
      <c r="H69" s="63">
        <f>SUM(F69*G69/1000)</f>
        <v>57.411834000000006</v>
      </c>
      <c r="I69" s="13">
        <v>0</v>
      </c>
    </row>
    <row r="70" spans="1:21" ht="15.75" hidden="1" customHeight="1">
      <c r="A70" s="27"/>
      <c r="B70" s="92" t="s">
        <v>105</v>
      </c>
      <c r="C70" s="90" t="s">
        <v>32</v>
      </c>
      <c r="D70" s="33"/>
      <c r="E70" s="72">
        <v>8.6</v>
      </c>
      <c r="F70" s="31">
        <f>SUM(E70)</f>
        <v>8.6</v>
      </c>
      <c r="G70" s="31">
        <v>42.61</v>
      </c>
      <c r="H70" s="63">
        <f t="shared" si="10"/>
        <v>0.36644599999999999</v>
      </c>
      <c r="I70" s="13">
        <v>0</v>
      </c>
    </row>
    <row r="71" spans="1:21" ht="15.75" hidden="1" customHeight="1">
      <c r="A71" s="27"/>
      <c r="B71" s="92" t="s">
        <v>106</v>
      </c>
      <c r="C71" s="90" t="s">
        <v>32</v>
      </c>
      <c r="D71" s="33"/>
      <c r="E71" s="72">
        <v>8.6</v>
      </c>
      <c r="F71" s="31">
        <f>SUM(E71)</f>
        <v>8.6</v>
      </c>
      <c r="G71" s="31">
        <v>46.04</v>
      </c>
      <c r="H71" s="63">
        <f t="shared" si="10"/>
        <v>0.39594399999999996</v>
      </c>
      <c r="I71" s="13">
        <v>0</v>
      </c>
    </row>
    <row r="72" spans="1:21" ht="15.75" hidden="1" customHeight="1">
      <c r="A72" s="27"/>
      <c r="B72" s="33" t="s">
        <v>56</v>
      </c>
      <c r="C72" s="90" t="s">
        <v>57</v>
      </c>
      <c r="D72" s="33" t="s">
        <v>53</v>
      </c>
      <c r="E72" s="15">
        <v>3</v>
      </c>
      <c r="F72" s="31">
        <f>SUM(E72)</f>
        <v>3</v>
      </c>
      <c r="G72" s="31">
        <v>65.42</v>
      </c>
      <c r="H72" s="63">
        <f t="shared" si="10"/>
        <v>0.19625999999999999</v>
      </c>
      <c r="I72" s="13">
        <v>0</v>
      </c>
    </row>
    <row r="73" spans="1:21" ht="15.75" customHeight="1">
      <c r="A73" s="27"/>
      <c r="B73" s="104" t="s">
        <v>70</v>
      </c>
      <c r="C73" s="90"/>
      <c r="D73" s="33"/>
      <c r="E73" s="15"/>
      <c r="F73" s="31"/>
      <c r="G73" s="31"/>
      <c r="H73" s="63" t="s">
        <v>128</v>
      </c>
      <c r="I73" s="13"/>
    </row>
    <row r="74" spans="1:21" ht="31.5" hidden="1" customHeight="1">
      <c r="A74" s="27"/>
      <c r="B74" s="33" t="s">
        <v>143</v>
      </c>
      <c r="C74" s="90" t="s">
        <v>101</v>
      </c>
      <c r="D74" s="70" t="s">
        <v>65</v>
      </c>
      <c r="E74" s="15">
        <v>1</v>
      </c>
      <c r="F74" s="31">
        <v>1</v>
      </c>
      <c r="G74" s="31">
        <v>1543.4</v>
      </c>
      <c r="H74" s="63">
        <f t="shared" ref="H74:H76" si="11">SUM(F74*G74/1000)</f>
        <v>1.5434000000000001</v>
      </c>
      <c r="I74" s="13">
        <v>0</v>
      </c>
    </row>
    <row r="75" spans="1:21" ht="15.75" hidden="1" customHeight="1">
      <c r="A75" s="27">
        <v>14</v>
      </c>
      <c r="B75" s="33" t="s">
        <v>71</v>
      </c>
      <c r="C75" s="90" t="s">
        <v>72</v>
      </c>
      <c r="D75" s="70" t="s">
        <v>130</v>
      </c>
      <c r="E75" s="15">
        <v>3</v>
      </c>
      <c r="F75" s="31">
        <f>E75/10</f>
        <v>0.3</v>
      </c>
      <c r="G75" s="31">
        <v>657.87</v>
      </c>
      <c r="H75" s="63">
        <f t="shared" si="11"/>
        <v>0.19736099999999998</v>
      </c>
      <c r="I75" s="13">
        <f>G75*0.1</f>
        <v>65.787000000000006</v>
      </c>
    </row>
    <row r="76" spans="1:21" ht="15.75" hidden="1" customHeight="1">
      <c r="A76" s="27"/>
      <c r="B76" s="33" t="s">
        <v>144</v>
      </c>
      <c r="C76" s="90" t="s">
        <v>101</v>
      </c>
      <c r="D76" s="70" t="s">
        <v>65</v>
      </c>
      <c r="E76" s="15">
        <v>2</v>
      </c>
      <c r="F76" s="73">
        <f>SUM(E76)</f>
        <v>2</v>
      </c>
      <c r="G76" s="31">
        <v>1118.72</v>
      </c>
      <c r="H76" s="63">
        <f t="shared" si="11"/>
        <v>2.2374399999999999</v>
      </c>
      <c r="I76" s="13">
        <v>0</v>
      </c>
    </row>
    <row r="77" spans="1:21" ht="15.75" hidden="1" customHeight="1">
      <c r="A77" s="27"/>
      <c r="B77" s="44" t="s">
        <v>145</v>
      </c>
      <c r="C77" s="45" t="s">
        <v>101</v>
      </c>
      <c r="D77" s="70" t="s">
        <v>65</v>
      </c>
      <c r="E77" s="15">
        <v>1</v>
      </c>
      <c r="F77" s="88">
        <v>1</v>
      </c>
      <c r="G77" s="31">
        <v>1605.83</v>
      </c>
      <c r="H77" s="63">
        <f>SUM(F77*G77/1000)</f>
        <v>1.6058299999999999</v>
      </c>
      <c r="I77" s="13">
        <v>0</v>
      </c>
    </row>
    <row r="78" spans="1:21" ht="15.75" customHeight="1">
      <c r="A78" s="27">
        <v>17</v>
      </c>
      <c r="B78" s="44" t="s">
        <v>146</v>
      </c>
      <c r="C78" s="45" t="s">
        <v>101</v>
      </c>
      <c r="D78" s="33" t="s">
        <v>156</v>
      </c>
      <c r="E78" s="93">
        <v>2</v>
      </c>
      <c r="F78" s="87">
        <f>E78*12</f>
        <v>24</v>
      </c>
      <c r="G78" s="94">
        <v>53.42</v>
      </c>
      <c r="H78" s="63">
        <f t="shared" ref="H78:H79" si="12">SUM(F78*G78/1000)</f>
        <v>1.2820799999999999</v>
      </c>
      <c r="I78" s="13">
        <f t="shared" ref="I78:I81" si="13">F78/12*G78</f>
        <v>106.84</v>
      </c>
    </row>
    <row r="79" spans="1:21" ht="17.25" customHeight="1">
      <c r="A79" s="27">
        <v>18</v>
      </c>
      <c r="B79" s="52" t="s">
        <v>147</v>
      </c>
      <c r="C79" s="90"/>
      <c r="D79" s="33" t="s">
        <v>156</v>
      </c>
      <c r="E79" s="15">
        <v>1</v>
      </c>
      <c r="F79" s="31">
        <v>12</v>
      </c>
      <c r="G79" s="31">
        <v>1194</v>
      </c>
      <c r="H79" s="63">
        <f t="shared" si="12"/>
        <v>14.327999999999999</v>
      </c>
      <c r="I79" s="13">
        <f t="shared" si="13"/>
        <v>1194</v>
      </c>
    </row>
    <row r="80" spans="1:21" ht="15.75" customHeight="1">
      <c r="A80" s="27"/>
      <c r="B80" s="105" t="s">
        <v>148</v>
      </c>
      <c r="C80" s="45"/>
      <c r="D80" s="33"/>
      <c r="E80" s="15"/>
      <c r="F80" s="31"/>
      <c r="G80" s="31"/>
      <c r="H80" s="63"/>
      <c r="I80" s="13"/>
    </row>
    <row r="81" spans="1:9" ht="17.25" customHeight="1">
      <c r="A81" s="27">
        <v>19</v>
      </c>
      <c r="B81" s="33" t="s">
        <v>149</v>
      </c>
      <c r="C81" s="95" t="s">
        <v>150</v>
      </c>
      <c r="D81" s="70" t="s">
        <v>157</v>
      </c>
      <c r="E81" s="15">
        <v>2626.5</v>
      </c>
      <c r="F81" s="31">
        <f>SUM(E81*12)</f>
        <v>31518</v>
      </c>
      <c r="G81" s="31">
        <v>2.2799999999999998</v>
      </c>
      <c r="H81" s="63">
        <f t="shared" ref="H81" si="14">SUM(F81*G81/1000)</f>
        <v>71.861039999999988</v>
      </c>
      <c r="I81" s="13">
        <f t="shared" si="13"/>
        <v>5988.4199999999992</v>
      </c>
    </row>
    <row r="82" spans="1:9" ht="15.75" hidden="1" customHeight="1">
      <c r="A82" s="27"/>
      <c r="B82" s="106" t="s">
        <v>73</v>
      </c>
      <c r="C82" s="90"/>
      <c r="D82" s="33"/>
      <c r="E82" s="15"/>
      <c r="F82" s="31"/>
      <c r="G82" s="31" t="s">
        <v>128</v>
      </c>
      <c r="H82" s="63" t="s">
        <v>128</v>
      </c>
      <c r="I82" s="13"/>
    </row>
    <row r="83" spans="1:9" ht="15.75" hidden="1" customHeight="1">
      <c r="A83" s="27"/>
      <c r="B83" s="96" t="s">
        <v>120</v>
      </c>
      <c r="C83" s="91" t="s">
        <v>74</v>
      </c>
      <c r="D83" s="89"/>
      <c r="E83" s="97"/>
      <c r="F83" s="69">
        <v>0.5</v>
      </c>
      <c r="G83" s="69">
        <v>3619.09</v>
      </c>
      <c r="H83" s="63">
        <f t="shared" si="10"/>
        <v>1.8095450000000002</v>
      </c>
      <c r="I83" s="13"/>
    </row>
    <row r="84" spans="1:9" ht="18" hidden="1" customHeight="1">
      <c r="A84" s="27"/>
      <c r="B84" s="57" t="s">
        <v>88</v>
      </c>
      <c r="C84" s="13"/>
      <c r="D84" s="13"/>
      <c r="E84" s="13"/>
      <c r="F84" s="13"/>
      <c r="G84" s="13"/>
      <c r="H84" s="13"/>
      <c r="I84" s="13"/>
    </row>
    <row r="85" spans="1:9" ht="18" hidden="1" customHeight="1">
      <c r="A85" s="27">
        <v>18</v>
      </c>
      <c r="B85" s="70" t="s">
        <v>107</v>
      </c>
      <c r="C85" s="98"/>
      <c r="D85" s="99"/>
      <c r="E85" s="100"/>
      <c r="F85" s="32">
        <v>1</v>
      </c>
      <c r="G85" s="32">
        <v>4337.8999999999996</v>
      </c>
      <c r="H85" s="63">
        <f>G85*F85/1000</f>
        <v>4.3378999999999994</v>
      </c>
      <c r="I85" s="13">
        <f>G85*1</f>
        <v>4337.8999999999996</v>
      </c>
    </row>
    <row r="86" spans="1:9" ht="15" customHeight="1">
      <c r="A86" s="174" t="s">
        <v>124</v>
      </c>
      <c r="B86" s="175"/>
      <c r="C86" s="175"/>
      <c r="D86" s="175"/>
      <c r="E86" s="175"/>
      <c r="F86" s="175"/>
      <c r="G86" s="175"/>
      <c r="H86" s="175"/>
      <c r="I86" s="176"/>
    </row>
    <row r="87" spans="1:9" ht="15.75" customHeight="1">
      <c r="A87" s="27">
        <v>20</v>
      </c>
      <c r="B87" s="70" t="s">
        <v>108</v>
      </c>
      <c r="C87" s="90" t="s">
        <v>54</v>
      </c>
      <c r="D87" s="56"/>
      <c r="E87" s="31">
        <v>2626.5</v>
      </c>
      <c r="F87" s="31">
        <f>SUM(E87*12)</f>
        <v>31518</v>
      </c>
      <c r="G87" s="31">
        <v>3.1</v>
      </c>
      <c r="H87" s="63">
        <f>SUM(F87*G87/1000)</f>
        <v>97.705799999999996</v>
      </c>
      <c r="I87" s="13">
        <f t="shared" ref="I87:I88" si="15">F87/12*G87</f>
        <v>8142.1500000000005</v>
      </c>
    </row>
    <row r="88" spans="1:9" ht="31.5" customHeight="1">
      <c r="A88" s="27">
        <v>21</v>
      </c>
      <c r="B88" s="33" t="s">
        <v>75</v>
      </c>
      <c r="C88" s="90"/>
      <c r="D88" s="56"/>
      <c r="E88" s="72">
        <f>E87</f>
        <v>2626.5</v>
      </c>
      <c r="F88" s="31">
        <f>E88*12</f>
        <v>31518</v>
      </c>
      <c r="G88" s="31">
        <v>3.5</v>
      </c>
      <c r="H88" s="63">
        <f>F88*G88/1000</f>
        <v>110.313</v>
      </c>
      <c r="I88" s="13">
        <f t="shared" si="15"/>
        <v>9192.75</v>
      </c>
    </row>
    <row r="89" spans="1:9" ht="15.75" customHeight="1">
      <c r="A89" s="27"/>
      <c r="B89" s="34" t="s">
        <v>77</v>
      </c>
      <c r="C89" s="54"/>
      <c r="D89" s="53"/>
      <c r="E89" s="50"/>
      <c r="F89" s="50"/>
      <c r="G89" s="50"/>
      <c r="H89" s="55">
        <f>H79</f>
        <v>14.327999999999999</v>
      </c>
      <c r="I89" s="50">
        <f>I88+I87+I81+I79+I78+I63+I62+I60+I59+I56+I45+I44+I43+I42+I40+I39+I38+I20+I18+I17+I16</f>
        <v>59712.859725000002</v>
      </c>
    </row>
    <row r="90" spans="1:9" ht="15.75" customHeight="1">
      <c r="A90" s="163" t="s">
        <v>59</v>
      </c>
      <c r="B90" s="164"/>
      <c r="C90" s="164"/>
      <c r="D90" s="164"/>
      <c r="E90" s="164"/>
      <c r="F90" s="164"/>
      <c r="G90" s="164"/>
      <c r="H90" s="164"/>
      <c r="I90" s="165"/>
    </row>
    <row r="91" spans="1:9" ht="16.5" customHeight="1">
      <c r="A91" s="27">
        <v>22</v>
      </c>
      <c r="B91" s="44" t="s">
        <v>184</v>
      </c>
      <c r="C91" s="45" t="s">
        <v>185</v>
      </c>
      <c r="D91" s="152" t="s">
        <v>248</v>
      </c>
      <c r="E91" s="31"/>
      <c r="F91" s="31">
        <v>11</v>
      </c>
      <c r="G91" s="31">
        <v>295.36</v>
      </c>
      <c r="H91" s="51"/>
      <c r="I91" s="13">
        <v>0</v>
      </c>
    </row>
    <row r="92" spans="1:9" ht="21" customHeight="1">
      <c r="A92" s="27">
        <v>23</v>
      </c>
      <c r="B92" s="107" t="s">
        <v>246</v>
      </c>
      <c r="C92" s="95" t="s">
        <v>90</v>
      </c>
      <c r="D92" s="152" t="s">
        <v>247</v>
      </c>
      <c r="E92" s="31"/>
      <c r="F92" s="31">
        <v>8.9999999999999993E-3</v>
      </c>
      <c r="G92" s="31">
        <v>48874.7</v>
      </c>
      <c r="H92" s="63"/>
      <c r="I92" s="13">
        <f>G92*0.009</f>
        <v>439.87229999999994</v>
      </c>
    </row>
    <row r="93" spans="1:9" ht="16.5" customHeight="1">
      <c r="A93" s="27"/>
      <c r="B93" s="39" t="s">
        <v>51</v>
      </c>
      <c r="C93" s="35"/>
      <c r="D93" s="42"/>
      <c r="E93" s="35">
        <v>1</v>
      </c>
      <c r="F93" s="35"/>
      <c r="G93" s="35"/>
      <c r="H93" s="35"/>
      <c r="I93" s="29">
        <f>SUM(I91:I92)</f>
        <v>439.87229999999994</v>
      </c>
    </row>
    <row r="94" spans="1:9" ht="15.75" customHeight="1">
      <c r="A94" s="27"/>
      <c r="B94" s="41" t="s">
        <v>76</v>
      </c>
      <c r="C94" s="14"/>
      <c r="D94" s="14"/>
      <c r="E94" s="36"/>
      <c r="F94" s="36"/>
      <c r="G94" s="37"/>
      <c r="H94" s="37"/>
      <c r="I94" s="15">
        <v>0</v>
      </c>
    </row>
    <row r="95" spans="1:9" ht="15.75" customHeight="1">
      <c r="A95" s="43"/>
      <c r="B95" s="40" t="s">
        <v>134</v>
      </c>
      <c r="C95" s="30"/>
      <c r="D95" s="30"/>
      <c r="E95" s="30"/>
      <c r="F95" s="30"/>
      <c r="G95" s="30"/>
      <c r="H95" s="30"/>
      <c r="I95" s="38">
        <f>I89+I93</f>
        <v>60152.732025000005</v>
      </c>
    </row>
    <row r="96" spans="1:9" ht="15.75" customHeight="1">
      <c r="A96" s="166" t="s">
        <v>249</v>
      </c>
      <c r="B96" s="166"/>
      <c r="C96" s="166"/>
      <c r="D96" s="166"/>
      <c r="E96" s="166"/>
      <c r="F96" s="166"/>
      <c r="G96" s="166"/>
      <c r="H96" s="166"/>
      <c r="I96" s="166"/>
    </row>
    <row r="97" spans="1:9" ht="15.75">
      <c r="A97" s="46"/>
      <c r="B97" s="167" t="s">
        <v>250</v>
      </c>
      <c r="C97" s="167"/>
      <c r="D97" s="167"/>
      <c r="E97" s="167"/>
      <c r="F97" s="167"/>
      <c r="G97" s="167"/>
      <c r="H97" s="49"/>
      <c r="I97" s="3"/>
    </row>
    <row r="98" spans="1:9">
      <c r="A98" s="109"/>
      <c r="B98" s="168" t="s">
        <v>6</v>
      </c>
      <c r="C98" s="168"/>
      <c r="D98" s="168"/>
      <c r="E98" s="168"/>
      <c r="F98" s="168"/>
      <c r="G98" s="168"/>
      <c r="H98" s="22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69" t="s">
        <v>7</v>
      </c>
      <c r="B100" s="169"/>
      <c r="C100" s="169"/>
      <c r="D100" s="169"/>
      <c r="E100" s="169"/>
      <c r="F100" s="169"/>
      <c r="G100" s="169"/>
      <c r="H100" s="169"/>
      <c r="I100" s="169"/>
    </row>
    <row r="101" spans="1:9" ht="15.75">
      <c r="A101" s="169" t="s">
        <v>8</v>
      </c>
      <c r="B101" s="169"/>
      <c r="C101" s="169"/>
      <c r="D101" s="169"/>
      <c r="E101" s="169"/>
      <c r="F101" s="169"/>
      <c r="G101" s="169"/>
      <c r="H101" s="169"/>
      <c r="I101" s="169"/>
    </row>
    <row r="102" spans="1:9" ht="15.75">
      <c r="A102" s="170" t="s">
        <v>60</v>
      </c>
      <c r="B102" s="170"/>
      <c r="C102" s="170"/>
      <c r="D102" s="170"/>
      <c r="E102" s="170"/>
      <c r="F102" s="170"/>
      <c r="G102" s="170"/>
      <c r="H102" s="170"/>
      <c r="I102" s="170"/>
    </row>
    <row r="103" spans="1:9" ht="15.75">
      <c r="A103" s="11"/>
    </row>
    <row r="104" spans="1:9" ht="15.75">
      <c r="A104" s="171" t="s">
        <v>9</v>
      </c>
      <c r="B104" s="171"/>
      <c r="C104" s="171"/>
      <c r="D104" s="171"/>
      <c r="E104" s="171"/>
      <c r="F104" s="171"/>
      <c r="G104" s="171"/>
      <c r="H104" s="171"/>
      <c r="I104" s="171"/>
    </row>
    <row r="105" spans="1:9" ht="15.75" customHeight="1">
      <c r="A105" s="4"/>
    </row>
    <row r="106" spans="1:9" ht="15.75">
      <c r="B106" s="111" t="s">
        <v>10</v>
      </c>
      <c r="C106" s="172" t="s">
        <v>217</v>
      </c>
      <c r="D106" s="172"/>
      <c r="E106" s="172"/>
      <c r="F106" s="47"/>
      <c r="I106" s="112"/>
    </row>
    <row r="107" spans="1:9">
      <c r="A107" s="109"/>
      <c r="C107" s="168" t="s">
        <v>11</v>
      </c>
      <c r="D107" s="168"/>
      <c r="E107" s="168"/>
      <c r="F107" s="22"/>
      <c r="I107" s="110" t="s">
        <v>12</v>
      </c>
    </row>
    <row r="108" spans="1:9" ht="15.75" customHeight="1">
      <c r="A108" s="23"/>
      <c r="C108" s="12"/>
      <c r="D108" s="12"/>
      <c r="G108" s="12"/>
      <c r="H108" s="12"/>
    </row>
    <row r="109" spans="1:9" ht="15.75" customHeight="1">
      <c r="B109" s="111" t="s">
        <v>13</v>
      </c>
      <c r="C109" s="173"/>
      <c r="D109" s="173"/>
      <c r="E109" s="173"/>
      <c r="F109" s="48"/>
      <c r="I109" s="112"/>
    </row>
    <row r="110" spans="1:9" ht="15.75" customHeight="1">
      <c r="A110" s="109"/>
      <c r="C110" s="162" t="s">
        <v>11</v>
      </c>
      <c r="D110" s="162"/>
      <c r="E110" s="162"/>
      <c r="F110" s="109"/>
      <c r="I110" s="110" t="s">
        <v>12</v>
      </c>
    </row>
    <row r="111" spans="1:9" ht="15.75">
      <c r="A111" s="4" t="s">
        <v>14</v>
      </c>
    </row>
    <row r="112" spans="1:9">
      <c r="A112" s="189" t="s">
        <v>15</v>
      </c>
      <c r="B112" s="189"/>
      <c r="C112" s="189"/>
      <c r="D112" s="189"/>
      <c r="E112" s="189"/>
      <c r="F112" s="189"/>
      <c r="G112" s="189"/>
      <c r="H112" s="189"/>
      <c r="I112" s="189"/>
    </row>
    <row r="113" spans="1:9" ht="45" customHeight="1">
      <c r="A113" s="190" t="s">
        <v>16</v>
      </c>
      <c r="B113" s="190"/>
      <c r="C113" s="190"/>
      <c r="D113" s="190"/>
      <c r="E113" s="190"/>
      <c r="F113" s="190"/>
      <c r="G113" s="190"/>
      <c r="H113" s="190"/>
      <c r="I113" s="190"/>
    </row>
    <row r="114" spans="1:9" ht="30" customHeight="1">
      <c r="A114" s="190" t="s">
        <v>17</v>
      </c>
      <c r="B114" s="190"/>
      <c r="C114" s="190"/>
      <c r="D114" s="190"/>
      <c r="E114" s="190"/>
      <c r="F114" s="190"/>
      <c r="G114" s="190"/>
      <c r="H114" s="190"/>
      <c r="I114" s="190"/>
    </row>
    <row r="115" spans="1:9" ht="30" customHeight="1">
      <c r="A115" s="190" t="s">
        <v>21</v>
      </c>
      <c r="B115" s="190"/>
      <c r="C115" s="190"/>
      <c r="D115" s="190"/>
      <c r="E115" s="190"/>
      <c r="F115" s="190"/>
      <c r="G115" s="190"/>
      <c r="H115" s="190"/>
      <c r="I115" s="190"/>
    </row>
    <row r="116" spans="1:9" ht="15" customHeight="1">
      <c r="A116" s="190" t="s">
        <v>20</v>
      </c>
      <c r="B116" s="190"/>
      <c r="C116" s="190"/>
      <c r="D116" s="190"/>
      <c r="E116" s="190"/>
      <c r="F116" s="190"/>
      <c r="G116" s="190"/>
      <c r="H116" s="190"/>
      <c r="I116" s="190"/>
    </row>
  </sheetData>
  <autoFilter ref="I12:I59"/>
  <mergeCells count="29">
    <mergeCell ref="A112:I112"/>
    <mergeCell ref="A113:I113"/>
    <mergeCell ref="A114:I114"/>
    <mergeCell ref="A115:I115"/>
    <mergeCell ref="A116:I116"/>
    <mergeCell ref="R64:U64"/>
    <mergeCell ref="C110:E110"/>
    <mergeCell ref="A90:I90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6:I86"/>
    <mergeCell ref="A3:I3"/>
    <mergeCell ref="A4:I4"/>
    <mergeCell ref="A5:I5"/>
    <mergeCell ref="A8:I8"/>
    <mergeCell ref="A10:I10"/>
    <mergeCell ref="A14:I14"/>
    <mergeCell ref="A15:I15"/>
    <mergeCell ref="A28:I28"/>
    <mergeCell ref="A46:I46"/>
    <mergeCell ref="A57:I57"/>
  </mergeCells>
  <pageMargins left="0.70866141732283472" right="0" top="0.27559055118110237" bottom="0.27559055118110237" header="0.31496062992125984" footer="0.31496062992125984"/>
  <pageSetup paperSize="9" scale="5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15"/>
  <sheetViews>
    <sheetView topLeftCell="A57" workbookViewId="0">
      <selection activeCell="A111" sqref="A111:I111"/>
    </sheetView>
  </sheetViews>
  <sheetFormatPr defaultRowHeight="15"/>
  <cols>
    <col min="2" max="2" width="51.85546875" customWidth="1"/>
    <col min="3" max="3" width="19.7109375" customWidth="1"/>
    <col min="4" max="4" width="28.28515625" customWidth="1"/>
    <col min="5" max="5" width="0" hidden="1" customWidth="1"/>
    <col min="6" max="6" width="10.28515625" hidden="1" customWidth="1"/>
    <col min="7" max="7" width="18" customWidth="1"/>
    <col min="8" max="8" width="0" hidden="1" customWidth="1"/>
    <col min="9" max="9" width="18.7109375" customWidth="1"/>
  </cols>
  <sheetData>
    <row r="1" spans="1:9" ht="15.75">
      <c r="A1" s="25" t="s">
        <v>178</v>
      </c>
      <c r="I1" s="24"/>
    </row>
    <row r="2" spans="1:9" ht="15.75">
      <c r="A2" s="26" t="s">
        <v>61</v>
      </c>
    </row>
    <row r="3" spans="1:9" ht="15.75">
      <c r="A3" s="179" t="s">
        <v>152</v>
      </c>
      <c r="B3" s="179"/>
      <c r="C3" s="179"/>
      <c r="D3" s="179"/>
      <c r="E3" s="179"/>
      <c r="F3" s="179"/>
      <c r="G3" s="179"/>
      <c r="H3" s="179"/>
      <c r="I3" s="179"/>
    </row>
    <row r="4" spans="1:9" ht="32.25" customHeight="1">
      <c r="A4" s="180" t="s">
        <v>121</v>
      </c>
      <c r="B4" s="180"/>
      <c r="C4" s="180"/>
      <c r="D4" s="180"/>
      <c r="E4" s="180"/>
      <c r="F4" s="180"/>
      <c r="G4" s="180"/>
      <c r="H4" s="180"/>
      <c r="I4" s="180"/>
    </row>
    <row r="5" spans="1:9" ht="15.75">
      <c r="A5" s="179" t="s">
        <v>251</v>
      </c>
      <c r="B5" s="181"/>
      <c r="C5" s="181"/>
      <c r="D5" s="181"/>
      <c r="E5" s="181"/>
      <c r="F5" s="181"/>
      <c r="G5" s="181"/>
      <c r="H5" s="181"/>
      <c r="I5" s="181"/>
    </row>
    <row r="6" spans="1:9" ht="15.75">
      <c r="A6" s="2"/>
      <c r="B6" s="117"/>
      <c r="C6" s="117"/>
      <c r="D6" s="117"/>
      <c r="E6" s="117"/>
      <c r="F6" s="117"/>
      <c r="G6" s="117"/>
      <c r="H6" s="117"/>
      <c r="I6" s="118">
        <v>44316</v>
      </c>
    </row>
    <row r="7" spans="1:9" ht="15.75">
      <c r="B7" s="113"/>
      <c r="C7" s="113"/>
      <c r="D7" s="113"/>
      <c r="E7" s="3"/>
      <c r="F7" s="3"/>
      <c r="G7" s="3"/>
      <c r="H7" s="3"/>
    </row>
    <row r="8" spans="1:9" ht="80.25" customHeight="1">
      <c r="A8" s="182" t="s">
        <v>215</v>
      </c>
      <c r="B8" s="182"/>
      <c r="C8" s="182"/>
      <c r="D8" s="182"/>
      <c r="E8" s="182"/>
      <c r="F8" s="182"/>
      <c r="G8" s="182"/>
      <c r="H8" s="182"/>
      <c r="I8" s="182"/>
    </row>
    <row r="9" spans="1:9" ht="15.75">
      <c r="A9" s="4"/>
    </row>
    <row r="10" spans="1:9" ht="54.75" customHeight="1">
      <c r="A10" s="183" t="s">
        <v>133</v>
      </c>
      <c r="B10" s="183"/>
      <c r="C10" s="183"/>
      <c r="D10" s="183"/>
      <c r="E10" s="183"/>
      <c r="F10" s="183"/>
      <c r="G10" s="183"/>
      <c r="H10" s="183"/>
      <c r="I10" s="183"/>
    </row>
    <row r="11" spans="1:9" ht="15.75">
      <c r="A11" s="4"/>
    </row>
    <row r="12" spans="1:9" ht="52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84" t="s">
        <v>58</v>
      </c>
      <c r="B14" s="184"/>
      <c r="C14" s="184"/>
      <c r="D14" s="184"/>
      <c r="E14" s="184"/>
      <c r="F14" s="184"/>
      <c r="G14" s="184"/>
      <c r="H14" s="184"/>
      <c r="I14" s="184"/>
    </row>
    <row r="15" spans="1:9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</row>
    <row r="16" spans="1:9">
      <c r="A16" s="27">
        <v>1</v>
      </c>
      <c r="B16" s="70" t="s">
        <v>183</v>
      </c>
      <c r="C16" s="71" t="s">
        <v>82</v>
      </c>
      <c r="D16" s="70" t="s">
        <v>164</v>
      </c>
      <c r="E16" s="72">
        <v>49.72</v>
      </c>
      <c r="F16" s="73">
        <f>SUM(E16*156/100)</f>
        <v>77.563199999999995</v>
      </c>
      <c r="G16" s="73">
        <v>230</v>
      </c>
      <c r="H16" s="74">
        <f t="shared" ref="H16:H25" si="0">SUM(F16*G16/1000)</f>
        <v>17.839535999999999</v>
      </c>
      <c r="I16" s="13">
        <f>F16/12*G16</f>
        <v>1486.6279999999999</v>
      </c>
    </row>
    <row r="17" spans="1:9" ht="19.5" customHeight="1">
      <c r="A17" s="27">
        <v>2</v>
      </c>
      <c r="B17" s="70" t="s">
        <v>169</v>
      </c>
      <c r="C17" s="71" t="s">
        <v>82</v>
      </c>
      <c r="D17" s="70" t="s">
        <v>186</v>
      </c>
      <c r="E17" s="72">
        <v>198.88</v>
      </c>
      <c r="F17" s="73">
        <f>SUM(E17*104/100)</f>
        <v>206.83520000000001</v>
      </c>
      <c r="G17" s="73">
        <v>230</v>
      </c>
      <c r="H17" s="74">
        <f t="shared" si="0"/>
        <v>47.572096000000002</v>
      </c>
      <c r="I17" s="13">
        <f>G17*F17/12</f>
        <v>3964.3413333333338</v>
      </c>
    </row>
    <row r="18" spans="1:9">
      <c r="A18" s="27">
        <v>3</v>
      </c>
      <c r="B18" s="70" t="s">
        <v>110</v>
      </c>
      <c r="C18" s="71" t="s">
        <v>82</v>
      </c>
      <c r="D18" s="70" t="s">
        <v>158</v>
      </c>
      <c r="E18" s="72">
        <v>248.6</v>
      </c>
      <c r="F18" s="73">
        <f>SUM(E18*24/100)</f>
        <v>59.663999999999994</v>
      </c>
      <c r="G18" s="73">
        <v>661.67</v>
      </c>
      <c r="H18" s="74">
        <f t="shared" si="0"/>
        <v>39.477878879999999</v>
      </c>
      <c r="I18" s="13">
        <f>248.6/100*2*G18</f>
        <v>3289.8232399999993</v>
      </c>
    </row>
    <row r="19" spans="1:9" hidden="1">
      <c r="A19" s="27"/>
      <c r="B19" s="70" t="s">
        <v>89</v>
      </c>
      <c r="C19" s="71" t="s">
        <v>90</v>
      </c>
      <c r="D19" s="70" t="s">
        <v>91</v>
      </c>
      <c r="E19" s="72">
        <v>18.48</v>
      </c>
      <c r="F19" s="73">
        <f>SUM(E19/10)</f>
        <v>1.8480000000000001</v>
      </c>
      <c r="G19" s="73">
        <v>223.17</v>
      </c>
      <c r="H19" s="74">
        <f t="shared" si="0"/>
        <v>0.41241815999999998</v>
      </c>
      <c r="I19" s="13">
        <v>0</v>
      </c>
    </row>
    <row r="20" spans="1:9">
      <c r="A20" s="27">
        <v>4</v>
      </c>
      <c r="B20" s="70" t="s">
        <v>92</v>
      </c>
      <c r="C20" s="71" t="s">
        <v>82</v>
      </c>
      <c r="D20" s="70" t="s">
        <v>161</v>
      </c>
      <c r="E20" s="72">
        <v>10.5</v>
      </c>
      <c r="F20" s="73">
        <f>SUM(E20*12/100)</f>
        <v>1.26</v>
      </c>
      <c r="G20" s="73">
        <v>285.76</v>
      </c>
      <c r="H20" s="74">
        <f t="shared" si="0"/>
        <v>0.36005759999999998</v>
      </c>
      <c r="I20" s="13">
        <f>F20/12*G20</f>
        <v>30.004799999999999</v>
      </c>
    </row>
    <row r="21" spans="1:9" hidden="1">
      <c r="A21" s="27">
        <v>5</v>
      </c>
      <c r="B21" s="70" t="s">
        <v>93</v>
      </c>
      <c r="C21" s="71" t="s">
        <v>82</v>
      </c>
      <c r="D21" s="70" t="s">
        <v>41</v>
      </c>
      <c r="E21" s="72">
        <v>3</v>
      </c>
      <c r="F21" s="73">
        <f>SUM(E21*2/100)</f>
        <v>0.06</v>
      </c>
      <c r="G21" s="73">
        <v>283.44</v>
      </c>
      <c r="H21" s="74">
        <f t="shared" si="0"/>
        <v>1.7006399999999998E-2</v>
      </c>
      <c r="I21" s="13">
        <f>F21/6*G21</f>
        <v>2.8344</v>
      </c>
    </row>
    <row r="22" spans="1:9" hidden="1">
      <c r="A22" s="27"/>
      <c r="B22" s="70" t="s">
        <v>94</v>
      </c>
      <c r="C22" s="71" t="s">
        <v>52</v>
      </c>
      <c r="D22" s="70" t="s">
        <v>91</v>
      </c>
      <c r="E22" s="72">
        <v>267.75</v>
      </c>
      <c r="F22" s="73">
        <f>SUM(E22/100)</f>
        <v>2.6775000000000002</v>
      </c>
      <c r="G22" s="73">
        <v>353.14</v>
      </c>
      <c r="H22" s="74">
        <f t="shared" si="0"/>
        <v>0.94553235000000002</v>
      </c>
      <c r="I22" s="13">
        <v>0</v>
      </c>
    </row>
    <row r="23" spans="1:9" hidden="1">
      <c r="A23" s="27"/>
      <c r="B23" s="70" t="s">
        <v>95</v>
      </c>
      <c r="C23" s="71" t="s">
        <v>52</v>
      </c>
      <c r="D23" s="70" t="s">
        <v>91</v>
      </c>
      <c r="E23" s="75">
        <v>36.229999999999997</v>
      </c>
      <c r="F23" s="73">
        <f>SUM(E23/100)</f>
        <v>0.36229999999999996</v>
      </c>
      <c r="G23" s="73">
        <v>58.08</v>
      </c>
      <c r="H23" s="74">
        <f t="shared" si="0"/>
        <v>2.1042383999999997E-2</v>
      </c>
      <c r="I23" s="13">
        <v>0</v>
      </c>
    </row>
    <row r="24" spans="1:9" hidden="1">
      <c r="A24" s="27"/>
      <c r="B24" s="70" t="s">
        <v>96</v>
      </c>
      <c r="C24" s="71" t="s">
        <v>52</v>
      </c>
      <c r="D24" s="70" t="s">
        <v>53</v>
      </c>
      <c r="E24" s="72">
        <v>15</v>
      </c>
      <c r="F24" s="73">
        <f>SUM(E24/100)</f>
        <v>0.15</v>
      </c>
      <c r="G24" s="73">
        <v>511.12</v>
      </c>
      <c r="H24" s="74">
        <f t="shared" si="0"/>
        <v>7.6667999999999986E-2</v>
      </c>
      <c r="I24" s="13">
        <v>0</v>
      </c>
    </row>
    <row r="25" spans="1:9" hidden="1">
      <c r="A25" s="27"/>
      <c r="B25" s="70" t="s">
        <v>97</v>
      </c>
      <c r="C25" s="71" t="s">
        <v>52</v>
      </c>
      <c r="D25" s="70" t="s">
        <v>53</v>
      </c>
      <c r="E25" s="72">
        <v>6.38</v>
      </c>
      <c r="F25" s="73">
        <f>SUM(E25/100)</f>
        <v>6.3799999999999996E-2</v>
      </c>
      <c r="G25" s="73">
        <v>683.05</v>
      </c>
      <c r="H25" s="74">
        <f t="shared" si="0"/>
        <v>4.3578589999999993E-2</v>
      </c>
      <c r="I25" s="13">
        <v>0</v>
      </c>
    </row>
    <row r="26" spans="1:9" hidden="1">
      <c r="A26" s="27"/>
      <c r="B26" s="70" t="s">
        <v>116</v>
      </c>
      <c r="C26" s="71" t="s">
        <v>52</v>
      </c>
      <c r="D26" s="70" t="s">
        <v>53</v>
      </c>
      <c r="E26" s="72">
        <v>14.25</v>
      </c>
      <c r="F26" s="73">
        <v>0.14000000000000001</v>
      </c>
      <c r="G26" s="73">
        <v>283.44</v>
      </c>
      <c r="H26" s="74">
        <f>G26*F26/1000</f>
        <v>3.9681600000000004E-2</v>
      </c>
      <c r="I26" s="13">
        <v>0</v>
      </c>
    </row>
    <row r="27" spans="1:9" hidden="1">
      <c r="A27" s="27">
        <v>5</v>
      </c>
      <c r="B27" s="70" t="s">
        <v>195</v>
      </c>
      <c r="C27" s="71" t="s">
        <v>25</v>
      </c>
      <c r="D27" s="70" t="s">
        <v>202</v>
      </c>
      <c r="E27" s="77">
        <v>4.37</v>
      </c>
      <c r="F27" s="73">
        <f>E27*258</f>
        <v>1127.46</v>
      </c>
      <c r="G27" s="73">
        <v>10.39</v>
      </c>
      <c r="H27" s="74">
        <f>SUM(F27*G27/1000)</f>
        <v>11.714309400000001</v>
      </c>
      <c r="I27" s="13">
        <f>G27*F27/12</f>
        <v>976.19245000000012</v>
      </c>
    </row>
    <row r="28" spans="1:9">
      <c r="A28" s="185" t="s">
        <v>80</v>
      </c>
      <c r="B28" s="185"/>
      <c r="C28" s="185"/>
      <c r="D28" s="185"/>
      <c r="E28" s="185"/>
      <c r="F28" s="185"/>
      <c r="G28" s="185"/>
      <c r="H28" s="185"/>
      <c r="I28" s="185"/>
    </row>
    <row r="29" spans="1:9" hidden="1">
      <c r="A29" s="27"/>
      <c r="B29" s="101" t="s">
        <v>28</v>
      </c>
      <c r="C29" s="71"/>
      <c r="D29" s="70"/>
      <c r="E29" s="72"/>
      <c r="F29" s="73"/>
      <c r="G29" s="73"/>
      <c r="H29" s="74"/>
      <c r="I29" s="13"/>
    </row>
    <row r="30" spans="1:9" hidden="1">
      <c r="A30" s="27"/>
      <c r="B30" s="70" t="s">
        <v>99</v>
      </c>
      <c r="C30" s="71" t="s">
        <v>84</v>
      </c>
      <c r="D30" s="70" t="s">
        <v>135</v>
      </c>
      <c r="E30" s="73">
        <v>665</v>
      </c>
      <c r="F30" s="73">
        <f>SUM(E30*52/1000)</f>
        <v>34.58</v>
      </c>
      <c r="G30" s="73">
        <v>204.44</v>
      </c>
      <c r="H30" s="74">
        <f t="shared" ref="H30:H36" si="1">SUM(F30*G30/1000)</f>
        <v>7.0695351999999989</v>
      </c>
      <c r="I30" s="13">
        <f t="shared" ref="I30:I31" si="2">F30/6*G30</f>
        <v>1178.2558666666666</v>
      </c>
    </row>
    <row r="31" spans="1:9" ht="45" hidden="1">
      <c r="A31" s="27"/>
      <c r="B31" s="70" t="s">
        <v>112</v>
      </c>
      <c r="C31" s="71" t="s">
        <v>84</v>
      </c>
      <c r="D31" s="70" t="s">
        <v>136</v>
      </c>
      <c r="E31" s="73">
        <v>81.5</v>
      </c>
      <c r="F31" s="73">
        <f>SUM(E31*78/1000)</f>
        <v>6.3570000000000002</v>
      </c>
      <c r="G31" s="73">
        <v>339.21</v>
      </c>
      <c r="H31" s="74">
        <f t="shared" si="1"/>
        <v>2.1563579700000002</v>
      </c>
      <c r="I31" s="13">
        <f t="shared" si="2"/>
        <v>359.39299500000004</v>
      </c>
    </row>
    <row r="32" spans="1:9" hidden="1">
      <c r="A32" s="27"/>
      <c r="B32" s="70" t="s">
        <v>27</v>
      </c>
      <c r="C32" s="71" t="s">
        <v>84</v>
      </c>
      <c r="D32" s="70" t="s">
        <v>53</v>
      </c>
      <c r="E32" s="73">
        <v>665</v>
      </c>
      <c r="F32" s="73">
        <f>SUM(E32/1000)</f>
        <v>0.66500000000000004</v>
      </c>
      <c r="G32" s="73">
        <v>3961.23</v>
      </c>
      <c r="H32" s="74">
        <f t="shared" si="1"/>
        <v>2.63421795</v>
      </c>
      <c r="I32" s="13">
        <f>F32*G32</f>
        <v>2634.2179500000002</v>
      </c>
    </row>
    <row r="33" spans="1:9" hidden="1">
      <c r="A33" s="27"/>
      <c r="B33" s="70" t="s">
        <v>111</v>
      </c>
      <c r="C33" s="71" t="s">
        <v>39</v>
      </c>
      <c r="D33" s="70" t="s">
        <v>62</v>
      </c>
      <c r="E33" s="73">
        <v>3</v>
      </c>
      <c r="F33" s="73">
        <f>E33*155/100</f>
        <v>4.6500000000000004</v>
      </c>
      <c r="G33" s="73">
        <v>1707.63</v>
      </c>
      <c r="H33" s="74">
        <f>G33*F33/1000</f>
        <v>7.9404795000000012</v>
      </c>
      <c r="I33" s="13">
        <f>F33/6*G33</f>
        <v>1323.4132500000001</v>
      </c>
    </row>
    <row r="34" spans="1:9" hidden="1">
      <c r="A34" s="27"/>
      <c r="B34" s="70" t="s">
        <v>98</v>
      </c>
      <c r="C34" s="71" t="s">
        <v>30</v>
      </c>
      <c r="D34" s="70" t="s">
        <v>62</v>
      </c>
      <c r="E34" s="76">
        <f>1/3</f>
        <v>0.33333333333333331</v>
      </c>
      <c r="F34" s="73">
        <f>155/3</f>
        <v>51.666666666666664</v>
      </c>
      <c r="G34" s="73">
        <v>74.349999999999994</v>
      </c>
      <c r="H34" s="74">
        <f>SUM(G34*155/3/1000)</f>
        <v>3.8414166666666665</v>
      </c>
      <c r="I34" s="13">
        <f>F34/6*G34</f>
        <v>640.23611111111109</v>
      </c>
    </row>
    <row r="35" spans="1:9" hidden="1">
      <c r="A35" s="27"/>
      <c r="B35" s="70" t="s">
        <v>63</v>
      </c>
      <c r="C35" s="71" t="s">
        <v>32</v>
      </c>
      <c r="D35" s="70" t="s">
        <v>65</v>
      </c>
      <c r="E35" s="72"/>
      <c r="F35" s="73">
        <v>1</v>
      </c>
      <c r="G35" s="73">
        <v>250.92</v>
      </c>
      <c r="H35" s="74">
        <f t="shared" si="1"/>
        <v>0.25091999999999998</v>
      </c>
      <c r="I35" s="13">
        <v>0</v>
      </c>
    </row>
    <row r="36" spans="1:9" hidden="1">
      <c r="A36" s="27"/>
      <c r="B36" s="70" t="s">
        <v>64</v>
      </c>
      <c r="C36" s="71" t="s">
        <v>31</v>
      </c>
      <c r="D36" s="70" t="s">
        <v>65</v>
      </c>
      <c r="E36" s="72"/>
      <c r="F36" s="73">
        <v>1</v>
      </c>
      <c r="G36" s="73">
        <v>1490.31</v>
      </c>
      <c r="H36" s="74">
        <f t="shared" si="1"/>
        <v>1.49031</v>
      </c>
      <c r="I36" s="13">
        <v>0</v>
      </c>
    </row>
    <row r="37" spans="1:9">
      <c r="A37" s="27"/>
      <c r="B37" s="101" t="s">
        <v>5</v>
      </c>
      <c r="C37" s="71"/>
      <c r="D37" s="70"/>
      <c r="E37" s="72"/>
      <c r="F37" s="73"/>
      <c r="G37" s="73"/>
      <c r="H37" s="74" t="s">
        <v>128</v>
      </c>
      <c r="I37" s="13"/>
    </row>
    <row r="38" spans="1:9" ht="33" hidden="1" customHeight="1">
      <c r="A38" s="27">
        <v>6</v>
      </c>
      <c r="B38" s="79" t="s">
        <v>26</v>
      </c>
      <c r="C38" s="71" t="s">
        <v>31</v>
      </c>
      <c r="D38" s="70" t="s">
        <v>187</v>
      </c>
      <c r="E38" s="72"/>
      <c r="F38" s="73">
        <v>5</v>
      </c>
      <c r="G38" s="73">
        <v>2003</v>
      </c>
      <c r="H38" s="74">
        <f t="shared" ref="H38:H45" si="3">SUM(F38*G38/1000)</f>
        <v>10.015000000000001</v>
      </c>
      <c r="I38" s="13">
        <f>G38*1</f>
        <v>2003</v>
      </c>
    </row>
    <row r="39" spans="1:9">
      <c r="A39" s="27">
        <v>6</v>
      </c>
      <c r="B39" s="79" t="s">
        <v>100</v>
      </c>
      <c r="C39" s="80" t="s">
        <v>29</v>
      </c>
      <c r="D39" s="70" t="s">
        <v>189</v>
      </c>
      <c r="E39" s="72">
        <v>81.5</v>
      </c>
      <c r="F39" s="81">
        <f>E39*30/1000</f>
        <v>2.4449999999999998</v>
      </c>
      <c r="G39" s="73">
        <v>2757.78</v>
      </c>
      <c r="H39" s="74">
        <f t="shared" si="3"/>
        <v>6.7427720999999998</v>
      </c>
      <c r="I39" s="13">
        <f t="shared" ref="I39:I42" si="4">F39/6*G39</f>
        <v>1123.7953500000001</v>
      </c>
    </row>
    <row r="40" spans="1:9">
      <c r="A40" s="27">
        <v>6</v>
      </c>
      <c r="B40" s="70" t="s">
        <v>66</v>
      </c>
      <c r="C40" s="71" t="s">
        <v>29</v>
      </c>
      <c r="D40" s="70" t="s">
        <v>190</v>
      </c>
      <c r="E40" s="73">
        <v>81.5</v>
      </c>
      <c r="F40" s="81">
        <f>SUM(E40*155/1000)</f>
        <v>12.6325</v>
      </c>
      <c r="G40" s="73">
        <v>460.02</v>
      </c>
      <c r="H40" s="74">
        <f t="shared" si="3"/>
        <v>5.8112026500000002</v>
      </c>
      <c r="I40" s="13">
        <f t="shared" si="4"/>
        <v>968.53377499999999</v>
      </c>
    </row>
    <row r="41" spans="1:9" ht="18" hidden="1" customHeight="1">
      <c r="A41" s="27">
        <v>9</v>
      </c>
      <c r="B41" s="70" t="s">
        <v>113</v>
      </c>
      <c r="C41" s="71" t="s">
        <v>114</v>
      </c>
      <c r="D41" s="70" t="s">
        <v>191</v>
      </c>
      <c r="E41" s="72"/>
      <c r="F41" s="81">
        <v>26</v>
      </c>
      <c r="G41" s="73">
        <v>314</v>
      </c>
      <c r="H41" s="74">
        <f t="shared" si="3"/>
        <v>8.1639999999999997</v>
      </c>
      <c r="I41" s="13">
        <f>G41*26</f>
        <v>8164</v>
      </c>
    </row>
    <row r="42" spans="1:9" ht="49.5" customHeight="1">
      <c r="A42" s="27">
        <v>7</v>
      </c>
      <c r="B42" s="70" t="s">
        <v>78</v>
      </c>
      <c r="C42" s="71" t="s">
        <v>84</v>
      </c>
      <c r="D42" s="70" t="s">
        <v>188</v>
      </c>
      <c r="E42" s="73">
        <v>81.5</v>
      </c>
      <c r="F42" s="81">
        <f>SUM(E42*35/1000)</f>
        <v>2.8525</v>
      </c>
      <c r="G42" s="73">
        <v>7611.16</v>
      </c>
      <c r="H42" s="74">
        <f t="shared" si="3"/>
        <v>21.710833900000001</v>
      </c>
      <c r="I42" s="13">
        <f t="shared" si="4"/>
        <v>3618.4723166666663</v>
      </c>
    </row>
    <row r="43" spans="1:9" hidden="1">
      <c r="A43" s="27">
        <v>11</v>
      </c>
      <c r="B43" s="70" t="s">
        <v>85</v>
      </c>
      <c r="C43" s="71" t="s">
        <v>84</v>
      </c>
      <c r="D43" s="70" t="s">
        <v>188</v>
      </c>
      <c r="E43" s="73">
        <v>81.5</v>
      </c>
      <c r="F43" s="81">
        <f>SUM(E43*45/1000)</f>
        <v>3.6675</v>
      </c>
      <c r="G43" s="73">
        <v>562.25</v>
      </c>
      <c r="H43" s="74">
        <f t="shared" si="3"/>
        <v>2.0620518750000003</v>
      </c>
      <c r="I43" s="13">
        <f>(F43/7.5*1.5)*G43</f>
        <v>412.41037500000004</v>
      </c>
    </row>
    <row r="44" spans="1:9" hidden="1">
      <c r="A44" s="27">
        <v>12</v>
      </c>
      <c r="B44" s="79" t="s">
        <v>68</v>
      </c>
      <c r="C44" s="80" t="s">
        <v>32</v>
      </c>
      <c r="D44" s="79"/>
      <c r="E44" s="77"/>
      <c r="F44" s="81">
        <v>0.9</v>
      </c>
      <c r="G44" s="81">
        <v>974.83</v>
      </c>
      <c r="H44" s="74">
        <f t="shared" si="3"/>
        <v>0.8773470000000001</v>
      </c>
      <c r="I44" s="13">
        <f>(F44/7.5*1.5)*G44</f>
        <v>175.46940000000004</v>
      </c>
    </row>
    <row r="45" spans="1:9" ht="30">
      <c r="A45" s="27">
        <v>8</v>
      </c>
      <c r="B45" s="44" t="s">
        <v>139</v>
      </c>
      <c r="C45" s="45" t="s">
        <v>29</v>
      </c>
      <c r="D45" s="79" t="s">
        <v>159</v>
      </c>
      <c r="E45" s="77">
        <v>2.4</v>
      </c>
      <c r="F45" s="81">
        <f>SUM(E45*12/1000)</f>
        <v>2.8799999999999996E-2</v>
      </c>
      <c r="G45" s="81">
        <v>260.2</v>
      </c>
      <c r="H45" s="74">
        <f t="shared" si="3"/>
        <v>7.4937599999999986E-3</v>
      </c>
      <c r="I45" s="13">
        <f>F45/6*G45</f>
        <v>1.2489599999999998</v>
      </c>
    </row>
    <row r="46" spans="1:9" hidden="1">
      <c r="A46" s="186" t="s">
        <v>122</v>
      </c>
      <c r="B46" s="187"/>
      <c r="C46" s="187"/>
      <c r="D46" s="187"/>
      <c r="E46" s="187"/>
      <c r="F46" s="187"/>
      <c r="G46" s="187"/>
      <c r="H46" s="187"/>
      <c r="I46" s="188"/>
    </row>
    <row r="47" spans="1:9" hidden="1">
      <c r="A47" s="27"/>
      <c r="B47" s="70" t="s">
        <v>119</v>
      </c>
      <c r="C47" s="71" t="s">
        <v>84</v>
      </c>
      <c r="D47" s="70" t="s">
        <v>41</v>
      </c>
      <c r="E47" s="72">
        <v>1080</v>
      </c>
      <c r="F47" s="73">
        <f>SUM(E47*2/1000)</f>
        <v>2.16</v>
      </c>
      <c r="G47" s="31">
        <v>1172.4100000000001</v>
      </c>
      <c r="H47" s="74">
        <f t="shared" ref="H47:H55" si="5">SUM(F47*G47/1000)</f>
        <v>2.5324056000000006</v>
      </c>
      <c r="I47" s="13">
        <f t="shared" ref="I47:I50" si="6">F47/2*G47</f>
        <v>1266.2028000000003</v>
      </c>
    </row>
    <row r="48" spans="1:9" hidden="1">
      <c r="A48" s="27"/>
      <c r="B48" s="70" t="s">
        <v>34</v>
      </c>
      <c r="C48" s="71" t="s">
        <v>84</v>
      </c>
      <c r="D48" s="70" t="s">
        <v>41</v>
      </c>
      <c r="E48" s="72">
        <v>39</v>
      </c>
      <c r="F48" s="73">
        <f>SUM(E48*2/1000)</f>
        <v>7.8E-2</v>
      </c>
      <c r="G48" s="31">
        <v>4419.05</v>
      </c>
      <c r="H48" s="74">
        <f t="shared" si="5"/>
        <v>0.34468589999999999</v>
      </c>
      <c r="I48" s="13">
        <f t="shared" si="6"/>
        <v>172.34295</v>
      </c>
    </row>
    <row r="49" spans="1:9" hidden="1">
      <c r="A49" s="27"/>
      <c r="B49" s="70" t="s">
        <v>35</v>
      </c>
      <c r="C49" s="71" t="s">
        <v>84</v>
      </c>
      <c r="D49" s="70" t="s">
        <v>41</v>
      </c>
      <c r="E49" s="72">
        <v>1037</v>
      </c>
      <c r="F49" s="73">
        <f>SUM(E49*2/1000)</f>
        <v>2.0739999999999998</v>
      </c>
      <c r="G49" s="31">
        <v>1803.69</v>
      </c>
      <c r="H49" s="74">
        <f t="shared" si="5"/>
        <v>3.7408530600000001</v>
      </c>
      <c r="I49" s="13">
        <f t="shared" si="6"/>
        <v>1870.42653</v>
      </c>
    </row>
    <row r="50" spans="1:9" hidden="1">
      <c r="A50" s="27"/>
      <c r="B50" s="70" t="s">
        <v>36</v>
      </c>
      <c r="C50" s="71" t="s">
        <v>84</v>
      </c>
      <c r="D50" s="70" t="s">
        <v>41</v>
      </c>
      <c r="E50" s="72">
        <v>2274</v>
      </c>
      <c r="F50" s="73">
        <f>SUM(E50*2/1000)</f>
        <v>4.548</v>
      </c>
      <c r="G50" s="31">
        <v>1243.43</v>
      </c>
      <c r="H50" s="74">
        <f t="shared" si="5"/>
        <v>5.6551196399999997</v>
      </c>
      <c r="I50" s="13">
        <f t="shared" si="6"/>
        <v>2827.5598199999999</v>
      </c>
    </row>
    <row r="51" spans="1:9" hidden="1">
      <c r="A51" s="27"/>
      <c r="B51" s="70" t="s">
        <v>33</v>
      </c>
      <c r="C51" s="71" t="s">
        <v>52</v>
      </c>
      <c r="D51" s="70" t="s">
        <v>41</v>
      </c>
      <c r="E51" s="72">
        <v>83.04</v>
      </c>
      <c r="F51" s="73">
        <v>1.66</v>
      </c>
      <c r="G51" s="31">
        <v>1352.76</v>
      </c>
      <c r="H51" s="74">
        <f>SUM(F51*G51/1000)</f>
        <v>2.2455816</v>
      </c>
      <c r="I51" s="13">
        <f>F51/2*G51</f>
        <v>1122.7908</v>
      </c>
    </row>
    <row r="52" spans="1:9" ht="13.5" hidden="1" customHeight="1">
      <c r="A52" s="27">
        <v>14</v>
      </c>
      <c r="B52" s="70" t="s">
        <v>166</v>
      </c>
      <c r="C52" s="71" t="s">
        <v>84</v>
      </c>
      <c r="D52" s="70" t="s">
        <v>131</v>
      </c>
      <c r="E52" s="72">
        <v>2626.5</v>
      </c>
      <c r="F52" s="73">
        <f>SUM(E52*5/1000)</f>
        <v>13.1325</v>
      </c>
      <c r="G52" s="31">
        <v>1803.69</v>
      </c>
      <c r="H52" s="74">
        <f t="shared" ref="H52:H54" si="7">SUM(F52*G52/1000)</f>
        <v>23.686958925000003</v>
      </c>
      <c r="I52" s="13">
        <f>F52/5*G52</f>
        <v>4737.3917849999998</v>
      </c>
    </row>
    <row r="53" spans="1:9" ht="14.25" hidden="1" customHeight="1">
      <c r="A53" s="27"/>
      <c r="B53" s="70" t="s">
        <v>86</v>
      </c>
      <c r="C53" s="71" t="s">
        <v>84</v>
      </c>
      <c r="D53" s="70" t="s">
        <v>41</v>
      </c>
      <c r="E53" s="72">
        <v>2626.5</v>
      </c>
      <c r="F53" s="73">
        <f>SUM(E53*2/1000)</f>
        <v>5.2530000000000001</v>
      </c>
      <c r="G53" s="31">
        <v>1591.6</v>
      </c>
      <c r="H53" s="74">
        <f t="shared" si="7"/>
        <v>8.3606747999999982</v>
      </c>
      <c r="I53" s="13">
        <f>F53/2*G53</f>
        <v>4180.3373999999994</v>
      </c>
    </row>
    <row r="54" spans="1:9" ht="15" hidden="1" customHeight="1">
      <c r="A54" s="27"/>
      <c r="B54" s="70" t="s">
        <v>87</v>
      </c>
      <c r="C54" s="71" t="s">
        <v>37</v>
      </c>
      <c r="D54" s="70" t="s">
        <v>41</v>
      </c>
      <c r="E54" s="72">
        <v>15</v>
      </c>
      <c r="F54" s="73">
        <f>SUM(E54*2/100)</f>
        <v>0.3</v>
      </c>
      <c r="G54" s="31">
        <v>4058.32</v>
      </c>
      <c r="H54" s="74">
        <f t="shared" si="7"/>
        <v>1.2174960000000001</v>
      </c>
      <c r="I54" s="13">
        <f t="shared" ref="I54:I55" si="8">F54/2*G54</f>
        <v>608.74800000000005</v>
      </c>
    </row>
    <row r="55" spans="1:9" ht="13.5" hidden="1" customHeight="1">
      <c r="A55" s="27"/>
      <c r="B55" s="70" t="s">
        <v>38</v>
      </c>
      <c r="C55" s="71" t="s">
        <v>39</v>
      </c>
      <c r="D55" s="70" t="s">
        <v>41</v>
      </c>
      <c r="E55" s="72">
        <v>1</v>
      </c>
      <c r="F55" s="73">
        <v>0.02</v>
      </c>
      <c r="G55" s="31">
        <v>7412.92</v>
      </c>
      <c r="H55" s="74">
        <f t="shared" si="5"/>
        <v>0.14825839999999998</v>
      </c>
      <c r="I55" s="13">
        <f t="shared" si="8"/>
        <v>74.129199999999997</v>
      </c>
    </row>
    <row r="56" spans="1:9" hidden="1">
      <c r="A56" s="27">
        <v>15</v>
      </c>
      <c r="B56" s="70" t="s">
        <v>40</v>
      </c>
      <c r="C56" s="71" t="s">
        <v>101</v>
      </c>
      <c r="D56" s="70" t="s">
        <v>157</v>
      </c>
      <c r="E56" s="72">
        <v>90</v>
      </c>
      <c r="F56" s="73">
        <f>SUM(E56)*3</f>
        <v>270</v>
      </c>
      <c r="G56" s="69">
        <v>86.15</v>
      </c>
      <c r="H56" s="74">
        <f>SUM(F56*G56/1000)</f>
        <v>23.2605</v>
      </c>
      <c r="I56" s="13">
        <f>F56/3*G56</f>
        <v>7753.5000000000009</v>
      </c>
    </row>
    <row r="57" spans="1:9">
      <c r="A57" s="186" t="s">
        <v>126</v>
      </c>
      <c r="B57" s="187"/>
      <c r="C57" s="187"/>
      <c r="D57" s="187"/>
      <c r="E57" s="187"/>
      <c r="F57" s="187"/>
      <c r="G57" s="187"/>
      <c r="H57" s="187"/>
      <c r="I57" s="188"/>
    </row>
    <row r="58" spans="1:9" hidden="1">
      <c r="A58" s="27"/>
      <c r="B58" s="101" t="s">
        <v>42</v>
      </c>
      <c r="C58" s="71"/>
      <c r="D58" s="70"/>
      <c r="E58" s="72"/>
      <c r="F58" s="73"/>
      <c r="G58" s="73"/>
      <c r="H58" s="74"/>
      <c r="I58" s="13"/>
    </row>
    <row r="59" spans="1:9" ht="30" hidden="1">
      <c r="A59" s="27">
        <v>14</v>
      </c>
      <c r="B59" s="70" t="s">
        <v>181</v>
      </c>
      <c r="C59" s="71" t="s">
        <v>82</v>
      </c>
      <c r="D59" s="70" t="s">
        <v>192</v>
      </c>
      <c r="E59" s="72">
        <v>111</v>
      </c>
      <c r="F59" s="73">
        <f>SUM(E59*6/100)</f>
        <v>6.66</v>
      </c>
      <c r="G59" s="31">
        <v>2029.3</v>
      </c>
      <c r="H59" s="74">
        <f>SUM(F59*G59/1000)</f>
        <v>13.515138</v>
      </c>
      <c r="I59" s="13">
        <f>G59*0.6013</f>
        <v>1220.2180899999998</v>
      </c>
    </row>
    <row r="60" spans="1:9" hidden="1">
      <c r="A60" s="27">
        <v>15</v>
      </c>
      <c r="B60" s="70" t="s">
        <v>160</v>
      </c>
      <c r="C60" s="71" t="s">
        <v>142</v>
      </c>
      <c r="D60" s="70" t="s">
        <v>193</v>
      </c>
      <c r="E60" s="72"/>
      <c r="F60" s="73">
        <v>3</v>
      </c>
      <c r="G60" s="31">
        <v>1582.05</v>
      </c>
      <c r="H60" s="74">
        <f>SUM(F60*G60/1000)</f>
        <v>4.7461499999999992</v>
      </c>
      <c r="I60" s="13">
        <f>G60*4</f>
        <v>6328.2</v>
      </c>
    </row>
    <row r="61" spans="1:9">
      <c r="A61" s="27"/>
      <c r="B61" s="102" t="s">
        <v>43</v>
      </c>
      <c r="C61" s="82"/>
      <c r="D61" s="83"/>
      <c r="E61" s="84"/>
      <c r="F61" s="85"/>
      <c r="G61" s="31"/>
      <c r="H61" s="86"/>
      <c r="I61" s="13"/>
    </row>
    <row r="62" spans="1:9" hidden="1">
      <c r="A62" s="27"/>
      <c r="B62" s="83" t="s">
        <v>44</v>
      </c>
      <c r="C62" s="82" t="s">
        <v>52</v>
      </c>
      <c r="D62" s="83" t="s">
        <v>53</v>
      </c>
      <c r="E62" s="84">
        <v>130</v>
      </c>
      <c r="F62" s="85">
        <f>E62/100</f>
        <v>1.3</v>
      </c>
      <c r="G62" s="31">
        <v>1040.8399999999999</v>
      </c>
      <c r="H62" s="86">
        <f>F62*G62/1000</f>
        <v>1.353092</v>
      </c>
      <c r="I62" s="13">
        <v>0</v>
      </c>
    </row>
    <row r="63" spans="1:9">
      <c r="A63" s="27">
        <v>9</v>
      </c>
      <c r="B63" s="83" t="s">
        <v>115</v>
      </c>
      <c r="C63" s="82" t="s">
        <v>25</v>
      </c>
      <c r="D63" s="83" t="s">
        <v>156</v>
      </c>
      <c r="E63" s="84">
        <v>130</v>
      </c>
      <c r="F63" s="87">
        <f>E63*12</f>
        <v>1560</v>
      </c>
      <c r="G63" s="88">
        <v>1.4</v>
      </c>
      <c r="H63" s="85">
        <f>F63*G63/1000</f>
        <v>2.1840000000000002</v>
      </c>
      <c r="I63" s="13">
        <f t="shared" ref="I63" si="9">F63/12*G63</f>
        <v>182</v>
      </c>
    </row>
    <row r="64" spans="1:9" hidden="1">
      <c r="A64" s="27"/>
      <c r="B64" s="103" t="s">
        <v>45</v>
      </c>
      <c r="C64" s="82"/>
      <c r="D64" s="83"/>
      <c r="E64" s="84"/>
      <c r="F64" s="87"/>
      <c r="G64" s="87"/>
      <c r="H64" s="85" t="s">
        <v>128</v>
      </c>
      <c r="I64" s="13"/>
    </row>
    <row r="65" spans="1:9" hidden="1">
      <c r="A65" s="27"/>
      <c r="B65" s="89" t="s">
        <v>46</v>
      </c>
      <c r="C65" s="90" t="s">
        <v>101</v>
      </c>
      <c r="D65" s="70" t="s">
        <v>65</v>
      </c>
      <c r="E65" s="15">
        <v>9</v>
      </c>
      <c r="F65" s="69">
        <f>SUM(E65)</f>
        <v>9</v>
      </c>
      <c r="G65" s="31">
        <v>291.68</v>
      </c>
      <c r="H65" s="63">
        <f t="shared" ref="H65:H83" si="10">SUM(F65*G65/1000)</f>
        <v>2.6251199999999999</v>
      </c>
      <c r="I65" s="13">
        <v>0</v>
      </c>
    </row>
    <row r="66" spans="1:9" hidden="1">
      <c r="A66" s="27"/>
      <c r="B66" s="89" t="s">
        <v>47</v>
      </c>
      <c r="C66" s="90" t="s">
        <v>101</v>
      </c>
      <c r="D66" s="70" t="s">
        <v>65</v>
      </c>
      <c r="E66" s="15">
        <v>4</v>
      </c>
      <c r="F66" s="69">
        <f>SUM(E66)</f>
        <v>4</v>
      </c>
      <c r="G66" s="31">
        <v>100.01</v>
      </c>
      <c r="H66" s="63">
        <f t="shared" si="10"/>
        <v>0.40004000000000001</v>
      </c>
      <c r="I66" s="13">
        <v>0</v>
      </c>
    </row>
    <row r="67" spans="1:9" hidden="1">
      <c r="A67" s="27"/>
      <c r="B67" s="89" t="s">
        <v>48</v>
      </c>
      <c r="C67" s="91" t="s">
        <v>103</v>
      </c>
      <c r="D67" s="33" t="s">
        <v>53</v>
      </c>
      <c r="E67" s="72">
        <v>13287</v>
      </c>
      <c r="F67" s="69">
        <f>SUM(E67/100)</f>
        <v>132.87</v>
      </c>
      <c r="G67" s="31">
        <v>278.24</v>
      </c>
      <c r="H67" s="63">
        <f t="shared" si="10"/>
        <v>36.969748799999998</v>
      </c>
      <c r="I67" s="13">
        <v>0</v>
      </c>
    </row>
    <row r="68" spans="1:9" hidden="1">
      <c r="A68" s="27"/>
      <c r="B68" s="89" t="s">
        <v>49</v>
      </c>
      <c r="C68" s="90" t="s">
        <v>104</v>
      </c>
      <c r="D68" s="33" t="s">
        <v>53</v>
      </c>
      <c r="E68" s="72">
        <v>13287</v>
      </c>
      <c r="F68" s="31">
        <f>SUM(E68/1000)</f>
        <v>13.287000000000001</v>
      </c>
      <c r="G68" s="31">
        <v>216.68</v>
      </c>
      <c r="H68" s="63">
        <f t="shared" si="10"/>
        <v>2.8790271600000001</v>
      </c>
      <c r="I68" s="13">
        <v>0</v>
      </c>
    </row>
    <row r="69" spans="1:9" hidden="1">
      <c r="A69" s="27"/>
      <c r="B69" s="89" t="s">
        <v>50</v>
      </c>
      <c r="C69" s="90" t="s">
        <v>74</v>
      </c>
      <c r="D69" s="33" t="s">
        <v>53</v>
      </c>
      <c r="E69" s="72">
        <v>2110</v>
      </c>
      <c r="F69" s="31">
        <f>SUM(E69/100)</f>
        <v>21.1</v>
      </c>
      <c r="G69" s="31">
        <v>2720.94</v>
      </c>
      <c r="H69" s="63">
        <f>SUM(F69*G69/1000)</f>
        <v>57.411834000000006</v>
      </c>
      <c r="I69" s="13">
        <v>0</v>
      </c>
    </row>
    <row r="70" spans="1:9" hidden="1">
      <c r="A70" s="27"/>
      <c r="B70" s="92" t="s">
        <v>105</v>
      </c>
      <c r="C70" s="90" t="s">
        <v>32</v>
      </c>
      <c r="D70" s="33"/>
      <c r="E70" s="72">
        <v>8.6</v>
      </c>
      <c r="F70" s="31">
        <f>SUM(E70)</f>
        <v>8.6</v>
      </c>
      <c r="G70" s="31">
        <v>42.61</v>
      </c>
      <c r="H70" s="63">
        <f t="shared" si="10"/>
        <v>0.36644599999999999</v>
      </c>
      <c r="I70" s="13">
        <v>0</v>
      </c>
    </row>
    <row r="71" spans="1:9" hidden="1">
      <c r="A71" s="27"/>
      <c r="B71" s="92" t="s">
        <v>106</v>
      </c>
      <c r="C71" s="90" t="s">
        <v>32</v>
      </c>
      <c r="D71" s="33"/>
      <c r="E71" s="72">
        <v>8.6</v>
      </c>
      <c r="F71" s="31">
        <f>SUM(E71)</f>
        <v>8.6</v>
      </c>
      <c r="G71" s="31">
        <v>46.04</v>
      </c>
      <c r="H71" s="63">
        <f t="shared" si="10"/>
        <v>0.39594399999999996</v>
      </c>
      <c r="I71" s="13">
        <v>0</v>
      </c>
    </row>
    <row r="72" spans="1:9" hidden="1">
      <c r="A72" s="27"/>
      <c r="B72" s="33" t="s">
        <v>56</v>
      </c>
      <c r="C72" s="90" t="s">
        <v>57</v>
      </c>
      <c r="D72" s="33" t="s">
        <v>53</v>
      </c>
      <c r="E72" s="15">
        <v>3</v>
      </c>
      <c r="F72" s="31">
        <f>SUM(E72)</f>
        <v>3</v>
      </c>
      <c r="G72" s="31">
        <v>65.42</v>
      </c>
      <c r="H72" s="63">
        <f t="shared" si="10"/>
        <v>0.19625999999999999</v>
      </c>
      <c r="I72" s="13">
        <v>0</v>
      </c>
    </row>
    <row r="73" spans="1:9">
      <c r="A73" s="27"/>
      <c r="B73" s="104" t="s">
        <v>70</v>
      </c>
      <c r="C73" s="90"/>
      <c r="D73" s="33"/>
      <c r="E73" s="15"/>
      <c r="F73" s="31"/>
      <c r="G73" s="31"/>
      <c r="H73" s="63" t="s">
        <v>128</v>
      </c>
      <c r="I73" s="13"/>
    </row>
    <row r="74" spans="1:9" ht="30" hidden="1">
      <c r="A74" s="27"/>
      <c r="B74" s="33" t="s">
        <v>143</v>
      </c>
      <c r="C74" s="90" t="s">
        <v>101</v>
      </c>
      <c r="D74" s="70" t="s">
        <v>65</v>
      </c>
      <c r="E74" s="15">
        <v>1</v>
      </c>
      <c r="F74" s="31">
        <v>1</v>
      </c>
      <c r="G74" s="31">
        <v>1543.4</v>
      </c>
      <c r="H74" s="63">
        <f t="shared" ref="H74:H76" si="11">SUM(F74*G74/1000)</f>
        <v>1.5434000000000001</v>
      </c>
      <c r="I74" s="13">
        <v>0</v>
      </c>
    </row>
    <row r="75" spans="1:9" hidden="1">
      <c r="A75" s="27">
        <v>17</v>
      </c>
      <c r="B75" s="33" t="s">
        <v>71</v>
      </c>
      <c r="C75" s="90" t="s">
        <v>72</v>
      </c>
      <c r="D75" s="70" t="s">
        <v>65</v>
      </c>
      <c r="E75" s="15">
        <v>3</v>
      </c>
      <c r="F75" s="31">
        <f>E75/10</f>
        <v>0.3</v>
      </c>
      <c r="G75" s="31">
        <v>657.87</v>
      </c>
      <c r="H75" s="63">
        <f t="shared" si="11"/>
        <v>0.19736099999999998</v>
      </c>
      <c r="I75" s="13">
        <f>G75*0.9</f>
        <v>592.08299999999997</v>
      </c>
    </row>
    <row r="76" spans="1:9" hidden="1">
      <c r="A76" s="27"/>
      <c r="B76" s="33" t="s">
        <v>144</v>
      </c>
      <c r="C76" s="90" t="s">
        <v>101</v>
      </c>
      <c r="D76" s="70" t="s">
        <v>65</v>
      </c>
      <c r="E76" s="15">
        <v>2</v>
      </c>
      <c r="F76" s="73">
        <f>SUM(E76)</f>
        <v>2</v>
      </c>
      <c r="G76" s="31">
        <v>1118.72</v>
      </c>
      <c r="H76" s="63">
        <f t="shared" si="11"/>
        <v>2.2374399999999999</v>
      </c>
      <c r="I76" s="13">
        <v>0</v>
      </c>
    </row>
    <row r="77" spans="1:9" hidden="1">
      <c r="A77" s="27"/>
      <c r="B77" s="44" t="s">
        <v>145</v>
      </c>
      <c r="C77" s="45" t="s">
        <v>101</v>
      </c>
      <c r="D77" s="70" t="s">
        <v>65</v>
      </c>
      <c r="E77" s="15">
        <v>1</v>
      </c>
      <c r="F77" s="88">
        <v>1</v>
      </c>
      <c r="G77" s="31">
        <v>1605.83</v>
      </c>
      <c r="H77" s="63">
        <f>SUM(F77*G77/1000)</f>
        <v>1.6058299999999999</v>
      </c>
      <c r="I77" s="13">
        <v>0</v>
      </c>
    </row>
    <row r="78" spans="1:9" ht="30">
      <c r="A78" s="27">
        <v>10</v>
      </c>
      <c r="B78" s="44" t="s">
        <v>146</v>
      </c>
      <c r="C78" s="45" t="s">
        <v>101</v>
      </c>
      <c r="D78" s="33" t="s">
        <v>156</v>
      </c>
      <c r="E78" s="93">
        <v>2</v>
      </c>
      <c r="F78" s="87">
        <f>E78*12</f>
        <v>24</v>
      </c>
      <c r="G78" s="94">
        <v>53.42</v>
      </c>
      <c r="H78" s="63">
        <f t="shared" ref="H78:H79" si="12">SUM(F78*G78/1000)</f>
        <v>1.2820799999999999</v>
      </c>
      <c r="I78" s="13">
        <f t="shared" ref="I78:I81" si="13">F78/12*G78</f>
        <v>106.84</v>
      </c>
    </row>
    <row r="79" spans="1:9">
      <c r="A79" s="27">
        <v>11</v>
      </c>
      <c r="B79" s="52" t="s">
        <v>147</v>
      </c>
      <c r="C79" s="90"/>
      <c r="D79" s="33" t="s">
        <v>156</v>
      </c>
      <c r="E79" s="15">
        <v>1</v>
      </c>
      <c r="F79" s="31">
        <v>12</v>
      </c>
      <c r="G79" s="31">
        <v>1194</v>
      </c>
      <c r="H79" s="63">
        <f t="shared" si="12"/>
        <v>14.327999999999999</v>
      </c>
      <c r="I79" s="13">
        <f t="shared" si="13"/>
        <v>1194</v>
      </c>
    </row>
    <row r="80" spans="1:9">
      <c r="A80" s="27"/>
      <c r="B80" s="105" t="s">
        <v>148</v>
      </c>
      <c r="C80" s="45"/>
      <c r="D80" s="33"/>
      <c r="E80" s="15"/>
      <c r="F80" s="31"/>
      <c r="G80" s="31"/>
      <c r="H80" s="63"/>
      <c r="I80" s="13"/>
    </row>
    <row r="81" spans="1:9">
      <c r="A81" s="27">
        <v>12</v>
      </c>
      <c r="B81" s="33" t="s">
        <v>149</v>
      </c>
      <c r="C81" s="95" t="s">
        <v>150</v>
      </c>
      <c r="D81" s="70"/>
      <c r="E81" s="15">
        <v>2626.5</v>
      </c>
      <c r="F81" s="31">
        <f>SUM(E81*12)</f>
        <v>31518</v>
      </c>
      <c r="G81" s="31">
        <v>2.2799999999999998</v>
      </c>
      <c r="H81" s="63">
        <f t="shared" ref="H81" si="14">SUM(F81*G81/1000)</f>
        <v>71.861039999999988</v>
      </c>
      <c r="I81" s="13">
        <f t="shared" si="13"/>
        <v>5988.4199999999992</v>
      </c>
    </row>
    <row r="82" spans="1:9" hidden="1">
      <c r="A82" s="27"/>
      <c r="B82" s="106" t="s">
        <v>73</v>
      </c>
      <c r="C82" s="90"/>
      <c r="D82" s="33"/>
      <c r="E82" s="15"/>
      <c r="F82" s="31"/>
      <c r="G82" s="31" t="s">
        <v>128</v>
      </c>
      <c r="H82" s="63" t="s">
        <v>128</v>
      </c>
      <c r="I82" s="13"/>
    </row>
    <row r="83" spans="1:9" hidden="1">
      <c r="A83" s="27"/>
      <c r="B83" s="96" t="s">
        <v>120</v>
      </c>
      <c r="C83" s="91" t="s">
        <v>74</v>
      </c>
      <c r="D83" s="89"/>
      <c r="E83" s="97"/>
      <c r="F83" s="69">
        <v>0.5</v>
      </c>
      <c r="G83" s="69">
        <v>3619.09</v>
      </c>
      <c r="H83" s="63">
        <f t="shared" si="10"/>
        <v>1.8095450000000002</v>
      </c>
      <c r="I83" s="13"/>
    </row>
    <row r="84" spans="1:9" ht="28.5" hidden="1">
      <c r="A84" s="27"/>
      <c r="B84" s="57" t="s">
        <v>88</v>
      </c>
      <c r="C84" s="13"/>
      <c r="D84" s="13"/>
      <c r="E84" s="13"/>
      <c r="F84" s="13"/>
      <c r="G84" s="13"/>
      <c r="H84" s="13"/>
      <c r="I84" s="13"/>
    </row>
    <row r="85" spans="1:9" hidden="1">
      <c r="A85" s="27"/>
      <c r="B85" s="70" t="s">
        <v>107</v>
      </c>
      <c r="C85" s="98"/>
      <c r="D85" s="99"/>
      <c r="E85" s="100"/>
      <c r="F85" s="32">
        <v>1</v>
      </c>
      <c r="G85" s="32">
        <v>8275.7000000000007</v>
      </c>
      <c r="H85" s="63">
        <f>G85*F85/1000</f>
        <v>8.2757000000000005</v>
      </c>
      <c r="I85" s="13"/>
    </row>
    <row r="86" spans="1:9">
      <c r="A86" s="174" t="s">
        <v>125</v>
      </c>
      <c r="B86" s="175"/>
      <c r="C86" s="175"/>
      <c r="D86" s="175"/>
      <c r="E86" s="175"/>
      <c r="F86" s="175"/>
      <c r="G86" s="175"/>
      <c r="H86" s="175"/>
      <c r="I86" s="176"/>
    </row>
    <row r="87" spans="1:9">
      <c r="A87" s="27">
        <v>13</v>
      </c>
      <c r="B87" s="70" t="s">
        <v>108</v>
      </c>
      <c r="C87" s="90" t="s">
        <v>54</v>
      </c>
      <c r="D87" s="56"/>
      <c r="E87" s="31">
        <v>2626.5</v>
      </c>
      <c r="F87" s="31">
        <f>SUM(E87*12)</f>
        <v>31518</v>
      </c>
      <c r="G87" s="31">
        <v>3.1</v>
      </c>
      <c r="H87" s="63">
        <f>SUM(F87*G87/1000)</f>
        <v>97.705799999999996</v>
      </c>
      <c r="I87" s="13">
        <f t="shared" ref="I87:I88" si="15">F87/12*G87</f>
        <v>8142.1500000000005</v>
      </c>
    </row>
    <row r="88" spans="1:9" ht="30">
      <c r="A88" s="27">
        <v>14</v>
      </c>
      <c r="B88" s="33" t="s">
        <v>75</v>
      </c>
      <c r="C88" s="90"/>
      <c r="D88" s="56"/>
      <c r="E88" s="72">
        <f>E87</f>
        <v>2626.5</v>
      </c>
      <c r="F88" s="31">
        <f>E88*12</f>
        <v>31518</v>
      </c>
      <c r="G88" s="31">
        <v>3.5</v>
      </c>
      <c r="H88" s="63">
        <f>F88*G88/1000</f>
        <v>110.313</v>
      </c>
      <c r="I88" s="13">
        <f t="shared" si="15"/>
        <v>9192.75</v>
      </c>
    </row>
    <row r="89" spans="1:9">
      <c r="A89" s="27"/>
      <c r="B89" s="34" t="s">
        <v>77</v>
      </c>
      <c r="C89" s="54"/>
      <c r="D89" s="53"/>
      <c r="E89" s="50"/>
      <c r="F89" s="50"/>
      <c r="G89" s="50"/>
      <c r="H89" s="55">
        <f>H79</f>
        <v>14.327999999999999</v>
      </c>
      <c r="I89" s="50">
        <f>I88+I87+I81+I79+I78+I63+I45+I42+I40+I39+I20+I18+I17+I16</f>
        <v>39289.007774999991</v>
      </c>
    </row>
    <row r="90" spans="1:9">
      <c r="A90" s="163" t="s">
        <v>59</v>
      </c>
      <c r="B90" s="164"/>
      <c r="C90" s="164"/>
      <c r="D90" s="164"/>
      <c r="E90" s="164"/>
      <c r="F90" s="164"/>
      <c r="G90" s="164"/>
      <c r="H90" s="164"/>
      <c r="I90" s="165"/>
    </row>
    <row r="91" spans="1:9">
      <c r="A91" s="27">
        <v>15</v>
      </c>
      <c r="B91" s="44" t="s">
        <v>205</v>
      </c>
      <c r="C91" s="45" t="s">
        <v>79</v>
      </c>
      <c r="D91" s="152" t="s">
        <v>252</v>
      </c>
      <c r="E91" s="31"/>
      <c r="F91" s="31">
        <v>1</v>
      </c>
      <c r="G91" s="31">
        <v>231.54</v>
      </c>
      <c r="H91" s="51"/>
      <c r="I91" s="13">
        <f>G91*1</f>
        <v>231.54</v>
      </c>
    </row>
    <row r="92" spans="1:9">
      <c r="A92" s="27"/>
      <c r="B92" s="39" t="s">
        <v>51</v>
      </c>
      <c r="C92" s="35"/>
      <c r="D92" s="42"/>
      <c r="E92" s="35">
        <v>1</v>
      </c>
      <c r="F92" s="35"/>
      <c r="G92" s="35"/>
      <c r="H92" s="35"/>
      <c r="I92" s="29">
        <f>SUM(I91:I91)</f>
        <v>231.54</v>
      </c>
    </row>
    <row r="93" spans="1:9">
      <c r="A93" s="27"/>
      <c r="B93" s="41" t="s">
        <v>76</v>
      </c>
      <c r="C93" s="14"/>
      <c r="D93" s="14"/>
      <c r="E93" s="36"/>
      <c r="F93" s="36"/>
      <c r="G93" s="37"/>
      <c r="H93" s="37"/>
      <c r="I93" s="15">
        <v>0</v>
      </c>
    </row>
    <row r="94" spans="1:9">
      <c r="A94" s="43"/>
      <c r="B94" s="40" t="s">
        <v>134</v>
      </c>
      <c r="C94" s="30"/>
      <c r="D94" s="30"/>
      <c r="E94" s="30"/>
      <c r="F94" s="30"/>
      <c r="G94" s="30"/>
      <c r="H94" s="30"/>
      <c r="I94" s="38">
        <f>I89+I92</f>
        <v>39520.547774999992</v>
      </c>
    </row>
    <row r="95" spans="1:9" ht="15.75">
      <c r="A95" s="166" t="s">
        <v>253</v>
      </c>
      <c r="B95" s="166"/>
      <c r="C95" s="166"/>
      <c r="D95" s="166"/>
      <c r="E95" s="166"/>
      <c r="F95" s="166"/>
      <c r="G95" s="166"/>
      <c r="H95" s="166"/>
      <c r="I95" s="166"/>
    </row>
    <row r="96" spans="1:9" ht="15.75">
      <c r="A96" s="46"/>
      <c r="B96" s="167" t="s">
        <v>254</v>
      </c>
      <c r="C96" s="167"/>
      <c r="D96" s="167"/>
      <c r="E96" s="167"/>
      <c r="F96" s="167"/>
      <c r="G96" s="167"/>
      <c r="H96" s="49"/>
      <c r="I96" s="3"/>
    </row>
    <row r="97" spans="1:9">
      <c r="A97" s="116"/>
      <c r="B97" s="168" t="s">
        <v>6</v>
      </c>
      <c r="C97" s="168"/>
      <c r="D97" s="168"/>
      <c r="E97" s="168"/>
      <c r="F97" s="168"/>
      <c r="G97" s="168"/>
      <c r="H97" s="22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69" t="s">
        <v>7</v>
      </c>
      <c r="B99" s="169"/>
      <c r="C99" s="169"/>
      <c r="D99" s="169"/>
      <c r="E99" s="169"/>
      <c r="F99" s="169"/>
      <c r="G99" s="169"/>
      <c r="H99" s="169"/>
      <c r="I99" s="169"/>
    </row>
    <row r="100" spans="1:9" ht="15.75">
      <c r="A100" s="169" t="s">
        <v>8</v>
      </c>
      <c r="B100" s="169"/>
      <c r="C100" s="169"/>
      <c r="D100" s="169"/>
      <c r="E100" s="169"/>
      <c r="F100" s="169"/>
      <c r="G100" s="169"/>
      <c r="H100" s="169"/>
      <c r="I100" s="169"/>
    </row>
    <row r="101" spans="1:9" ht="15.75">
      <c r="A101" s="170" t="s">
        <v>60</v>
      </c>
      <c r="B101" s="170"/>
      <c r="C101" s="170"/>
      <c r="D101" s="170"/>
      <c r="E101" s="170"/>
      <c r="F101" s="170"/>
      <c r="G101" s="170"/>
      <c r="H101" s="170"/>
      <c r="I101" s="170"/>
    </row>
    <row r="102" spans="1:9" ht="15.75">
      <c r="A102" s="11"/>
    </row>
    <row r="103" spans="1:9" ht="15.75">
      <c r="A103" s="171" t="s">
        <v>9</v>
      </c>
      <c r="B103" s="171"/>
      <c r="C103" s="171"/>
      <c r="D103" s="171"/>
      <c r="E103" s="171"/>
      <c r="F103" s="171"/>
      <c r="G103" s="171"/>
      <c r="H103" s="171"/>
      <c r="I103" s="171"/>
    </row>
    <row r="104" spans="1:9" ht="15.75">
      <c r="A104" s="4"/>
    </row>
    <row r="105" spans="1:9" ht="15.75">
      <c r="B105" s="113" t="s">
        <v>10</v>
      </c>
      <c r="C105" s="172" t="s">
        <v>217</v>
      </c>
      <c r="D105" s="172"/>
      <c r="E105" s="172"/>
      <c r="F105" s="47"/>
      <c r="I105" s="115"/>
    </row>
    <row r="106" spans="1:9">
      <c r="A106" s="116"/>
      <c r="C106" s="168" t="s">
        <v>11</v>
      </c>
      <c r="D106" s="168"/>
      <c r="E106" s="168"/>
      <c r="F106" s="22"/>
      <c r="I106" s="114" t="s">
        <v>12</v>
      </c>
    </row>
    <row r="107" spans="1:9" ht="15.75">
      <c r="A107" s="23"/>
      <c r="C107" s="12"/>
      <c r="D107" s="12"/>
      <c r="G107" s="12"/>
      <c r="H107" s="12"/>
    </row>
    <row r="108" spans="1:9" ht="15.75">
      <c r="B108" s="113" t="s">
        <v>13</v>
      </c>
      <c r="C108" s="173"/>
      <c r="D108" s="173"/>
      <c r="E108" s="173"/>
      <c r="F108" s="48"/>
      <c r="I108" s="115"/>
    </row>
    <row r="109" spans="1:9">
      <c r="A109" s="116"/>
      <c r="C109" s="162" t="s">
        <v>11</v>
      </c>
      <c r="D109" s="162"/>
      <c r="E109" s="162"/>
      <c r="F109" s="116"/>
      <c r="I109" s="114" t="s">
        <v>12</v>
      </c>
    </row>
    <row r="110" spans="1:9" ht="15.75">
      <c r="A110" s="4" t="s">
        <v>14</v>
      </c>
    </row>
    <row r="111" spans="1:9">
      <c r="A111" s="189" t="s">
        <v>15</v>
      </c>
      <c r="B111" s="189"/>
      <c r="C111" s="189"/>
      <c r="D111" s="189"/>
      <c r="E111" s="189"/>
      <c r="F111" s="189"/>
      <c r="G111" s="189"/>
      <c r="H111" s="189"/>
      <c r="I111" s="189"/>
    </row>
    <row r="112" spans="1:9" ht="45" customHeight="1">
      <c r="A112" s="190" t="s">
        <v>16</v>
      </c>
      <c r="B112" s="190"/>
      <c r="C112" s="190"/>
      <c r="D112" s="190"/>
      <c r="E112" s="190"/>
      <c r="F112" s="190"/>
      <c r="G112" s="190"/>
      <c r="H112" s="190"/>
      <c r="I112" s="190"/>
    </row>
    <row r="113" spans="1:9" ht="34.5" customHeight="1">
      <c r="A113" s="190" t="s">
        <v>17</v>
      </c>
      <c r="B113" s="190"/>
      <c r="C113" s="190"/>
      <c r="D113" s="190"/>
      <c r="E113" s="190"/>
      <c r="F113" s="190"/>
      <c r="G113" s="190"/>
      <c r="H113" s="190"/>
      <c r="I113" s="190"/>
    </row>
    <row r="114" spans="1:9" ht="35.25" customHeight="1">
      <c r="A114" s="190" t="s">
        <v>21</v>
      </c>
      <c r="B114" s="190"/>
      <c r="C114" s="190"/>
      <c r="D114" s="190"/>
      <c r="E114" s="190"/>
      <c r="F114" s="190"/>
      <c r="G114" s="190"/>
      <c r="H114" s="190"/>
      <c r="I114" s="190"/>
    </row>
    <row r="115" spans="1:9" ht="15.75">
      <c r="A115" s="190" t="s">
        <v>20</v>
      </c>
      <c r="B115" s="190"/>
      <c r="C115" s="190"/>
      <c r="D115" s="190"/>
      <c r="E115" s="190"/>
      <c r="F115" s="190"/>
      <c r="G115" s="190"/>
      <c r="H115" s="190"/>
      <c r="I115" s="190"/>
    </row>
  </sheetData>
  <mergeCells count="28">
    <mergeCell ref="A101:I101"/>
    <mergeCell ref="A100:I100"/>
    <mergeCell ref="A112:I112"/>
    <mergeCell ref="A113:I113"/>
    <mergeCell ref="A114:I114"/>
    <mergeCell ref="A115:I115"/>
    <mergeCell ref="A103:I103"/>
    <mergeCell ref="C105:E105"/>
    <mergeCell ref="C106:E106"/>
    <mergeCell ref="A14:I14"/>
    <mergeCell ref="A15:I15"/>
    <mergeCell ref="A28:I28"/>
    <mergeCell ref="A46:I46"/>
    <mergeCell ref="A57:I57"/>
    <mergeCell ref="A86:I86"/>
    <mergeCell ref="C108:E108"/>
    <mergeCell ref="C109:E109"/>
    <mergeCell ref="A111:I111"/>
    <mergeCell ref="A90:I90"/>
    <mergeCell ref="A95:I95"/>
    <mergeCell ref="B96:G96"/>
    <mergeCell ref="B97:G97"/>
    <mergeCell ref="A99:I99"/>
    <mergeCell ref="A3:I3"/>
    <mergeCell ref="A4:I4"/>
    <mergeCell ref="A5:I5"/>
    <mergeCell ref="A8:I8"/>
    <mergeCell ref="A10:I10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18"/>
  <sheetViews>
    <sheetView topLeftCell="A88" workbookViewId="0">
      <selection activeCell="A94" sqref="A94"/>
    </sheetView>
  </sheetViews>
  <sheetFormatPr defaultRowHeight="15"/>
  <cols>
    <col min="2" max="2" width="54.42578125" customWidth="1"/>
    <col min="3" max="4" width="18.42578125" customWidth="1"/>
    <col min="5" max="5" width="0" hidden="1" customWidth="1"/>
    <col min="6" max="6" width="10.85546875" hidden="1" customWidth="1"/>
    <col min="7" max="7" width="18.42578125" customWidth="1"/>
    <col min="8" max="8" width="0" hidden="1" customWidth="1"/>
    <col min="9" max="9" width="17.85546875" customWidth="1"/>
  </cols>
  <sheetData>
    <row r="1" spans="1:9" ht="15.75">
      <c r="A1" s="25" t="s">
        <v>178</v>
      </c>
      <c r="I1" s="24"/>
    </row>
    <row r="2" spans="1:9" ht="15.75">
      <c r="A2" s="26" t="s">
        <v>61</v>
      </c>
    </row>
    <row r="3" spans="1:9" ht="15.75">
      <c r="A3" s="179" t="s">
        <v>155</v>
      </c>
      <c r="B3" s="179"/>
      <c r="C3" s="179"/>
      <c r="D3" s="179"/>
      <c r="E3" s="179"/>
      <c r="F3" s="179"/>
      <c r="G3" s="179"/>
      <c r="H3" s="179"/>
      <c r="I3" s="179"/>
    </row>
    <row r="4" spans="1:9" ht="30" customHeight="1">
      <c r="A4" s="180" t="s">
        <v>121</v>
      </c>
      <c r="B4" s="180"/>
      <c r="C4" s="180"/>
      <c r="D4" s="180"/>
      <c r="E4" s="180"/>
      <c r="F4" s="180"/>
      <c r="G4" s="180"/>
      <c r="H4" s="180"/>
      <c r="I4" s="180"/>
    </row>
    <row r="5" spans="1:9" ht="15.75">
      <c r="A5" s="179" t="s">
        <v>255</v>
      </c>
      <c r="B5" s="181"/>
      <c r="C5" s="181"/>
      <c r="D5" s="181"/>
      <c r="E5" s="181"/>
      <c r="F5" s="181"/>
      <c r="G5" s="181"/>
      <c r="H5" s="181"/>
      <c r="I5" s="181"/>
    </row>
    <row r="6" spans="1:9" ht="15.75">
      <c r="A6" s="2"/>
      <c r="B6" s="119"/>
      <c r="C6" s="119"/>
      <c r="D6" s="119"/>
      <c r="E6" s="119"/>
      <c r="F6" s="119"/>
      <c r="G6" s="119"/>
      <c r="H6" s="119"/>
      <c r="I6" s="118">
        <v>44347</v>
      </c>
    </row>
    <row r="7" spans="1:9" ht="15.75">
      <c r="B7" s="122"/>
      <c r="C7" s="122"/>
      <c r="D7" s="122"/>
      <c r="E7" s="3"/>
      <c r="F7" s="3"/>
      <c r="G7" s="3"/>
      <c r="H7" s="3"/>
    </row>
    <row r="8" spans="1:9" ht="78" customHeight="1">
      <c r="A8" s="182" t="s">
        <v>171</v>
      </c>
      <c r="B8" s="182"/>
      <c r="C8" s="182"/>
      <c r="D8" s="182"/>
      <c r="E8" s="182"/>
      <c r="F8" s="182"/>
      <c r="G8" s="182"/>
      <c r="H8" s="182"/>
      <c r="I8" s="182"/>
    </row>
    <row r="9" spans="1:9" ht="15.75">
      <c r="A9" s="4"/>
    </row>
    <row r="10" spans="1:9" ht="51" customHeight="1">
      <c r="A10" s="183" t="s">
        <v>133</v>
      </c>
      <c r="B10" s="183"/>
      <c r="C10" s="183"/>
      <c r="D10" s="183"/>
      <c r="E10" s="183"/>
      <c r="F10" s="183"/>
      <c r="G10" s="183"/>
      <c r="H10" s="183"/>
      <c r="I10" s="183"/>
    </row>
    <row r="11" spans="1:9" ht="15.75">
      <c r="A11" s="4"/>
    </row>
    <row r="12" spans="1:9" ht="66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84" t="s">
        <v>58</v>
      </c>
      <c r="B14" s="184"/>
      <c r="C14" s="184"/>
      <c r="D14" s="184"/>
      <c r="E14" s="184"/>
      <c r="F14" s="184"/>
      <c r="G14" s="184"/>
      <c r="H14" s="184"/>
      <c r="I14" s="184"/>
    </row>
    <row r="15" spans="1:9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</row>
    <row r="16" spans="1:9" ht="13.5" customHeight="1">
      <c r="A16" s="27">
        <v>1</v>
      </c>
      <c r="B16" s="70" t="s">
        <v>183</v>
      </c>
      <c r="C16" s="71" t="s">
        <v>82</v>
      </c>
      <c r="D16" s="70" t="s">
        <v>164</v>
      </c>
      <c r="E16" s="72">
        <v>49.72</v>
      </c>
      <c r="F16" s="73">
        <f>SUM(E16*156/100)</f>
        <v>77.563199999999995</v>
      </c>
      <c r="G16" s="73">
        <v>230</v>
      </c>
      <c r="H16" s="74">
        <f t="shared" ref="H16:H25" si="0">SUM(F16*G16/1000)</f>
        <v>17.839535999999999</v>
      </c>
      <c r="I16" s="13">
        <f>F16/12*G16</f>
        <v>1486.6279999999999</v>
      </c>
    </row>
    <row r="17" spans="1:9" ht="19.5" customHeight="1">
      <c r="A17" s="27">
        <v>2</v>
      </c>
      <c r="B17" s="70" t="s">
        <v>109</v>
      </c>
      <c r="C17" s="71" t="s">
        <v>82</v>
      </c>
      <c r="D17" s="70" t="s">
        <v>186</v>
      </c>
      <c r="E17" s="72">
        <v>198.88</v>
      </c>
      <c r="F17" s="73">
        <f>SUM(E17*104/100)</f>
        <v>206.83520000000001</v>
      </c>
      <c r="G17" s="73">
        <v>230</v>
      </c>
      <c r="H17" s="74">
        <f t="shared" si="0"/>
        <v>47.572096000000002</v>
      </c>
      <c r="I17" s="13">
        <f>G17*F17/12</f>
        <v>3964.3413333333338</v>
      </c>
    </row>
    <row r="18" spans="1:9">
      <c r="A18" s="27">
        <v>3</v>
      </c>
      <c r="B18" s="70" t="s">
        <v>110</v>
      </c>
      <c r="C18" s="71" t="s">
        <v>82</v>
      </c>
      <c r="D18" s="70" t="s">
        <v>158</v>
      </c>
      <c r="E18" s="72">
        <v>248.6</v>
      </c>
      <c r="F18" s="73">
        <f>SUM(E18*24/100)</f>
        <v>59.663999999999994</v>
      </c>
      <c r="G18" s="73">
        <v>661.67</v>
      </c>
      <c r="H18" s="74">
        <f t="shared" si="0"/>
        <v>39.477878879999999</v>
      </c>
      <c r="I18" s="13">
        <f>F18/12*G18</f>
        <v>3289.8232399999993</v>
      </c>
    </row>
    <row r="19" spans="1:9" hidden="1">
      <c r="A19" s="27">
        <v>4</v>
      </c>
      <c r="B19" s="70" t="s">
        <v>89</v>
      </c>
      <c r="C19" s="71" t="s">
        <v>90</v>
      </c>
      <c r="D19" s="70" t="s">
        <v>91</v>
      </c>
      <c r="E19" s="72">
        <v>18.48</v>
      </c>
      <c r="F19" s="73">
        <f>SUM(E19/10)</f>
        <v>1.8480000000000001</v>
      </c>
      <c r="G19" s="73">
        <v>223.17</v>
      </c>
      <c r="H19" s="74">
        <f t="shared" si="0"/>
        <v>0.41241815999999998</v>
      </c>
      <c r="I19" s="13">
        <f>1.848*G19</f>
        <v>412.41816</v>
      </c>
    </row>
    <row r="20" spans="1:9">
      <c r="A20" s="27">
        <v>4</v>
      </c>
      <c r="B20" s="70" t="s">
        <v>92</v>
      </c>
      <c r="C20" s="71" t="s">
        <v>82</v>
      </c>
      <c r="D20" s="70" t="s">
        <v>162</v>
      </c>
      <c r="E20" s="72">
        <v>10.5</v>
      </c>
      <c r="F20" s="73">
        <f>SUM(E20*12/100)</f>
        <v>1.26</v>
      </c>
      <c r="G20" s="73">
        <v>285.76</v>
      </c>
      <c r="H20" s="74">
        <f t="shared" si="0"/>
        <v>0.36005759999999998</v>
      </c>
      <c r="I20" s="13">
        <f>F20/12*G20</f>
        <v>30.004799999999999</v>
      </c>
    </row>
    <row r="21" spans="1:9" hidden="1">
      <c r="A21" s="27">
        <v>6</v>
      </c>
      <c r="B21" s="70" t="s">
        <v>93</v>
      </c>
      <c r="C21" s="71" t="s">
        <v>82</v>
      </c>
      <c r="D21" s="70" t="s">
        <v>41</v>
      </c>
      <c r="E21" s="72">
        <v>3</v>
      </c>
      <c r="F21" s="73">
        <f>SUM(E21*2/100)</f>
        <v>0.06</v>
      </c>
      <c r="G21" s="73">
        <v>283.44</v>
      </c>
      <c r="H21" s="74">
        <f t="shared" si="0"/>
        <v>1.7006399999999998E-2</v>
      </c>
      <c r="I21" s="13">
        <f>0.03*G21</f>
        <v>8.5031999999999996</v>
      </c>
    </row>
    <row r="22" spans="1:9" hidden="1">
      <c r="A22" s="27">
        <v>7</v>
      </c>
      <c r="B22" s="70" t="s">
        <v>94</v>
      </c>
      <c r="C22" s="71" t="s">
        <v>52</v>
      </c>
      <c r="D22" s="70" t="s">
        <v>91</v>
      </c>
      <c r="E22" s="72">
        <v>267.75</v>
      </c>
      <c r="F22" s="73">
        <f>SUM(E22/100)</f>
        <v>2.6775000000000002</v>
      </c>
      <c r="G22" s="73">
        <v>353.14</v>
      </c>
      <c r="H22" s="74">
        <f t="shared" si="0"/>
        <v>0.94553235000000002</v>
      </c>
      <c r="I22" s="13">
        <f>2.6775*G22</f>
        <v>945.53235000000006</v>
      </c>
    </row>
    <row r="23" spans="1:9" hidden="1">
      <c r="A23" s="27">
        <v>8</v>
      </c>
      <c r="B23" s="70" t="s">
        <v>95</v>
      </c>
      <c r="C23" s="71" t="s">
        <v>52</v>
      </c>
      <c r="D23" s="70" t="s">
        <v>91</v>
      </c>
      <c r="E23" s="75">
        <v>36.229999999999997</v>
      </c>
      <c r="F23" s="73">
        <f>SUM(E23/100)</f>
        <v>0.36229999999999996</v>
      </c>
      <c r="G23" s="73">
        <v>58.08</v>
      </c>
      <c r="H23" s="74">
        <f t="shared" si="0"/>
        <v>2.1042383999999997E-2</v>
      </c>
      <c r="I23" s="13">
        <f>0.3623*G23</f>
        <v>21.042383999999998</v>
      </c>
    </row>
    <row r="24" spans="1:9" hidden="1">
      <c r="A24" s="27">
        <v>9</v>
      </c>
      <c r="B24" s="70" t="s">
        <v>96</v>
      </c>
      <c r="C24" s="71" t="s">
        <v>52</v>
      </c>
      <c r="D24" s="70" t="s">
        <v>53</v>
      </c>
      <c r="E24" s="72">
        <v>15</v>
      </c>
      <c r="F24" s="73">
        <f>SUM(E24/100)</f>
        <v>0.15</v>
      </c>
      <c r="G24" s="73">
        <v>511.12</v>
      </c>
      <c r="H24" s="74">
        <f t="shared" si="0"/>
        <v>7.6667999999999986E-2</v>
      </c>
      <c r="I24" s="13">
        <f>0.15*G24</f>
        <v>76.667999999999992</v>
      </c>
    </row>
    <row r="25" spans="1:9" hidden="1">
      <c r="A25" s="27">
        <v>10</v>
      </c>
      <c r="B25" s="70" t="s">
        <v>97</v>
      </c>
      <c r="C25" s="71" t="s">
        <v>52</v>
      </c>
      <c r="D25" s="70" t="s">
        <v>53</v>
      </c>
      <c r="E25" s="72">
        <v>6.38</v>
      </c>
      <c r="F25" s="73">
        <f>SUM(E25/100)</f>
        <v>6.3799999999999996E-2</v>
      </c>
      <c r="G25" s="73">
        <v>683.05</v>
      </c>
      <c r="H25" s="74">
        <f t="shared" si="0"/>
        <v>4.3578589999999993E-2</v>
      </c>
      <c r="I25" s="13">
        <f>0.0638*G25</f>
        <v>43.578589999999991</v>
      </c>
    </row>
    <row r="26" spans="1:9" hidden="1">
      <c r="A26" s="27">
        <v>11</v>
      </c>
      <c r="B26" s="70" t="s">
        <v>116</v>
      </c>
      <c r="C26" s="71" t="s">
        <v>52</v>
      </c>
      <c r="D26" s="70" t="s">
        <v>53</v>
      </c>
      <c r="E26" s="72">
        <v>14.25</v>
      </c>
      <c r="F26" s="73">
        <v>0.14000000000000001</v>
      </c>
      <c r="G26" s="73">
        <v>283.44</v>
      </c>
      <c r="H26" s="74">
        <f>G26*F26/1000</f>
        <v>3.9681600000000004E-2</v>
      </c>
      <c r="I26" s="13">
        <f>0.14*G26</f>
        <v>39.681600000000003</v>
      </c>
    </row>
    <row r="27" spans="1:9" hidden="1">
      <c r="A27" s="27">
        <v>5</v>
      </c>
      <c r="B27" s="70" t="s">
        <v>195</v>
      </c>
      <c r="C27" s="71" t="s">
        <v>25</v>
      </c>
      <c r="D27" s="70" t="s">
        <v>202</v>
      </c>
      <c r="E27" s="77">
        <v>4.37</v>
      </c>
      <c r="F27" s="73">
        <f>E27*258</f>
        <v>1127.46</v>
      </c>
      <c r="G27" s="73">
        <v>10.39</v>
      </c>
      <c r="H27" s="74">
        <f>SUM(F27*G27/1000)</f>
        <v>11.714309400000001</v>
      </c>
      <c r="I27" s="13">
        <f>G27*F27/12</f>
        <v>976.19245000000012</v>
      </c>
    </row>
    <row r="28" spans="1:9">
      <c r="A28" s="185" t="s">
        <v>80</v>
      </c>
      <c r="B28" s="185"/>
      <c r="C28" s="185"/>
      <c r="D28" s="185"/>
      <c r="E28" s="185"/>
      <c r="F28" s="185"/>
      <c r="G28" s="185"/>
      <c r="H28" s="185"/>
      <c r="I28" s="185"/>
    </row>
    <row r="29" spans="1:9">
      <c r="A29" s="27"/>
      <c r="B29" s="101" t="s">
        <v>28</v>
      </c>
      <c r="C29" s="71"/>
      <c r="D29" s="70"/>
      <c r="E29" s="72"/>
      <c r="F29" s="73"/>
      <c r="G29" s="73"/>
      <c r="H29" s="74"/>
      <c r="I29" s="13"/>
    </row>
    <row r="30" spans="1:9">
      <c r="A30" s="27">
        <v>5</v>
      </c>
      <c r="B30" s="70" t="s">
        <v>99</v>
      </c>
      <c r="C30" s="71" t="s">
        <v>84</v>
      </c>
      <c r="D30" s="70" t="s">
        <v>186</v>
      </c>
      <c r="E30" s="73">
        <v>665</v>
      </c>
      <c r="F30" s="73">
        <f>SUM(E30*52/1000)</f>
        <v>34.58</v>
      </c>
      <c r="G30" s="73">
        <v>204.44</v>
      </c>
      <c r="H30" s="74">
        <f t="shared" ref="H30:H35" si="1">SUM(F30*G30/1000)</f>
        <v>7.0695351999999989</v>
      </c>
      <c r="I30" s="13">
        <f t="shared" ref="I30:I31" si="2">F30/6*G30</f>
        <v>1178.2558666666666</v>
      </c>
    </row>
    <row r="31" spans="1:9" ht="30">
      <c r="A31" s="27">
        <v>6</v>
      </c>
      <c r="B31" s="70" t="s">
        <v>112</v>
      </c>
      <c r="C31" s="71" t="s">
        <v>84</v>
      </c>
      <c r="D31" s="70" t="s">
        <v>164</v>
      </c>
      <c r="E31" s="73">
        <v>81.5</v>
      </c>
      <c r="F31" s="73">
        <f>SUM(E31*78/1000)</f>
        <v>6.3570000000000002</v>
      </c>
      <c r="G31" s="73">
        <v>339.21</v>
      </c>
      <c r="H31" s="74">
        <f t="shared" si="1"/>
        <v>2.1563579700000002</v>
      </c>
      <c r="I31" s="13">
        <f t="shared" si="2"/>
        <v>359.39299500000004</v>
      </c>
    </row>
    <row r="32" spans="1:9">
      <c r="A32" s="27">
        <v>7</v>
      </c>
      <c r="B32" s="70" t="s">
        <v>27</v>
      </c>
      <c r="C32" s="71" t="s">
        <v>84</v>
      </c>
      <c r="D32" s="70" t="s">
        <v>157</v>
      </c>
      <c r="E32" s="73">
        <v>665</v>
      </c>
      <c r="F32" s="73">
        <f>SUM(E32/1000)</f>
        <v>0.66500000000000004</v>
      </c>
      <c r="G32" s="73">
        <v>3961.23</v>
      </c>
      <c r="H32" s="74">
        <f t="shared" si="1"/>
        <v>2.63421795</v>
      </c>
      <c r="I32" s="13">
        <f>F32*G32</f>
        <v>2634.2179500000002</v>
      </c>
    </row>
    <row r="33" spans="1:9">
      <c r="A33" s="27">
        <v>8</v>
      </c>
      <c r="B33" s="70" t="s">
        <v>111</v>
      </c>
      <c r="C33" s="71" t="s">
        <v>39</v>
      </c>
      <c r="D33" s="70" t="s">
        <v>190</v>
      </c>
      <c r="E33" s="73">
        <v>3</v>
      </c>
      <c r="F33" s="73">
        <f>E33*155/100</f>
        <v>4.6500000000000004</v>
      </c>
      <c r="G33" s="73">
        <v>1707.63</v>
      </c>
      <c r="H33" s="74">
        <f>G33*F33/1000</f>
        <v>7.9404795000000012</v>
      </c>
      <c r="I33" s="13">
        <f>F33/6*G33</f>
        <v>1323.4132500000001</v>
      </c>
    </row>
    <row r="34" spans="1:9" hidden="1">
      <c r="A34" s="27"/>
      <c r="B34" s="70" t="s">
        <v>63</v>
      </c>
      <c r="C34" s="71" t="s">
        <v>32</v>
      </c>
      <c r="D34" s="70" t="s">
        <v>65</v>
      </c>
      <c r="E34" s="72"/>
      <c r="F34" s="73">
        <v>1</v>
      </c>
      <c r="G34" s="73">
        <v>250.92</v>
      </c>
      <c r="H34" s="74">
        <f t="shared" si="1"/>
        <v>0.25091999999999998</v>
      </c>
      <c r="I34" s="13">
        <v>0</v>
      </c>
    </row>
    <row r="35" spans="1:9" hidden="1">
      <c r="A35" s="27"/>
      <c r="B35" s="70" t="s">
        <v>64</v>
      </c>
      <c r="C35" s="71" t="s">
        <v>31</v>
      </c>
      <c r="D35" s="70" t="s">
        <v>65</v>
      </c>
      <c r="E35" s="72"/>
      <c r="F35" s="73">
        <v>1</v>
      </c>
      <c r="G35" s="73">
        <v>1490.31</v>
      </c>
      <c r="H35" s="74">
        <f t="shared" si="1"/>
        <v>1.49031</v>
      </c>
      <c r="I35" s="13">
        <v>0</v>
      </c>
    </row>
    <row r="36" spans="1:9" hidden="1">
      <c r="A36" s="27"/>
      <c r="B36" s="101" t="s">
        <v>5</v>
      </c>
      <c r="C36" s="71"/>
      <c r="D36" s="70"/>
      <c r="E36" s="72"/>
      <c r="F36" s="73"/>
      <c r="G36" s="73"/>
      <c r="H36" s="74" t="s">
        <v>128</v>
      </c>
      <c r="I36" s="13"/>
    </row>
    <row r="37" spans="1:9" hidden="1">
      <c r="A37" s="27">
        <v>7</v>
      </c>
      <c r="B37" s="79" t="s">
        <v>26</v>
      </c>
      <c r="C37" s="71" t="s">
        <v>31</v>
      </c>
      <c r="D37" s="70"/>
      <c r="E37" s="72"/>
      <c r="F37" s="73">
        <v>5</v>
      </c>
      <c r="G37" s="73">
        <v>2003</v>
      </c>
      <c r="H37" s="74">
        <f t="shared" ref="H37:H44" si="3">SUM(F37*G37/1000)</f>
        <v>10.015000000000001</v>
      </c>
      <c r="I37" s="13">
        <f t="shared" ref="I37:I41" si="4">F37/6*G37</f>
        <v>1669.1666666666667</v>
      </c>
    </row>
    <row r="38" spans="1:9" hidden="1">
      <c r="A38" s="27">
        <v>8</v>
      </c>
      <c r="B38" s="79" t="s">
        <v>100</v>
      </c>
      <c r="C38" s="80" t="s">
        <v>29</v>
      </c>
      <c r="D38" s="70" t="s">
        <v>117</v>
      </c>
      <c r="E38" s="72">
        <v>81.5</v>
      </c>
      <c r="F38" s="81">
        <f>E38*30/1000</f>
        <v>2.4449999999999998</v>
      </c>
      <c r="G38" s="73">
        <v>2757.78</v>
      </c>
      <c r="H38" s="74">
        <f t="shared" si="3"/>
        <v>6.7427720999999998</v>
      </c>
      <c r="I38" s="13">
        <f t="shared" si="4"/>
        <v>1123.7953500000001</v>
      </c>
    </row>
    <row r="39" spans="1:9" hidden="1">
      <c r="A39" s="27">
        <v>9</v>
      </c>
      <c r="B39" s="70" t="s">
        <v>66</v>
      </c>
      <c r="C39" s="71" t="s">
        <v>29</v>
      </c>
      <c r="D39" s="70" t="s">
        <v>83</v>
      </c>
      <c r="E39" s="73">
        <v>81.5</v>
      </c>
      <c r="F39" s="81">
        <f>SUM(E39*155/1000)</f>
        <v>12.6325</v>
      </c>
      <c r="G39" s="73">
        <v>460.02</v>
      </c>
      <c r="H39" s="74">
        <f t="shared" si="3"/>
        <v>5.8112026500000002</v>
      </c>
      <c r="I39" s="13">
        <f t="shared" si="4"/>
        <v>968.53377499999999</v>
      </c>
    </row>
    <row r="40" spans="1:9" hidden="1">
      <c r="A40" s="27"/>
      <c r="B40" s="70" t="s">
        <v>113</v>
      </c>
      <c r="C40" s="71" t="s">
        <v>114</v>
      </c>
      <c r="D40" s="70" t="s">
        <v>65</v>
      </c>
      <c r="E40" s="72"/>
      <c r="F40" s="81">
        <v>26</v>
      </c>
      <c r="G40" s="73">
        <v>314</v>
      </c>
      <c r="H40" s="74">
        <f t="shared" si="3"/>
        <v>8.1639999999999997</v>
      </c>
      <c r="I40" s="13">
        <v>0</v>
      </c>
    </row>
    <row r="41" spans="1:9" ht="45" hidden="1">
      <c r="A41" s="27">
        <v>10</v>
      </c>
      <c r="B41" s="70" t="s">
        <v>78</v>
      </c>
      <c r="C41" s="71" t="s">
        <v>84</v>
      </c>
      <c r="D41" s="70" t="s">
        <v>118</v>
      </c>
      <c r="E41" s="73">
        <v>81.5</v>
      </c>
      <c r="F41" s="81">
        <f>SUM(E41*35/1000)</f>
        <v>2.8525</v>
      </c>
      <c r="G41" s="73">
        <v>7611.16</v>
      </c>
      <c r="H41" s="74">
        <f t="shared" si="3"/>
        <v>21.710833900000001</v>
      </c>
      <c r="I41" s="13">
        <f t="shared" si="4"/>
        <v>3618.4723166666663</v>
      </c>
    </row>
    <row r="42" spans="1:9" hidden="1">
      <c r="A42" s="27">
        <v>11</v>
      </c>
      <c r="B42" s="70" t="s">
        <v>85</v>
      </c>
      <c r="C42" s="71" t="s">
        <v>84</v>
      </c>
      <c r="D42" s="70" t="s">
        <v>67</v>
      </c>
      <c r="E42" s="73">
        <v>81.5</v>
      </c>
      <c r="F42" s="81">
        <f>SUM(E42*45/1000)</f>
        <v>3.6675</v>
      </c>
      <c r="G42" s="73">
        <v>562.25</v>
      </c>
      <c r="H42" s="74">
        <f t="shared" si="3"/>
        <v>2.0620518750000003</v>
      </c>
      <c r="I42" s="13">
        <f>(F42/7.5*1.5)*G42</f>
        <v>412.41037500000004</v>
      </c>
    </row>
    <row r="43" spans="1:9" hidden="1">
      <c r="A43" s="27">
        <v>12</v>
      </c>
      <c r="B43" s="79" t="s">
        <v>68</v>
      </c>
      <c r="C43" s="80" t="s">
        <v>32</v>
      </c>
      <c r="D43" s="79"/>
      <c r="E43" s="77"/>
      <c r="F43" s="81">
        <v>0.9</v>
      </c>
      <c r="G43" s="81">
        <v>974.83</v>
      </c>
      <c r="H43" s="74">
        <f t="shared" si="3"/>
        <v>0.8773470000000001</v>
      </c>
      <c r="I43" s="13">
        <f>(F43/7.5*1.5)*G43</f>
        <v>175.46940000000004</v>
      </c>
    </row>
    <row r="44" spans="1:9" ht="30" hidden="1">
      <c r="A44" s="27">
        <v>13</v>
      </c>
      <c r="B44" s="44" t="s">
        <v>139</v>
      </c>
      <c r="C44" s="45" t="s">
        <v>29</v>
      </c>
      <c r="D44" s="79" t="s">
        <v>140</v>
      </c>
      <c r="E44" s="77">
        <v>2.4</v>
      </c>
      <c r="F44" s="81">
        <f>SUM(E44*12/1000)</f>
        <v>2.8799999999999996E-2</v>
      </c>
      <c r="G44" s="81">
        <v>260.2</v>
      </c>
      <c r="H44" s="74">
        <f t="shared" si="3"/>
        <v>7.4937599999999986E-3</v>
      </c>
      <c r="I44" s="13">
        <f>F44/6*G44</f>
        <v>1.2489599999999998</v>
      </c>
    </row>
    <row r="45" spans="1:9">
      <c r="A45" s="186" t="s">
        <v>122</v>
      </c>
      <c r="B45" s="187"/>
      <c r="C45" s="187"/>
      <c r="D45" s="187"/>
      <c r="E45" s="187"/>
      <c r="F45" s="187"/>
      <c r="G45" s="187"/>
      <c r="H45" s="187"/>
      <c r="I45" s="188"/>
    </row>
    <row r="46" spans="1:9">
      <c r="A46" s="27">
        <v>9</v>
      </c>
      <c r="B46" s="70" t="s">
        <v>119</v>
      </c>
      <c r="C46" s="71" t="s">
        <v>84</v>
      </c>
      <c r="D46" s="70" t="s">
        <v>157</v>
      </c>
      <c r="E46" s="72">
        <v>1080</v>
      </c>
      <c r="F46" s="73">
        <f>SUM(E46*2/1000)</f>
        <v>2.16</v>
      </c>
      <c r="G46" s="31">
        <v>1172.4100000000001</v>
      </c>
      <c r="H46" s="74">
        <f t="shared" ref="H46:H54" si="5">SUM(F46*G46/1000)</f>
        <v>2.5324056000000006</v>
      </c>
      <c r="I46" s="13">
        <f t="shared" ref="I46:I49" si="6">F46/2*G46</f>
        <v>1266.2028000000003</v>
      </c>
    </row>
    <row r="47" spans="1:9">
      <c r="A47" s="27">
        <v>10</v>
      </c>
      <c r="B47" s="70" t="s">
        <v>34</v>
      </c>
      <c r="C47" s="71" t="s">
        <v>84</v>
      </c>
      <c r="D47" s="70" t="s">
        <v>157</v>
      </c>
      <c r="E47" s="72">
        <v>39</v>
      </c>
      <c r="F47" s="73">
        <f>SUM(E47*2/1000)</f>
        <v>7.8E-2</v>
      </c>
      <c r="G47" s="31">
        <v>4419.05</v>
      </c>
      <c r="H47" s="74">
        <f t="shared" si="5"/>
        <v>0.34468589999999999</v>
      </c>
      <c r="I47" s="13">
        <f t="shared" si="6"/>
        <v>172.34295</v>
      </c>
    </row>
    <row r="48" spans="1:9">
      <c r="A48" s="27">
        <v>11</v>
      </c>
      <c r="B48" s="70" t="s">
        <v>35</v>
      </c>
      <c r="C48" s="71" t="s">
        <v>84</v>
      </c>
      <c r="D48" s="70" t="s">
        <v>163</v>
      </c>
      <c r="E48" s="72">
        <v>1037</v>
      </c>
      <c r="F48" s="73">
        <f>SUM(E48*2/1000)</f>
        <v>2.0739999999999998</v>
      </c>
      <c r="G48" s="31">
        <v>1803.69</v>
      </c>
      <c r="H48" s="74">
        <f t="shared" si="5"/>
        <v>3.7408530600000001</v>
      </c>
      <c r="I48" s="13">
        <f t="shared" si="6"/>
        <v>1870.42653</v>
      </c>
    </row>
    <row r="49" spans="1:9">
      <c r="A49" s="27">
        <v>12</v>
      </c>
      <c r="B49" s="70" t="s">
        <v>36</v>
      </c>
      <c r="C49" s="71" t="s">
        <v>84</v>
      </c>
      <c r="D49" s="70" t="s">
        <v>157</v>
      </c>
      <c r="E49" s="72">
        <v>2274</v>
      </c>
      <c r="F49" s="73">
        <f>SUM(E49*2/1000)</f>
        <v>4.548</v>
      </c>
      <c r="G49" s="31">
        <v>1243.43</v>
      </c>
      <c r="H49" s="74">
        <f t="shared" si="5"/>
        <v>5.6551196399999997</v>
      </c>
      <c r="I49" s="13">
        <f t="shared" si="6"/>
        <v>2827.5598199999999</v>
      </c>
    </row>
    <row r="50" spans="1:9">
      <c r="A50" s="27">
        <v>13</v>
      </c>
      <c r="B50" s="70" t="s">
        <v>33</v>
      </c>
      <c r="C50" s="71" t="s">
        <v>52</v>
      </c>
      <c r="D50" s="70" t="s">
        <v>157</v>
      </c>
      <c r="E50" s="72">
        <v>83.04</v>
      </c>
      <c r="F50" s="73">
        <v>1.66</v>
      </c>
      <c r="G50" s="31">
        <v>1352.76</v>
      </c>
      <c r="H50" s="74">
        <f>SUM(F50*G50/1000)</f>
        <v>2.2455816</v>
      </c>
      <c r="I50" s="13">
        <f>F50/2*G50</f>
        <v>1122.7908</v>
      </c>
    </row>
    <row r="51" spans="1:9">
      <c r="A51" s="27">
        <v>14</v>
      </c>
      <c r="B51" s="70" t="s">
        <v>55</v>
      </c>
      <c r="C51" s="71" t="s">
        <v>84</v>
      </c>
      <c r="D51" s="70" t="s">
        <v>157</v>
      </c>
      <c r="E51" s="72">
        <v>2626.5</v>
      </c>
      <c r="F51" s="73">
        <f>SUM(E51*5/1000)</f>
        <v>13.1325</v>
      </c>
      <c r="G51" s="31">
        <v>1803.69</v>
      </c>
      <c r="H51" s="74">
        <f t="shared" ref="H51:H53" si="7">SUM(F51*G51/1000)</f>
        <v>23.686958925000003</v>
      </c>
      <c r="I51" s="13">
        <f>F51/5*G51</f>
        <v>4737.3917849999998</v>
      </c>
    </row>
    <row r="52" spans="1:9" ht="30">
      <c r="A52" s="27">
        <v>15</v>
      </c>
      <c r="B52" s="70" t="s">
        <v>86</v>
      </c>
      <c r="C52" s="71" t="s">
        <v>84</v>
      </c>
      <c r="D52" s="70" t="s">
        <v>157</v>
      </c>
      <c r="E52" s="72">
        <v>2626.5</v>
      </c>
      <c r="F52" s="73">
        <f>SUM(E52*2/1000)</f>
        <v>5.2530000000000001</v>
      </c>
      <c r="G52" s="31">
        <v>1591.6</v>
      </c>
      <c r="H52" s="74">
        <f t="shared" si="7"/>
        <v>8.3606747999999982</v>
      </c>
      <c r="I52" s="13">
        <f>F52/2*G52</f>
        <v>4180.3373999999994</v>
      </c>
    </row>
    <row r="53" spans="1:9" ht="30">
      <c r="A53" s="27">
        <v>16</v>
      </c>
      <c r="B53" s="70" t="s">
        <v>87</v>
      </c>
      <c r="C53" s="71" t="s">
        <v>37</v>
      </c>
      <c r="D53" s="70" t="s">
        <v>157</v>
      </c>
      <c r="E53" s="72">
        <v>15</v>
      </c>
      <c r="F53" s="73">
        <f>SUM(E53*2/100)</f>
        <v>0.3</v>
      </c>
      <c r="G53" s="31">
        <v>4058.32</v>
      </c>
      <c r="H53" s="74">
        <f t="shared" si="7"/>
        <v>1.2174960000000001</v>
      </c>
      <c r="I53" s="13">
        <f t="shared" ref="I53:I54" si="8">F53/2*G53</f>
        <v>608.74800000000005</v>
      </c>
    </row>
    <row r="54" spans="1:9">
      <c r="A54" s="27">
        <v>17</v>
      </c>
      <c r="B54" s="70" t="s">
        <v>38</v>
      </c>
      <c r="C54" s="71" t="s">
        <v>39</v>
      </c>
      <c r="D54" s="70" t="s">
        <v>157</v>
      </c>
      <c r="E54" s="72">
        <v>1</v>
      </c>
      <c r="F54" s="73">
        <v>0.02</v>
      </c>
      <c r="G54" s="31">
        <v>7412.92</v>
      </c>
      <c r="H54" s="74">
        <f t="shared" si="5"/>
        <v>0.14825839999999998</v>
      </c>
      <c r="I54" s="13">
        <f t="shared" si="8"/>
        <v>74.129199999999997</v>
      </c>
    </row>
    <row r="55" spans="1:9" ht="17.25" customHeight="1">
      <c r="A55" s="27">
        <v>18</v>
      </c>
      <c r="B55" s="70" t="s">
        <v>40</v>
      </c>
      <c r="C55" s="71" t="s">
        <v>101</v>
      </c>
      <c r="D55" s="151">
        <v>44347</v>
      </c>
      <c r="E55" s="72">
        <v>90</v>
      </c>
      <c r="F55" s="73">
        <f>SUM(E55)*3</f>
        <v>270</v>
      </c>
      <c r="G55" s="69">
        <v>86.15</v>
      </c>
      <c r="H55" s="74">
        <f>SUM(F55*G55/1000)</f>
        <v>23.2605</v>
      </c>
      <c r="I55" s="13">
        <f>F55/3*G55</f>
        <v>7753.5000000000009</v>
      </c>
    </row>
    <row r="56" spans="1:9">
      <c r="A56" s="186" t="s">
        <v>123</v>
      </c>
      <c r="B56" s="187"/>
      <c r="C56" s="187"/>
      <c r="D56" s="187"/>
      <c r="E56" s="187"/>
      <c r="F56" s="187"/>
      <c r="G56" s="187"/>
      <c r="H56" s="187"/>
      <c r="I56" s="188"/>
    </row>
    <row r="57" spans="1:9" hidden="1">
      <c r="A57" s="27"/>
      <c r="B57" s="101" t="s">
        <v>42</v>
      </c>
      <c r="C57" s="71"/>
      <c r="D57" s="70"/>
      <c r="E57" s="72"/>
      <c r="F57" s="73"/>
      <c r="G57" s="73"/>
      <c r="H57" s="74"/>
      <c r="I57" s="13"/>
    </row>
    <row r="58" spans="1:9" ht="30" hidden="1">
      <c r="A58" s="27">
        <v>15</v>
      </c>
      <c r="B58" s="70" t="s">
        <v>154</v>
      </c>
      <c r="C58" s="71" t="s">
        <v>82</v>
      </c>
      <c r="D58" s="70" t="s">
        <v>102</v>
      </c>
      <c r="E58" s="72">
        <v>111</v>
      </c>
      <c r="F58" s="73">
        <f>SUM(E58*6/100)</f>
        <v>6.66</v>
      </c>
      <c r="G58" s="31">
        <v>2029.3</v>
      </c>
      <c r="H58" s="74">
        <f>SUM(F58*G58/1000)</f>
        <v>13.515138</v>
      </c>
      <c r="I58" s="13">
        <f>G58*0.76</f>
        <v>1542.268</v>
      </c>
    </row>
    <row r="59" spans="1:9" hidden="1">
      <c r="A59" s="27">
        <v>16</v>
      </c>
      <c r="B59" s="70" t="s">
        <v>153</v>
      </c>
      <c r="C59" s="71" t="s">
        <v>142</v>
      </c>
      <c r="D59" s="70" t="s">
        <v>65</v>
      </c>
      <c r="E59" s="72"/>
      <c r="F59" s="73">
        <v>3</v>
      </c>
      <c r="G59" s="31">
        <v>1582.05</v>
      </c>
      <c r="H59" s="74">
        <f>SUM(F59*G59/1000)</f>
        <v>4.7461499999999992</v>
      </c>
      <c r="I59" s="13">
        <f>G59*2</f>
        <v>3164.1</v>
      </c>
    </row>
    <row r="60" spans="1:9">
      <c r="A60" s="27"/>
      <c r="B60" s="102" t="s">
        <v>43</v>
      </c>
      <c r="C60" s="82"/>
      <c r="D60" s="83"/>
      <c r="E60" s="84"/>
      <c r="F60" s="85"/>
      <c r="G60" s="31"/>
      <c r="H60" s="86"/>
      <c r="I60" s="13"/>
    </row>
    <row r="61" spans="1:9" hidden="1">
      <c r="A61" s="27"/>
      <c r="B61" s="83" t="s">
        <v>44</v>
      </c>
      <c r="C61" s="82" t="s">
        <v>52</v>
      </c>
      <c r="D61" s="83" t="s">
        <v>53</v>
      </c>
      <c r="E61" s="84">
        <v>130</v>
      </c>
      <c r="F61" s="85">
        <f>E61/100</f>
        <v>1.3</v>
      </c>
      <c r="G61" s="31">
        <v>1040.8399999999999</v>
      </c>
      <c r="H61" s="86">
        <f>F61*G61/1000</f>
        <v>1.353092</v>
      </c>
      <c r="I61" s="13">
        <v>0</v>
      </c>
    </row>
    <row r="62" spans="1:9">
      <c r="A62" s="27">
        <v>19</v>
      </c>
      <c r="B62" s="83" t="s">
        <v>115</v>
      </c>
      <c r="C62" s="82" t="s">
        <v>25</v>
      </c>
      <c r="D62" s="83" t="s">
        <v>156</v>
      </c>
      <c r="E62" s="84">
        <v>130</v>
      </c>
      <c r="F62" s="87">
        <f>E62*12</f>
        <v>1560</v>
      </c>
      <c r="G62" s="88">
        <v>1.4</v>
      </c>
      <c r="H62" s="85">
        <f>F62*G62/1000</f>
        <v>2.1840000000000002</v>
      </c>
      <c r="I62" s="13">
        <f t="shared" ref="I62" si="9">F62/12*G62</f>
        <v>182</v>
      </c>
    </row>
    <row r="63" spans="1:9" hidden="1">
      <c r="A63" s="27"/>
      <c r="B63" s="103" t="s">
        <v>45</v>
      </c>
      <c r="C63" s="82"/>
      <c r="D63" s="83"/>
      <c r="E63" s="84"/>
      <c r="F63" s="87"/>
      <c r="G63" s="87"/>
      <c r="H63" s="85" t="s">
        <v>128</v>
      </c>
      <c r="I63" s="13"/>
    </row>
    <row r="64" spans="1:9" hidden="1">
      <c r="A64" s="27"/>
      <c r="B64" s="89" t="s">
        <v>46</v>
      </c>
      <c r="C64" s="90" t="s">
        <v>101</v>
      </c>
      <c r="D64" s="70" t="s">
        <v>65</v>
      </c>
      <c r="E64" s="15">
        <v>9</v>
      </c>
      <c r="F64" s="69">
        <f>SUM(E64)</f>
        <v>9</v>
      </c>
      <c r="G64" s="31">
        <v>291.68</v>
      </c>
      <c r="H64" s="63">
        <f t="shared" ref="H64:H82" si="10">SUM(F64*G64/1000)</f>
        <v>2.6251199999999999</v>
      </c>
      <c r="I64" s="13">
        <v>0</v>
      </c>
    </row>
    <row r="65" spans="1:9" hidden="1">
      <c r="A65" s="27"/>
      <c r="B65" s="89" t="s">
        <v>47</v>
      </c>
      <c r="C65" s="90" t="s">
        <v>101</v>
      </c>
      <c r="D65" s="70" t="s">
        <v>65</v>
      </c>
      <c r="E65" s="15">
        <v>4</v>
      </c>
      <c r="F65" s="69">
        <f>SUM(E65)</f>
        <v>4</v>
      </c>
      <c r="G65" s="31">
        <v>100.01</v>
      </c>
      <c r="H65" s="63">
        <f t="shared" si="10"/>
        <v>0.40004000000000001</v>
      </c>
      <c r="I65" s="13">
        <v>0</v>
      </c>
    </row>
    <row r="66" spans="1:9" hidden="1">
      <c r="A66" s="27">
        <v>23</v>
      </c>
      <c r="B66" s="89" t="s">
        <v>48</v>
      </c>
      <c r="C66" s="91" t="s">
        <v>103</v>
      </c>
      <c r="D66" s="33" t="s">
        <v>156</v>
      </c>
      <c r="E66" s="72">
        <v>13287</v>
      </c>
      <c r="F66" s="69">
        <f>SUM(E66/100)</f>
        <v>132.87</v>
      </c>
      <c r="G66" s="31">
        <v>278.24</v>
      </c>
      <c r="H66" s="63">
        <f t="shared" si="10"/>
        <v>36.969748799999998</v>
      </c>
      <c r="I66" s="13">
        <f>132.87*G66</f>
        <v>36969.748800000001</v>
      </c>
    </row>
    <row r="67" spans="1:9" hidden="1">
      <c r="A67" s="27">
        <v>24</v>
      </c>
      <c r="B67" s="89" t="s">
        <v>49</v>
      </c>
      <c r="C67" s="90" t="s">
        <v>104</v>
      </c>
      <c r="D67" s="33" t="s">
        <v>156</v>
      </c>
      <c r="E67" s="72">
        <v>13287</v>
      </c>
      <c r="F67" s="31">
        <f>SUM(E67/1000)</f>
        <v>13.287000000000001</v>
      </c>
      <c r="G67" s="31">
        <v>216.68</v>
      </c>
      <c r="H67" s="63">
        <f t="shared" si="10"/>
        <v>2.8790271600000001</v>
      </c>
      <c r="I67" s="13">
        <f>13.287*G67</f>
        <v>2879.0271600000001</v>
      </c>
    </row>
    <row r="68" spans="1:9" hidden="1">
      <c r="A68" s="27">
        <v>25</v>
      </c>
      <c r="B68" s="89" t="s">
        <v>50</v>
      </c>
      <c r="C68" s="90" t="s">
        <v>74</v>
      </c>
      <c r="D68" s="33" t="s">
        <v>156</v>
      </c>
      <c r="E68" s="72">
        <v>2110</v>
      </c>
      <c r="F68" s="31">
        <f>SUM(E68/100)</f>
        <v>21.1</v>
      </c>
      <c r="G68" s="31">
        <v>2720.94</v>
      </c>
      <c r="H68" s="63">
        <f>SUM(F68*G68/1000)</f>
        <v>57.411834000000006</v>
      </c>
      <c r="I68" s="13">
        <f>21.1*G68</f>
        <v>57411.834000000003</v>
      </c>
    </row>
    <row r="69" spans="1:9" hidden="1">
      <c r="A69" s="27">
        <v>26</v>
      </c>
      <c r="B69" s="92" t="s">
        <v>105</v>
      </c>
      <c r="C69" s="90" t="s">
        <v>32</v>
      </c>
      <c r="D69" s="33"/>
      <c r="E69" s="72">
        <v>8.6</v>
      </c>
      <c r="F69" s="31">
        <f>SUM(E69)</f>
        <v>8.6</v>
      </c>
      <c r="G69" s="31">
        <v>42.61</v>
      </c>
      <c r="H69" s="63">
        <f t="shared" si="10"/>
        <v>0.36644599999999999</v>
      </c>
      <c r="I69" s="13">
        <f>8.6*G69</f>
        <v>366.44599999999997</v>
      </c>
    </row>
    <row r="70" spans="1:9" hidden="1">
      <c r="A70" s="27">
        <v>27</v>
      </c>
      <c r="B70" s="92" t="s">
        <v>106</v>
      </c>
      <c r="C70" s="90" t="s">
        <v>32</v>
      </c>
      <c r="D70" s="33"/>
      <c r="E70" s="72">
        <v>8.6</v>
      </c>
      <c r="F70" s="31">
        <f>SUM(E70)</f>
        <v>8.6</v>
      </c>
      <c r="G70" s="31">
        <v>46.04</v>
      </c>
      <c r="H70" s="63">
        <f t="shared" si="10"/>
        <v>0.39594399999999996</v>
      </c>
      <c r="I70" s="13">
        <f>8.6*G70</f>
        <v>395.94399999999996</v>
      </c>
    </row>
    <row r="71" spans="1:9" hidden="1">
      <c r="A71" s="27"/>
      <c r="B71" s="33" t="s">
        <v>56</v>
      </c>
      <c r="C71" s="90" t="s">
        <v>57</v>
      </c>
      <c r="D71" s="33" t="s">
        <v>53</v>
      </c>
      <c r="E71" s="15">
        <v>3</v>
      </c>
      <c r="F71" s="31">
        <f>SUM(E71)</f>
        <v>3</v>
      </c>
      <c r="G71" s="31">
        <v>65.42</v>
      </c>
      <c r="H71" s="63">
        <f t="shared" si="10"/>
        <v>0.19625999999999999</v>
      </c>
      <c r="I71" s="13">
        <f>3*G71</f>
        <v>196.26</v>
      </c>
    </row>
    <row r="72" spans="1:9">
      <c r="A72" s="27"/>
      <c r="B72" s="104" t="s">
        <v>70</v>
      </c>
      <c r="C72" s="90"/>
      <c r="D72" s="33"/>
      <c r="E72" s="15"/>
      <c r="F72" s="31"/>
      <c r="G72" s="31"/>
      <c r="H72" s="63" t="s">
        <v>128</v>
      </c>
      <c r="I72" s="13"/>
    </row>
    <row r="73" spans="1:9" ht="30" hidden="1">
      <c r="A73" s="27"/>
      <c r="B73" s="33" t="s">
        <v>143</v>
      </c>
      <c r="C73" s="90" t="s">
        <v>101</v>
      </c>
      <c r="D73" s="70" t="s">
        <v>65</v>
      </c>
      <c r="E73" s="15">
        <v>1</v>
      </c>
      <c r="F73" s="31">
        <v>1</v>
      </c>
      <c r="G73" s="31">
        <v>1543.4</v>
      </c>
      <c r="H73" s="63">
        <f t="shared" ref="H73:H75" si="11">SUM(F73*G73/1000)</f>
        <v>1.5434000000000001</v>
      </c>
      <c r="I73" s="13">
        <v>0</v>
      </c>
    </row>
    <row r="74" spans="1:9" hidden="1">
      <c r="A74" s="27">
        <v>17</v>
      </c>
      <c r="B74" s="33" t="s">
        <v>71</v>
      </c>
      <c r="C74" s="90" t="s">
        <v>72</v>
      </c>
      <c r="D74" s="70" t="s">
        <v>65</v>
      </c>
      <c r="E74" s="15">
        <v>3</v>
      </c>
      <c r="F74" s="31">
        <f>E74/10</f>
        <v>0.3</v>
      </c>
      <c r="G74" s="31">
        <v>657.87</v>
      </c>
      <c r="H74" s="63">
        <f t="shared" si="11"/>
        <v>0.19736099999999998</v>
      </c>
      <c r="I74" s="13">
        <f>G74*0.9</f>
        <v>592.08299999999997</v>
      </c>
    </row>
    <row r="75" spans="1:9" hidden="1">
      <c r="A75" s="27"/>
      <c r="B75" s="33" t="s">
        <v>144</v>
      </c>
      <c r="C75" s="90" t="s">
        <v>101</v>
      </c>
      <c r="D75" s="70" t="s">
        <v>65</v>
      </c>
      <c r="E75" s="15">
        <v>2</v>
      </c>
      <c r="F75" s="73">
        <f>SUM(E75)</f>
        <v>2</v>
      </c>
      <c r="G75" s="31">
        <v>1118.72</v>
      </c>
      <c r="H75" s="63">
        <f t="shared" si="11"/>
        <v>2.2374399999999999</v>
      </c>
      <c r="I75" s="13">
        <v>0</v>
      </c>
    </row>
    <row r="76" spans="1:9" hidden="1">
      <c r="A76" s="27"/>
      <c r="B76" s="44" t="s">
        <v>145</v>
      </c>
      <c r="C76" s="45" t="s">
        <v>101</v>
      </c>
      <c r="D76" s="70" t="s">
        <v>65</v>
      </c>
      <c r="E76" s="15">
        <v>1</v>
      </c>
      <c r="F76" s="88">
        <v>1</v>
      </c>
      <c r="G76" s="31">
        <v>1605.83</v>
      </c>
      <c r="H76" s="63">
        <f>SUM(F76*G76/1000)</f>
        <v>1.6058299999999999</v>
      </c>
      <c r="I76" s="13">
        <v>0</v>
      </c>
    </row>
    <row r="77" spans="1:9" ht="30">
      <c r="A77" s="27">
        <v>20</v>
      </c>
      <c r="B77" s="44" t="s">
        <v>146</v>
      </c>
      <c r="C77" s="45" t="s">
        <v>101</v>
      </c>
      <c r="D77" s="33" t="s">
        <v>156</v>
      </c>
      <c r="E77" s="93">
        <v>2</v>
      </c>
      <c r="F77" s="87">
        <f>E77*12</f>
        <v>24</v>
      </c>
      <c r="G77" s="94">
        <v>53.42</v>
      </c>
      <c r="H77" s="63">
        <f t="shared" ref="H77:H78" si="12">SUM(F77*G77/1000)</f>
        <v>1.2820799999999999</v>
      </c>
      <c r="I77" s="13">
        <f t="shared" ref="I77:I80" si="13">F77/12*G77</f>
        <v>106.84</v>
      </c>
    </row>
    <row r="78" spans="1:9">
      <c r="A78" s="27">
        <v>21</v>
      </c>
      <c r="B78" s="52" t="s">
        <v>147</v>
      </c>
      <c r="C78" s="90"/>
      <c r="D78" s="33" t="s">
        <v>156</v>
      </c>
      <c r="E78" s="15">
        <v>1</v>
      </c>
      <c r="F78" s="31">
        <v>12</v>
      </c>
      <c r="G78" s="31">
        <v>1194</v>
      </c>
      <c r="H78" s="63">
        <f t="shared" si="12"/>
        <v>14.327999999999999</v>
      </c>
      <c r="I78" s="13">
        <f t="shared" si="13"/>
        <v>1194</v>
      </c>
    </row>
    <row r="79" spans="1:9">
      <c r="A79" s="27"/>
      <c r="B79" s="105" t="s">
        <v>148</v>
      </c>
      <c r="C79" s="45"/>
      <c r="D79" s="33"/>
      <c r="E79" s="15"/>
      <c r="F79" s="31"/>
      <c r="G79" s="31"/>
      <c r="H79" s="63"/>
      <c r="I79" s="13"/>
    </row>
    <row r="80" spans="1:9">
      <c r="A80" s="27">
        <v>22</v>
      </c>
      <c r="B80" s="33" t="s">
        <v>149</v>
      </c>
      <c r="C80" s="95" t="s">
        <v>150</v>
      </c>
      <c r="D80" s="70" t="s">
        <v>157</v>
      </c>
      <c r="E80" s="15">
        <v>2626.5</v>
      </c>
      <c r="F80" s="31">
        <f>SUM(E80*12)</f>
        <v>31518</v>
      </c>
      <c r="G80" s="31">
        <v>2.2799999999999998</v>
      </c>
      <c r="H80" s="63">
        <f t="shared" ref="H80" si="14">SUM(F80*G80/1000)</f>
        <v>71.861039999999988</v>
      </c>
      <c r="I80" s="13">
        <f t="shared" si="13"/>
        <v>5988.4199999999992</v>
      </c>
    </row>
    <row r="81" spans="1:9" hidden="1">
      <c r="A81" s="27"/>
      <c r="B81" s="106" t="s">
        <v>73</v>
      </c>
      <c r="C81" s="90"/>
      <c r="D81" s="33"/>
      <c r="E81" s="15"/>
      <c r="F81" s="31"/>
      <c r="G81" s="31" t="s">
        <v>128</v>
      </c>
      <c r="H81" s="63" t="s">
        <v>128</v>
      </c>
      <c r="I81" s="13"/>
    </row>
    <row r="82" spans="1:9" hidden="1">
      <c r="A82" s="27"/>
      <c r="B82" s="96" t="s">
        <v>120</v>
      </c>
      <c r="C82" s="91" t="s">
        <v>74</v>
      </c>
      <c r="D82" s="89"/>
      <c r="E82" s="97"/>
      <c r="F82" s="69">
        <v>0.5</v>
      </c>
      <c r="G82" s="69">
        <v>3619.09</v>
      </c>
      <c r="H82" s="63">
        <f t="shared" si="10"/>
        <v>1.8095450000000002</v>
      </c>
      <c r="I82" s="13"/>
    </row>
    <row r="83" spans="1:9" ht="28.5" hidden="1">
      <c r="A83" s="27"/>
      <c r="B83" s="57" t="s">
        <v>88</v>
      </c>
      <c r="C83" s="13"/>
      <c r="D83" s="13"/>
      <c r="E83" s="13"/>
      <c r="F83" s="13"/>
      <c r="G83" s="13"/>
      <c r="H83" s="13"/>
      <c r="I83" s="13"/>
    </row>
    <row r="84" spans="1:9" hidden="1">
      <c r="A84" s="27"/>
      <c r="B84" s="70" t="s">
        <v>107</v>
      </c>
      <c r="C84" s="98"/>
      <c r="D84" s="99"/>
      <c r="E84" s="100"/>
      <c r="F84" s="32">
        <v>1</v>
      </c>
      <c r="G84" s="32">
        <v>8275.7000000000007</v>
      </c>
      <c r="H84" s="63">
        <f>G84*F84/1000</f>
        <v>8.2757000000000005</v>
      </c>
      <c r="I84" s="13"/>
    </row>
    <row r="85" spans="1:9">
      <c r="A85" s="174" t="s">
        <v>124</v>
      </c>
      <c r="B85" s="175"/>
      <c r="C85" s="175"/>
      <c r="D85" s="175"/>
      <c r="E85" s="175"/>
      <c r="F85" s="175"/>
      <c r="G85" s="175"/>
      <c r="H85" s="175"/>
      <c r="I85" s="176"/>
    </row>
    <row r="86" spans="1:9">
      <c r="A86" s="27">
        <v>23</v>
      </c>
      <c r="B86" s="70" t="s">
        <v>108</v>
      </c>
      <c r="C86" s="90" t="s">
        <v>54</v>
      </c>
      <c r="D86" s="56"/>
      <c r="E86" s="31">
        <v>2626.5</v>
      </c>
      <c r="F86" s="31">
        <f>SUM(E86*12)</f>
        <v>31518</v>
      </c>
      <c r="G86" s="31">
        <v>3.1</v>
      </c>
      <c r="H86" s="63">
        <f>SUM(F86*G86/1000)</f>
        <v>97.705799999999996</v>
      </c>
      <c r="I86" s="13">
        <f t="shared" ref="I86:I87" si="15">F86/12*G86</f>
        <v>8142.1500000000005</v>
      </c>
    </row>
    <row r="87" spans="1:9" ht="30">
      <c r="A87" s="27">
        <v>24</v>
      </c>
      <c r="B87" s="33" t="s">
        <v>75</v>
      </c>
      <c r="C87" s="90"/>
      <c r="D87" s="56"/>
      <c r="E87" s="72">
        <f>E86</f>
        <v>2626.5</v>
      </c>
      <c r="F87" s="31">
        <f>E87*12</f>
        <v>31518</v>
      </c>
      <c r="G87" s="31">
        <v>3.5</v>
      </c>
      <c r="H87" s="63">
        <f>F87*G87/1000</f>
        <v>110.313</v>
      </c>
      <c r="I87" s="13">
        <f t="shared" si="15"/>
        <v>9192.75</v>
      </c>
    </row>
    <row r="88" spans="1:9">
      <c r="A88" s="27"/>
      <c r="B88" s="34" t="s">
        <v>77</v>
      </c>
      <c r="C88" s="54"/>
      <c r="D88" s="53"/>
      <c r="E88" s="50"/>
      <c r="F88" s="50"/>
      <c r="G88" s="50"/>
      <c r="H88" s="55">
        <f>H78</f>
        <v>14.327999999999999</v>
      </c>
      <c r="I88" s="50">
        <f>I87+I86+I80+I78+I77+I62+I55+I54+I53+I52+I51+I50+I49+I48+I47+I46+I33+I32+I31+I30+I20+I18+I17+I16</f>
        <v>63685.666719999994</v>
      </c>
    </row>
    <row r="89" spans="1:9">
      <c r="A89" s="163" t="s">
        <v>59</v>
      </c>
      <c r="B89" s="164"/>
      <c r="C89" s="164"/>
      <c r="D89" s="164"/>
      <c r="E89" s="164"/>
      <c r="F89" s="164"/>
      <c r="G89" s="164"/>
      <c r="H89" s="164"/>
      <c r="I89" s="165"/>
    </row>
    <row r="90" spans="1:9">
      <c r="A90" s="27">
        <v>25</v>
      </c>
      <c r="B90" s="44" t="s">
        <v>216</v>
      </c>
      <c r="C90" s="45" t="s">
        <v>130</v>
      </c>
      <c r="D90" s="152" t="s">
        <v>258</v>
      </c>
      <c r="E90" s="31"/>
      <c r="F90" s="31">
        <v>1</v>
      </c>
      <c r="G90" s="31">
        <v>187.71</v>
      </c>
      <c r="H90" s="51"/>
      <c r="I90" s="13">
        <f>G90*1</f>
        <v>187.71</v>
      </c>
    </row>
    <row r="91" spans="1:9" ht="30">
      <c r="A91" s="27">
        <v>26</v>
      </c>
      <c r="B91" s="107" t="s">
        <v>256</v>
      </c>
      <c r="C91" s="95" t="s">
        <v>257</v>
      </c>
      <c r="D91" s="152" t="s">
        <v>211</v>
      </c>
      <c r="E91" s="31"/>
      <c r="F91" s="31">
        <v>1</v>
      </c>
      <c r="G91" s="31">
        <v>477.25</v>
      </c>
      <c r="H91" s="63"/>
      <c r="I91" s="13">
        <f>G91*1</f>
        <v>477.25</v>
      </c>
    </row>
    <row r="92" spans="1:9">
      <c r="A92" s="27">
        <v>27</v>
      </c>
      <c r="B92" s="44" t="s">
        <v>206</v>
      </c>
      <c r="C92" s="45" t="s">
        <v>39</v>
      </c>
      <c r="D92" s="152" t="s">
        <v>158</v>
      </c>
      <c r="E92" s="31"/>
      <c r="F92" s="31">
        <v>0.02</v>
      </c>
      <c r="G92" s="31">
        <v>28224.75</v>
      </c>
      <c r="H92" s="63"/>
      <c r="I92" s="13">
        <v>0</v>
      </c>
    </row>
    <row r="93" spans="1:9">
      <c r="A93" s="27">
        <v>28</v>
      </c>
      <c r="B93" s="44" t="s">
        <v>259</v>
      </c>
      <c r="C93" s="45" t="s">
        <v>29</v>
      </c>
      <c r="D93" s="152"/>
      <c r="E93" s="31"/>
      <c r="F93" s="31">
        <v>0.72</v>
      </c>
      <c r="G93" s="31">
        <v>241.69</v>
      </c>
      <c r="H93" s="63"/>
      <c r="I93" s="13">
        <f>G93*0.72</f>
        <v>174.01679999999999</v>
      </c>
    </row>
    <row r="94" spans="1:9" ht="30">
      <c r="A94" s="27">
        <v>29</v>
      </c>
      <c r="B94" s="44" t="s">
        <v>197</v>
      </c>
      <c r="C94" s="45" t="s">
        <v>185</v>
      </c>
      <c r="D94" s="152" t="s">
        <v>275</v>
      </c>
      <c r="E94" s="31"/>
      <c r="F94" s="31">
        <v>8</v>
      </c>
      <c r="G94" s="31">
        <v>1584.54</v>
      </c>
      <c r="H94" s="63"/>
      <c r="I94" s="13">
        <f>G94*1</f>
        <v>1584.54</v>
      </c>
    </row>
    <row r="95" spans="1:9">
      <c r="A95" s="27"/>
      <c r="B95" s="39" t="s">
        <v>51</v>
      </c>
      <c r="C95" s="35"/>
      <c r="D95" s="42"/>
      <c r="E95" s="35">
        <v>1</v>
      </c>
      <c r="F95" s="35"/>
      <c r="G95" s="35"/>
      <c r="H95" s="35"/>
      <c r="I95" s="29">
        <f>SUM(I90:I94)</f>
        <v>2423.5167999999999</v>
      </c>
    </row>
    <row r="96" spans="1:9">
      <c r="A96" s="27"/>
      <c r="B96" s="41" t="s">
        <v>76</v>
      </c>
      <c r="C96" s="14"/>
      <c r="D96" s="14"/>
      <c r="E96" s="36"/>
      <c r="F96" s="36"/>
      <c r="G96" s="37"/>
      <c r="H96" s="37"/>
      <c r="I96" s="15">
        <v>0</v>
      </c>
    </row>
    <row r="97" spans="1:9">
      <c r="A97" s="43"/>
      <c r="B97" s="40" t="s">
        <v>134</v>
      </c>
      <c r="C97" s="30"/>
      <c r="D97" s="30"/>
      <c r="E97" s="30"/>
      <c r="F97" s="30"/>
      <c r="G97" s="30"/>
      <c r="H97" s="30"/>
      <c r="I97" s="38">
        <f>I88+I95</f>
        <v>66109.183519999991</v>
      </c>
    </row>
    <row r="98" spans="1:9" ht="15.75">
      <c r="A98" s="166" t="s">
        <v>276</v>
      </c>
      <c r="B98" s="166"/>
      <c r="C98" s="166"/>
      <c r="D98" s="166"/>
      <c r="E98" s="166"/>
      <c r="F98" s="166"/>
      <c r="G98" s="166"/>
      <c r="H98" s="166"/>
      <c r="I98" s="166"/>
    </row>
    <row r="99" spans="1:9" ht="15.75">
      <c r="A99" s="46"/>
      <c r="B99" s="167" t="s">
        <v>277</v>
      </c>
      <c r="C99" s="167"/>
      <c r="D99" s="167"/>
      <c r="E99" s="167"/>
      <c r="F99" s="167"/>
      <c r="G99" s="167"/>
      <c r="H99" s="49"/>
      <c r="I99" s="3"/>
    </row>
    <row r="100" spans="1:9">
      <c r="A100" s="120"/>
      <c r="B100" s="168" t="s">
        <v>6</v>
      </c>
      <c r="C100" s="168"/>
      <c r="D100" s="168"/>
      <c r="E100" s="168"/>
      <c r="F100" s="168"/>
      <c r="G100" s="168"/>
      <c r="H100" s="22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169" t="s">
        <v>7</v>
      </c>
      <c r="B102" s="169"/>
      <c r="C102" s="169"/>
      <c r="D102" s="169"/>
      <c r="E102" s="169"/>
      <c r="F102" s="169"/>
      <c r="G102" s="169"/>
      <c r="H102" s="169"/>
      <c r="I102" s="169"/>
    </row>
    <row r="103" spans="1:9" ht="15.75">
      <c r="A103" s="169" t="s">
        <v>8</v>
      </c>
      <c r="B103" s="169"/>
      <c r="C103" s="169"/>
      <c r="D103" s="169"/>
      <c r="E103" s="169"/>
      <c r="F103" s="169"/>
      <c r="G103" s="169"/>
      <c r="H103" s="169"/>
      <c r="I103" s="169"/>
    </row>
    <row r="104" spans="1:9" ht="15.75">
      <c r="A104" s="170" t="s">
        <v>60</v>
      </c>
      <c r="B104" s="170"/>
      <c r="C104" s="170"/>
      <c r="D104" s="170"/>
      <c r="E104" s="170"/>
      <c r="F104" s="170"/>
      <c r="G104" s="170"/>
      <c r="H104" s="170"/>
      <c r="I104" s="170"/>
    </row>
    <row r="105" spans="1:9" ht="15.75">
      <c r="A105" s="11"/>
    </row>
    <row r="106" spans="1:9" ht="15.75">
      <c r="A106" s="171" t="s">
        <v>9</v>
      </c>
      <c r="B106" s="171"/>
      <c r="C106" s="171"/>
      <c r="D106" s="171"/>
      <c r="E106" s="171"/>
      <c r="F106" s="171"/>
      <c r="G106" s="171"/>
      <c r="H106" s="171"/>
      <c r="I106" s="171"/>
    </row>
    <row r="107" spans="1:9" ht="15.75">
      <c r="A107" s="4"/>
    </row>
    <row r="108" spans="1:9" ht="15.75">
      <c r="B108" s="122" t="s">
        <v>10</v>
      </c>
      <c r="C108" s="172" t="s">
        <v>217</v>
      </c>
      <c r="D108" s="172"/>
      <c r="E108" s="172"/>
      <c r="F108" s="47"/>
      <c r="I108" s="123"/>
    </row>
    <row r="109" spans="1:9">
      <c r="A109" s="120"/>
      <c r="C109" s="168" t="s">
        <v>11</v>
      </c>
      <c r="D109" s="168"/>
      <c r="E109" s="168"/>
      <c r="F109" s="22"/>
      <c r="I109" s="121" t="s">
        <v>12</v>
      </c>
    </row>
    <row r="110" spans="1:9" ht="15.75">
      <c r="A110" s="23"/>
      <c r="C110" s="12"/>
      <c r="D110" s="12"/>
      <c r="G110" s="12"/>
      <c r="H110" s="12"/>
    </row>
    <row r="111" spans="1:9" ht="15.75">
      <c r="B111" s="122" t="s">
        <v>13</v>
      </c>
      <c r="C111" s="173"/>
      <c r="D111" s="173"/>
      <c r="E111" s="173"/>
      <c r="F111" s="48"/>
      <c r="I111" s="123"/>
    </row>
    <row r="112" spans="1:9">
      <c r="A112" s="120"/>
      <c r="C112" s="162" t="s">
        <v>11</v>
      </c>
      <c r="D112" s="162"/>
      <c r="E112" s="162"/>
      <c r="F112" s="120"/>
      <c r="I112" s="121" t="s">
        <v>12</v>
      </c>
    </row>
    <row r="113" spans="1:9" ht="15.75">
      <c r="A113" s="4" t="s">
        <v>14</v>
      </c>
    </row>
    <row r="114" spans="1:9">
      <c r="A114" s="189" t="s">
        <v>15</v>
      </c>
      <c r="B114" s="189"/>
      <c r="C114" s="189"/>
      <c r="D114" s="189"/>
      <c r="E114" s="189"/>
      <c r="F114" s="189"/>
      <c r="G114" s="189"/>
      <c r="H114" s="189"/>
      <c r="I114" s="189"/>
    </row>
    <row r="115" spans="1:9" ht="47.25" customHeight="1">
      <c r="A115" s="190" t="s">
        <v>16</v>
      </c>
      <c r="B115" s="190"/>
      <c r="C115" s="190"/>
      <c r="D115" s="190"/>
      <c r="E115" s="190"/>
      <c r="F115" s="190"/>
      <c r="G115" s="190"/>
      <c r="H115" s="190"/>
      <c r="I115" s="190"/>
    </row>
    <row r="116" spans="1:9" ht="39.75" customHeight="1">
      <c r="A116" s="190" t="s">
        <v>17</v>
      </c>
      <c r="B116" s="190"/>
      <c r="C116" s="190"/>
      <c r="D116" s="190"/>
      <c r="E116" s="190"/>
      <c r="F116" s="190"/>
      <c r="G116" s="190"/>
      <c r="H116" s="190"/>
      <c r="I116" s="190"/>
    </row>
    <row r="117" spans="1:9" ht="40.5" customHeight="1">
      <c r="A117" s="190" t="s">
        <v>21</v>
      </c>
      <c r="B117" s="190"/>
      <c r="C117" s="190"/>
      <c r="D117" s="190"/>
      <c r="E117" s="190"/>
      <c r="F117" s="190"/>
      <c r="G117" s="190"/>
      <c r="H117" s="190"/>
      <c r="I117" s="190"/>
    </row>
    <row r="118" spans="1:9" ht="15.75">
      <c r="A118" s="190" t="s">
        <v>20</v>
      </c>
      <c r="B118" s="190"/>
      <c r="C118" s="190"/>
      <c r="D118" s="190"/>
      <c r="E118" s="190"/>
      <c r="F118" s="190"/>
      <c r="G118" s="190"/>
      <c r="H118" s="190"/>
      <c r="I118" s="190"/>
    </row>
  </sheetData>
  <mergeCells count="28"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  <mergeCell ref="A104:I104"/>
    <mergeCell ref="A15:I15"/>
    <mergeCell ref="A28:I28"/>
    <mergeCell ref="A45:I45"/>
    <mergeCell ref="A56:I56"/>
    <mergeCell ref="A85:I85"/>
    <mergeCell ref="A89:I89"/>
    <mergeCell ref="A98:I98"/>
    <mergeCell ref="B99:G99"/>
    <mergeCell ref="B100:G100"/>
    <mergeCell ref="A102:I102"/>
    <mergeCell ref="A103:I103"/>
    <mergeCell ref="A14:I14"/>
    <mergeCell ref="A3:I3"/>
    <mergeCell ref="A4:I4"/>
    <mergeCell ref="A5:I5"/>
    <mergeCell ref="A8:I8"/>
    <mergeCell ref="A10:I10"/>
  </mergeCells>
  <pageMargins left="0.31496062992125984" right="0.31496062992125984" top="0.74803149606299213" bottom="0.74803149606299213" header="0.31496062992125984" footer="0.31496062992125984"/>
  <pageSetup paperSize="9" scale="71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19"/>
  <sheetViews>
    <sheetView view="pageBreakPreview" topLeftCell="A66" zoomScale="60" zoomScaleNormal="100" workbookViewId="0">
      <selection activeCell="G111" sqref="G111"/>
    </sheetView>
  </sheetViews>
  <sheetFormatPr defaultRowHeight="15"/>
  <cols>
    <col min="1" max="1" width="9.28515625" customWidth="1"/>
    <col min="2" max="2" width="50" customWidth="1"/>
    <col min="3" max="3" width="21.140625" customWidth="1"/>
    <col min="4" max="4" width="18.7109375" customWidth="1"/>
    <col min="5" max="5" width="0" hidden="1" customWidth="1"/>
    <col min="6" max="6" width="10.85546875" hidden="1" customWidth="1"/>
    <col min="7" max="7" width="20" customWidth="1"/>
    <col min="8" max="8" width="0" hidden="1" customWidth="1"/>
    <col min="9" max="9" width="22" customWidth="1"/>
  </cols>
  <sheetData>
    <row r="1" spans="1:9" ht="15.75">
      <c r="A1" s="25" t="s">
        <v>178</v>
      </c>
      <c r="I1" s="24"/>
    </row>
    <row r="2" spans="1:9" ht="15.75">
      <c r="A2" s="26" t="s">
        <v>61</v>
      </c>
    </row>
    <row r="3" spans="1:9" ht="15.75">
      <c r="A3" s="179" t="s">
        <v>168</v>
      </c>
      <c r="B3" s="179"/>
      <c r="C3" s="179"/>
      <c r="D3" s="179"/>
      <c r="E3" s="179"/>
      <c r="F3" s="179"/>
      <c r="G3" s="179"/>
      <c r="H3" s="179"/>
      <c r="I3" s="179"/>
    </row>
    <row r="4" spans="1:9" ht="35.25" customHeight="1">
      <c r="A4" s="180" t="s">
        <v>121</v>
      </c>
      <c r="B4" s="180"/>
      <c r="C4" s="180"/>
      <c r="D4" s="180"/>
      <c r="E4" s="180"/>
      <c r="F4" s="180"/>
      <c r="G4" s="180"/>
      <c r="H4" s="180"/>
      <c r="I4" s="180"/>
    </row>
    <row r="5" spans="1:9" ht="15.75">
      <c r="A5" s="179" t="s">
        <v>260</v>
      </c>
      <c r="B5" s="181"/>
      <c r="C5" s="181"/>
      <c r="D5" s="181"/>
      <c r="E5" s="181"/>
      <c r="F5" s="181"/>
      <c r="G5" s="181"/>
      <c r="H5" s="181"/>
      <c r="I5" s="181"/>
    </row>
    <row r="6" spans="1:9" ht="15.75">
      <c r="A6" s="2"/>
      <c r="B6" s="129"/>
      <c r="C6" s="129"/>
      <c r="D6" s="129"/>
      <c r="E6" s="129"/>
      <c r="F6" s="129"/>
      <c r="G6" s="129"/>
      <c r="H6" s="129"/>
      <c r="I6" s="118">
        <v>44377</v>
      </c>
    </row>
    <row r="7" spans="1:9" ht="15.75">
      <c r="B7" s="127"/>
      <c r="C7" s="127"/>
      <c r="D7" s="127"/>
      <c r="E7" s="3"/>
      <c r="F7" s="3"/>
      <c r="G7" s="3"/>
      <c r="H7" s="3"/>
    </row>
    <row r="8" spans="1:9" ht="87.75" customHeight="1">
      <c r="A8" s="182" t="s">
        <v>215</v>
      </c>
      <c r="B8" s="182"/>
      <c r="C8" s="182"/>
      <c r="D8" s="182"/>
      <c r="E8" s="182"/>
      <c r="F8" s="182"/>
      <c r="G8" s="182"/>
      <c r="H8" s="182"/>
      <c r="I8" s="182"/>
    </row>
    <row r="9" spans="1:9" ht="15.75">
      <c r="A9" s="4"/>
    </row>
    <row r="10" spans="1:9" ht="59.25" customHeight="1">
      <c r="A10" s="183" t="s">
        <v>133</v>
      </c>
      <c r="B10" s="183"/>
      <c r="C10" s="183"/>
      <c r="D10" s="183"/>
      <c r="E10" s="183"/>
      <c r="F10" s="183"/>
      <c r="G10" s="183"/>
      <c r="H10" s="183"/>
      <c r="I10" s="183"/>
    </row>
    <row r="11" spans="1:9" ht="15.75">
      <c r="A11" s="4"/>
    </row>
    <row r="12" spans="1:9" ht="65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84" t="s">
        <v>58</v>
      </c>
      <c r="B14" s="184"/>
      <c r="C14" s="184"/>
      <c r="D14" s="184"/>
      <c r="E14" s="184"/>
      <c r="F14" s="184"/>
      <c r="G14" s="184"/>
      <c r="H14" s="184"/>
      <c r="I14" s="184"/>
    </row>
    <row r="15" spans="1:9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</row>
    <row r="16" spans="1:9" ht="20.25" customHeight="1">
      <c r="A16" s="27">
        <v>1</v>
      </c>
      <c r="B16" s="70" t="s">
        <v>81</v>
      </c>
      <c r="C16" s="71" t="s">
        <v>82</v>
      </c>
      <c r="D16" s="70" t="s">
        <v>164</v>
      </c>
      <c r="E16" s="72">
        <v>49.72</v>
      </c>
      <c r="F16" s="73">
        <f>SUM(E16*156/100)</f>
        <v>77.563199999999995</v>
      </c>
      <c r="G16" s="73">
        <v>230</v>
      </c>
      <c r="H16" s="74">
        <f t="shared" ref="H16:H25" si="0">SUM(F16*G16/1000)</f>
        <v>17.839535999999999</v>
      </c>
      <c r="I16" s="13">
        <f>F16/12*G16</f>
        <v>1486.6279999999999</v>
      </c>
    </row>
    <row r="17" spans="1:9" ht="15.75" customHeight="1">
      <c r="A17" s="27">
        <v>2</v>
      </c>
      <c r="B17" s="70" t="s">
        <v>169</v>
      </c>
      <c r="C17" s="71" t="s">
        <v>82</v>
      </c>
      <c r="D17" s="70" t="s">
        <v>186</v>
      </c>
      <c r="E17" s="72">
        <v>198.88</v>
      </c>
      <c r="F17" s="73">
        <f>SUM(E17*104/100)</f>
        <v>206.83520000000001</v>
      </c>
      <c r="G17" s="73">
        <v>230</v>
      </c>
      <c r="H17" s="74">
        <f t="shared" si="0"/>
        <v>47.572096000000002</v>
      </c>
      <c r="I17" s="13">
        <f>G17*F17/12</f>
        <v>3964.3413333333338</v>
      </c>
    </row>
    <row r="18" spans="1:9" ht="17.25" customHeight="1">
      <c r="A18" s="27">
        <v>3</v>
      </c>
      <c r="B18" s="70" t="s">
        <v>110</v>
      </c>
      <c r="C18" s="71" t="s">
        <v>82</v>
      </c>
      <c r="D18" s="70" t="s">
        <v>158</v>
      </c>
      <c r="E18" s="72">
        <v>248.6</v>
      </c>
      <c r="F18" s="73">
        <f>SUM(E18*24/100)</f>
        <v>59.663999999999994</v>
      </c>
      <c r="G18" s="73">
        <v>661.67</v>
      </c>
      <c r="H18" s="74">
        <f t="shared" si="0"/>
        <v>39.477878879999999</v>
      </c>
      <c r="I18" s="13">
        <f>F18/12*G18</f>
        <v>3289.8232399999993</v>
      </c>
    </row>
    <row r="19" spans="1:9" ht="19.5" customHeight="1">
      <c r="A19" s="27">
        <v>4</v>
      </c>
      <c r="B19" s="70" t="s">
        <v>89</v>
      </c>
      <c r="C19" s="71" t="s">
        <v>90</v>
      </c>
      <c r="D19" s="70" t="s">
        <v>157</v>
      </c>
      <c r="E19" s="72">
        <v>18.48</v>
      </c>
      <c r="F19" s="73">
        <f>SUM(E19/10)</f>
        <v>1.8480000000000001</v>
      </c>
      <c r="G19" s="73">
        <v>223.17</v>
      </c>
      <c r="H19" s="74">
        <f t="shared" si="0"/>
        <v>0.41241815999999998</v>
      </c>
      <c r="I19" s="13">
        <f>1.848*G19</f>
        <v>412.41816</v>
      </c>
    </row>
    <row r="20" spans="1:9" ht="15.75" customHeight="1">
      <c r="A20" s="27">
        <v>5</v>
      </c>
      <c r="B20" s="70" t="s">
        <v>92</v>
      </c>
      <c r="C20" s="71" t="s">
        <v>82</v>
      </c>
      <c r="D20" s="70" t="s">
        <v>162</v>
      </c>
      <c r="E20" s="72">
        <v>10.5</v>
      </c>
      <c r="F20" s="73">
        <f>SUM(E20*12/100)</f>
        <v>1.26</v>
      </c>
      <c r="G20" s="73">
        <v>285.76</v>
      </c>
      <c r="H20" s="74">
        <f t="shared" si="0"/>
        <v>0.36005759999999998</v>
      </c>
      <c r="I20" s="13">
        <f>F20/12*G20</f>
        <v>30.004799999999999</v>
      </c>
    </row>
    <row r="21" spans="1:9" ht="21.75" hidden="1" customHeight="1">
      <c r="A21" s="27">
        <v>6</v>
      </c>
      <c r="B21" s="70" t="s">
        <v>93</v>
      </c>
      <c r="C21" s="71" t="s">
        <v>82</v>
      </c>
      <c r="D21" s="70" t="s">
        <v>157</v>
      </c>
      <c r="E21" s="72">
        <v>3</v>
      </c>
      <c r="F21" s="73">
        <f>SUM(E21*2/100)</f>
        <v>0.06</v>
      </c>
      <c r="G21" s="73">
        <v>283.44</v>
      </c>
      <c r="H21" s="74">
        <f t="shared" si="0"/>
        <v>1.7006399999999998E-2</v>
      </c>
      <c r="I21" s="13">
        <f>0.03*G21</f>
        <v>8.5031999999999996</v>
      </c>
    </row>
    <row r="22" spans="1:9" ht="18.75" hidden="1" customHeight="1">
      <c r="A22" s="27">
        <v>7</v>
      </c>
      <c r="B22" s="70" t="s">
        <v>94</v>
      </c>
      <c r="C22" s="71" t="s">
        <v>52</v>
      </c>
      <c r="D22" s="70" t="s">
        <v>161</v>
      </c>
      <c r="E22" s="72">
        <v>267.75</v>
      </c>
      <c r="F22" s="73">
        <f>SUM(E22/100)</f>
        <v>2.6775000000000002</v>
      </c>
      <c r="G22" s="73">
        <v>353.14</v>
      </c>
      <c r="H22" s="74">
        <f t="shared" si="0"/>
        <v>0.94553235000000002</v>
      </c>
      <c r="I22" s="13">
        <f>2.6775*G22</f>
        <v>945.53235000000006</v>
      </c>
    </row>
    <row r="23" spans="1:9" ht="17.25" hidden="1" customHeight="1">
      <c r="A23" s="27">
        <v>8</v>
      </c>
      <c r="B23" s="70" t="s">
        <v>95</v>
      </c>
      <c r="C23" s="71" t="s">
        <v>52</v>
      </c>
      <c r="D23" s="70" t="s">
        <v>161</v>
      </c>
      <c r="E23" s="75">
        <v>36.229999999999997</v>
      </c>
      <c r="F23" s="73">
        <f>SUM(E23/100)</f>
        <v>0.36229999999999996</v>
      </c>
      <c r="G23" s="73">
        <v>58.08</v>
      </c>
      <c r="H23" s="74">
        <f t="shared" si="0"/>
        <v>2.1042383999999997E-2</v>
      </c>
      <c r="I23" s="13">
        <f>0.3623*G23</f>
        <v>21.042383999999998</v>
      </c>
    </row>
    <row r="24" spans="1:9" ht="16.5" hidden="1" customHeight="1">
      <c r="A24" s="27">
        <v>9</v>
      </c>
      <c r="B24" s="70" t="s">
        <v>96</v>
      </c>
      <c r="C24" s="71" t="s">
        <v>52</v>
      </c>
      <c r="D24" s="70" t="s">
        <v>157</v>
      </c>
      <c r="E24" s="72">
        <v>15</v>
      </c>
      <c r="F24" s="73">
        <f>SUM(E24/100)</f>
        <v>0.15</v>
      </c>
      <c r="G24" s="73">
        <v>511.12</v>
      </c>
      <c r="H24" s="74">
        <f t="shared" si="0"/>
        <v>7.6667999999999986E-2</v>
      </c>
      <c r="I24" s="13">
        <f>0.15*G24</f>
        <v>76.667999999999992</v>
      </c>
    </row>
    <row r="25" spans="1:9" ht="19.5" hidden="1" customHeight="1">
      <c r="A25" s="27">
        <v>10</v>
      </c>
      <c r="B25" s="70" t="s">
        <v>97</v>
      </c>
      <c r="C25" s="71" t="s">
        <v>52</v>
      </c>
      <c r="D25" s="70" t="s">
        <v>156</v>
      </c>
      <c r="E25" s="72">
        <v>6.38</v>
      </c>
      <c r="F25" s="73">
        <f>SUM(E25/100)</f>
        <v>6.3799999999999996E-2</v>
      </c>
      <c r="G25" s="73">
        <v>683.05</v>
      </c>
      <c r="H25" s="74">
        <f t="shared" si="0"/>
        <v>4.3578589999999993E-2</v>
      </c>
      <c r="I25" s="13">
        <f>0.0638*G25</f>
        <v>43.578589999999991</v>
      </c>
    </row>
    <row r="26" spans="1:9" ht="33" hidden="1" customHeight="1">
      <c r="A26" s="27">
        <v>11</v>
      </c>
      <c r="B26" s="70" t="s">
        <v>116</v>
      </c>
      <c r="C26" s="71" t="s">
        <v>52</v>
      </c>
      <c r="D26" s="70" t="s">
        <v>157</v>
      </c>
      <c r="E26" s="72">
        <v>14.25</v>
      </c>
      <c r="F26" s="73">
        <v>0.14000000000000001</v>
      </c>
      <c r="G26" s="73">
        <v>283.44</v>
      </c>
      <c r="H26" s="74">
        <f>G26*F26/1000</f>
        <v>3.9681600000000004E-2</v>
      </c>
      <c r="I26" s="13">
        <f>0.14*G26</f>
        <v>39.681600000000003</v>
      </c>
    </row>
    <row r="27" spans="1:9" ht="13.5" hidden="1" customHeight="1">
      <c r="A27" s="27">
        <v>12</v>
      </c>
      <c r="B27" s="70" t="s">
        <v>195</v>
      </c>
      <c r="C27" s="71" t="s">
        <v>25</v>
      </c>
      <c r="D27" s="70" t="s">
        <v>202</v>
      </c>
      <c r="E27" s="77">
        <v>4.37</v>
      </c>
      <c r="F27" s="73">
        <f>E27*258</f>
        <v>1127.46</v>
      </c>
      <c r="G27" s="73">
        <v>10.39</v>
      </c>
      <c r="H27" s="74">
        <f>SUM(F27*G27/1000)</f>
        <v>11.714309400000001</v>
      </c>
      <c r="I27" s="13">
        <f>G27*F27/12</f>
        <v>976.19245000000012</v>
      </c>
    </row>
    <row r="28" spans="1:9" hidden="1">
      <c r="A28" s="27">
        <v>13</v>
      </c>
      <c r="B28" s="78" t="s">
        <v>23</v>
      </c>
      <c r="C28" s="71" t="s">
        <v>24</v>
      </c>
      <c r="D28" s="78" t="s">
        <v>128</v>
      </c>
      <c r="E28" s="72">
        <v>2626.5</v>
      </c>
      <c r="F28" s="73">
        <f>SUM(E28*12)</f>
        <v>31518</v>
      </c>
      <c r="G28" s="73">
        <v>3.36</v>
      </c>
      <c r="H28" s="74">
        <f>SUM(F28*G28/1000)</f>
        <v>105.90048</v>
      </c>
      <c r="I28" s="13">
        <f t="shared" ref="I28" si="1">F28/12*G28</f>
        <v>8825.0399999999991</v>
      </c>
    </row>
    <row r="29" spans="1:9">
      <c r="A29" s="185" t="s">
        <v>80</v>
      </c>
      <c r="B29" s="185"/>
      <c r="C29" s="185"/>
      <c r="D29" s="185"/>
      <c r="E29" s="185"/>
      <c r="F29" s="185"/>
      <c r="G29" s="185"/>
      <c r="H29" s="185"/>
      <c r="I29" s="185"/>
    </row>
    <row r="30" spans="1:9">
      <c r="A30" s="27"/>
      <c r="B30" s="101" t="s">
        <v>28</v>
      </c>
      <c r="C30" s="71"/>
      <c r="D30" s="70"/>
      <c r="E30" s="72"/>
      <c r="F30" s="73"/>
      <c r="G30" s="73"/>
      <c r="H30" s="74"/>
      <c r="I30" s="13"/>
    </row>
    <row r="31" spans="1:9" ht="15" customHeight="1">
      <c r="A31" s="27">
        <v>6</v>
      </c>
      <c r="B31" s="70" t="s">
        <v>99</v>
      </c>
      <c r="C31" s="71" t="s">
        <v>84</v>
      </c>
      <c r="D31" s="70" t="s">
        <v>186</v>
      </c>
      <c r="E31" s="73">
        <v>665</v>
      </c>
      <c r="F31" s="73">
        <f>SUM(E31*52/1000)</f>
        <v>34.58</v>
      </c>
      <c r="G31" s="73">
        <v>204.44</v>
      </c>
      <c r="H31" s="74">
        <f t="shared" ref="H31:H35" si="2">SUM(F31*G31/1000)</f>
        <v>7.0695351999999989</v>
      </c>
      <c r="I31" s="13">
        <f t="shared" ref="I31:I32" si="3">F31/6*G31</f>
        <v>1178.2558666666666</v>
      </c>
    </row>
    <row r="32" spans="1:9" ht="45" customHeight="1">
      <c r="A32" s="27">
        <v>7</v>
      </c>
      <c r="B32" s="70" t="s">
        <v>112</v>
      </c>
      <c r="C32" s="71" t="s">
        <v>84</v>
      </c>
      <c r="D32" s="70" t="s">
        <v>164</v>
      </c>
      <c r="E32" s="73">
        <v>81.5</v>
      </c>
      <c r="F32" s="73">
        <f>SUM(E32*78/1000)</f>
        <v>6.3570000000000002</v>
      </c>
      <c r="G32" s="73">
        <v>339.21</v>
      </c>
      <c r="H32" s="74">
        <f t="shared" si="2"/>
        <v>2.1563579700000002</v>
      </c>
      <c r="I32" s="13">
        <f t="shared" si="3"/>
        <v>359.39299500000004</v>
      </c>
    </row>
    <row r="33" spans="1:9" ht="16.5" customHeight="1">
      <c r="A33" s="27">
        <v>8</v>
      </c>
      <c r="B33" s="70" t="s">
        <v>111</v>
      </c>
      <c r="C33" s="71" t="s">
        <v>39</v>
      </c>
      <c r="D33" s="70" t="s">
        <v>190</v>
      </c>
      <c r="E33" s="73">
        <v>3</v>
      </c>
      <c r="F33" s="73">
        <f>E33*155/100</f>
        <v>4.6500000000000004</v>
      </c>
      <c r="G33" s="73">
        <v>1707.63</v>
      </c>
      <c r="H33" s="74">
        <f>G33*F33/1000</f>
        <v>7.9404795000000012</v>
      </c>
      <c r="I33" s="13">
        <f>F33/6*G33</f>
        <v>1323.4132500000001</v>
      </c>
    </row>
    <row r="34" spans="1:9" ht="15.75" hidden="1" customHeight="1">
      <c r="A34" s="27"/>
      <c r="B34" s="70" t="s">
        <v>63</v>
      </c>
      <c r="C34" s="71" t="s">
        <v>32</v>
      </c>
      <c r="D34" s="70" t="s">
        <v>65</v>
      </c>
      <c r="E34" s="72"/>
      <c r="F34" s="73">
        <v>1</v>
      </c>
      <c r="G34" s="73">
        <v>250.92</v>
      </c>
      <c r="H34" s="74">
        <f t="shared" si="2"/>
        <v>0.25091999999999998</v>
      </c>
      <c r="I34" s="13">
        <v>0</v>
      </c>
    </row>
    <row r="35" spans="1:9" hidden="1">
      <c r="A35" s="27"/>
      <c r="B35" s="70" t="s">
        <v>64</v>
      </c>
      <c r="C35" s="71" t="s">
        <v>31</v>
      </c>
      <c r="D35" s="70" t="s">
        <v>65</v>
      </c>
      <c r="E35" s="72"/>
      <c r="F35" s="73">
        <v>1</v>
      </c>
      <c r="G35" s="73">
        <v>1490.31</v>
      </c>
      <c r="H35" s="74">
        <f t="shared" si="2"/>
        <v>1.49031</v>
      </c>
      <c r="I35" s="13">
        <v>0</v>
      </c>
    </row>
    <row r="36" spans="1:9" hidden="1">
      <c r="A36" s="27"/>
      <c r="B36" s="101" t="s">
        <v>5</v>
      </c>
      <c r="C36" s="71"/>
      <c r="D36" s="70"/>
      <c r="E36" s="72"/>
      <c r="F36" s="73"/>
      <c r="G36" s="73"/>
      <c r="H36" s="74" t="s">
        <v>128</v>
      </c>
      <c r="I36" s="13"/>
    </row>
    <row r="37" spans="1:9" hidden="1">
      <c r="A37" s="27">
        <v>7</v>
      </c>
      <c r="B37" s="79" t="s">
        <v>26</v>
      </c>
      <c r="C37" s="71" t="s">
        <v>31</v>
      </c>
      <c r="D37" s="70"/>
      <c r="E37" s="72"/>
      <c r="F37" s="73">
        <v>5</v>
      </c>
      <c r="G37" s="73">
        <v>2003</v>
      </c>
      <c r="H37" s="74">
        <f t="shared" ref="H37:H44" si="4">SUM(F37*G37/1000)</f>
        <v>10.015000000000001</v>
      </c>
      <c r="I37" s="13">
        <f t="shared" ref="I37:I41" si="5">F37/6*G37</f>
        <v>1669.1666666666667</v>
      </c>
    </row>
    <row r="38" spans="1:9" ht="30" hidden="1">
      <c r="A38" s="27">
        <v>8</v>
      </c>
      <c r="B38" s="79" t="s">
        <v>100</v>
      </c>
      <c r="C38" s="80" t="s">
        <v>29</v>
      </c>
      <c r="D38" s="70" t="s">
        <v>117</v>
      </c>
      <c r="E38" s="72">
        <v>81.5</v>
      </c>
      <c r="F38" s="81">
        <f>E38*30/1000</f>
        <v>2.4449999999999998</v>
      </c>
      <c r="G38" s="73">
        <v>2757.78</v>
      </c>
      <c r="H38" s="74">
        <f t="shared" si="4"/>
        <v>6.7427720999999998</v>
      </c>
      <c r="I38" s="13">
        <f t="shared" si="5"/>
        <v>1123.7953500000001</v>
      </c>
    </row>
    <row r="39" spans="1:9" ht="30" hidden="1">
      <c r="A39" s="27">
        <v>9</v>
      </c>
      <c r="B39" s="70" t="s">
        <v>66</v>
      </c>
      <c r="C39" s="71" t="s">
        <v>29</v>
      </c>
      <c r="D39" s="70" t="s">
        <v>83</v>
      </c>
      <c r="E39" s="73">
        <v>81.5</v>
      </c>
      <c r="F39" s="81">
        <f>SUM(E39*155/1000)</f>
        <v>12.6325</v>
      </c>
      <c r="G39" s="73">
        <v>460.02</v>
      </c>
      <c r="H39" s="74">
        <f t="shared" si="4"/>
        <v>5.8112026500000002</v>
      </c>
      <c r="I39" s="13">
        <f t="shared" si="5"/>
        <v>968.53377499999999</v>
      </c>
    </row>
    <row r="40" spans="1:9" hidden="1">
      <c r="A40" s="27"/>
      <c r="B40" s="70" t="s">
        <v>113</v>
      </c>
      <c r="C40" s="71" t="s">
        <v>114</v>
      </c>
      <c r="D40" s="70" t="s">
        <v>65</v>
      </c>
      <c r="E40" s="72"/>
      <c r="F40" s="81">
        <v>26</v>
      </c>
      <c r="G40" s="73">
        <v>314</v>
      </c>
      <c r="H40" s="74">
        <f t="shared" si="4"/>
        <v>8.1639999999999997</v>
      </c>
      <c r="I40" s="13">
        <v>0</v>
      </c>
    </row>
    <row r="41" spans="1:9" ht="60" hidden="1">
      <c r="A41" s="27">
        <v>10</v>
      </c>
      <c r="B41" s="70" t="s">
        <v>78</v>
      </c>
      <c r="C41" s="71" t="s">
        <v>84</v>
      </c>
      <c r="D41" s="70" t="s">
        <v>118</v>
      </c>
      <c r="E41" s="73">
        <v>81.5</v>
      </c>
      <c r="F41" s="81">
        <f>SUM(E41*35/1000)</f>
        <v>2.8525</v>
      </c>
      <c r="G41" s="73">
        <v>7611.16</v>
      </c>
      <c r="H41" s="74">
        <f t="shared" si="4"/>
        <v>21.710833900000001</v>
      </c>
      <c r="I41" s="13">
        <f t="shared" si="5"/>
        <v>3618.4723166666663</v>
      </c>
    </row>
    <row r="42" spans="1:9" hidden="1">
      <c r="A42" s="27">
        <v>11</v>
      </c>
      <c r="B42" s="70" t="s">
        <v>85</v>
      </c>
      <c r="C42" s="71" t="s">
        <v>84</v>
      </c>
      <c r="D42" s="70" t="s">
        <v>67</v>
      </c>
      <c r="E42" s="73">
        <v>81.5</v>
      </c>
      <c r="F42" s="81">
        <f>SUM(E42*45/1000)</f>
        <v>3.6675</v>
      </c>
      <c r="G42" s="73">
        <v>562.25</v>
      </c>
      <c r="H42" s="74">
        <f t="shared" si="4"/>
        <v>2.0620518750000003</v>
      </c>
      <c r="I42" s="13">
        <f>(F42/7.5*1.5)*G42</f>
        <v>412.41037500000004</v>
      </c>
    </row>
    <row r="43" spans="1:9" hidden="1">
      <c r="A43" s="27">
        <v>12</v>
      </c>
      <c r="B43" s="79" t="s">
        <v>68</v>
      </c>
      <c r="C43" s="80" t="s">
        <v>32</v>
      </c>
      <c r="D43" s="79"/>
      <c r="E43" s="77"/>
      <c r="F43" s="81">
        <v>0.9</v>
      </c>
      <c r="G43" s="81">
        <v>974.83</v>
      </c>
      <c r="H43" s="74">
        <f t="shared" si="4"/>
        <v>0.8773470000000001</v>
      </c>
      <c r="I43" s="13">
        <f>(F43/7.5*1.5)*G43</f>
        <v>175.46940000000004</v>
      </c>
    </row>
    <row r="44" spans="1:9" ht="30" hidden="1">
      <c r="A44" s="27">
        <v>13</v>
      </c>
      <c r="B44" s="44" t="s">
        <v>139</v>
      </c>
      <c r="C44" s="45" t="s">
        <v>29</v>
      </c>
      <c r="D44" s="79" t="s">
        <v>140</v>
      </c>
      <c r="E44" s="77">
        <v>2.4</v>
      </c>
      <c r="F44" s="81">
        <f>SUM(E44*12/1000)</f>
        <v>2.8799999999999996E-2</v>
      </c>
      <c r="G44" s="81">
        <v>260.2</v>
      </c>
      <c r="H44" s="74">
        <f t="shared" si="4"/>
        <v>7.4937599999999986E-3</v>
      </c>
      <c r="I44" s="13">
        <f>F44/6*G44</f>
        <v>1.2489599999999998</v>
      </c>
    </row>
    <row r="45" spans="1:9" hidden="1">
      <c r="A45" s="186" t="s">
        <v>122</v>
      </c>
      <c r="B45" s="187"/>
      <c r="C45" s="187"/>
      <c r="D45" s="187"/>
      <c r="E45" s="187"/>
      <c r="F45" s="187"/>
      <c r="G45" s="187"/>
      <c r="H45" s="187"/>
      <c r="I45" s="188"/>
    </row>
    <row r="46" spans="1:9" hidden="1">
      <c r="A46" s="27">
        <v>19</v>
      </c>
      <c r="B46" s="70" t="s">
        <v>119</v>
      </c>
      <c r="C46" s="71" t="s">
        <v>84</v>
      </c>
      <c r="D46" s="70" t="s">
        <v>157</v>
      </c>
      <c r="E46" s="72">
        <v>1080</v>
      </c>
      <c r="F46" s="73">
        <f>SUM(E46*2/1000)</f>
        <v>2.16</v>
      </c>
      <c r="G46" s="31">
        <v>1172.4100000000001</v>
      </c>
      <c r="H46" s="74">
        <f t="shared" ref="H46:H54" si="6">SUM(F46*G46/1000)</f>
        <v>2.5324056000000006</v>
      </c>
      <c r="I46" s="13">
        <f t="shared" ref="I46:I49" si="7">F46/2*G46</f>
        <v>1266.2028000000003</v>
      </c>
    </row>
    <row r="47" spans="1:9" hidden="1">
      <c r="A47" s="27">
        <v>20</v>
      </c>
      <c r="B47" s="70" t="s">
        <v>34</v>
      </c>
      <c r="C47" s="71" t="s">
        <v>84</v>
      </c>
      <c r="D47" s="70" t="s">
        <v>157</v>
      </c>
      <c r="E47" s="72">
        <v>39</v>
      </c>
      <c r="F47" s="73">
        <f>SUM(E47*2/1000)</f>
        <v>7.8E-2</v>
      </c>
      <c r="G47" s="31">
        <v>4419.05</v>
      </c>
      <c r="H47" s="74">
        <f t="shared" si="6"/>
        <v>0.34468589999999999</v>
      </c>
      <c r="I47" s="13">
        <f t="shared" si="7"/>
        <v>172.34295</v>
      </c>
    </row>
    <row r="48" spans="1:9" hidden="1">
      <c r="A48" s="27">
        <v>21</v>
      </c>
      <c r="B48" s="70" t="s">
        <v>35</v>
      </c>
      <c r="C48" s="71" t="s">
        <v>84</v>
      </c>
      <c r="D48" s="70" t="s">
        <v>163</v>
      </c>
      <c r="E48" s="72">
        <v>1037</v>
      </c>
      <c r="F48" s="73">
        <f>SUM(E48*2/1000)</f>
        <v>2.0739999999999998</v>
      </c>
      <c r="G48" s="31">
        <v>1803.69</v>
      </c>
      <c r="H48" s="74">
        <f t="shared" si="6"/>
        <v>3.7408530600000001</v>
      </c>
      <c r="I48" s="13">
        <f t="shared" si="7"/>
        <v>1870.42653</v>
      </c>
    </row>
    <row r="49" spans="1:9" hidden="1">
      <c r="A49" s="27">
        <v>22</v>
      </c>
      <c r="B49" s="70" t="s">
        <v>36</v>
      </c>
      <c r="C49" s="71" t="s">
        <v>84</v>
      </c>
      <c r="D49" s="70" t="s">
        <v>157</v>
      </c>
      <c r="E49" s="72">
        <v>2274</v>
      </c>
      <c r="F49" s="73">
        <f>SUM(E49*2/1000)</f>
        <v>4.548</v>
      </c>
      <c r="G49" s="31">
        <v>1243.43</v>
      </c>
      <c r="H49" s="74">
        <f t="shared" si="6"/>
        <v>5.6551196399999997</v>
      </c>
      <c r="I49" s="13">
        <f t="shared" si="7"/>
        <v>2827.5598199999999</v>
      </c>
    </row>
    <row r="50" spans="1:9" hidden="1">
      <c r="A50" s="27">
        <v>23</v>
      </c>
      <c r="B50" s="70" t="s">
        <v>33</v>
      </c>
      <c r="C50" s="71" t="s">
        <v>52</v>
      </c>
      <c r="D50" s="70" t="s">
        <v>157</v>
      </c>
      <c r="E50" s="72">
        <v>83.04</v>
      </c>
      <c r="F50" s="73">
        <v>1.66</v>
      </c>
      <c r="G50" s="31">
        <v>1352.76</v>
      </c>
      <c r="H50" s="74">
        <f>SUM(F50*G50/1000)</f>
        <v>2.2455816</v>
      </c>
      <c r="I50" s="13">
        <f>F50/2*G50</f>
        <v>1122.7908</v>
      </c>
    </row>
    <row r="51" spans="1:9" hidden="1">
      <c r="A51" s="27">
        <v>24</v>
      </c>
      <c r="B51" s="70" t="s">
        <v>167</v>
      </c>
      <c r="C51" s="71" t="s">
        <v>84</v>
      </c>
      <c r="D51" s="70" t="s">
        <v>157</v>
      </c>
      <c r="E51" s="72">
        <v>2626.5</v>
      </c>
      <c r="F51" s="73">
        <f>SUM(E51*5/1000)</f>
        <v>13.1325</v>
      </c>
      <c r="G51" s="31">
        <v>1803.69</v>
      </c>
      <c r="H51" s="74">
        <f t="shared" ref="H51:H53" si="8">SUM(F51*G51/1000)</f>
        <v>23.686958925000003</v>
      </c>
      <c r="I51" s="13">
        <f>F51/5*G51</f>
        <v>4737.3917849999998</v>
      </c>
    </row>
    <row r="52" spans="1:9" ht="45" hidden="1">
      <c r="A52" s="27">
        <v>25</v>
      </c>
      <c r="B52" s="70" t="s">
        <v>86</v>
      </c>
      <c r="C52" s="71" t="s">
        <v>84</v>
      </c>
      <c r="D52" s="70" t="s">
        <v>157</v>
      </c>
      <c r="E52" s="72">
        <v>2626.5</v>
      </c>
      <c r="F52" s="73">
        <f>SUM(E52*2/1000)</f>
        <v>5.2530000000000001</v>
      </c>
      <c r="G52" s="31">
        <v>1591.6</v>
      </c>
      <c r="H52" s="74">
        <f t="shared" si="8"/>
        <v>8.3606747999999982</v>
      </c>
      <c r="I52" s="13">
        <f>F52/2*G52</f>
        <v>4180.3373999999994</v>
      </c>
    </row>
    <row r="53" spans="1:9" ht="30" hidden="1">
      <c r="A53" s="27">
        <v>26</v>
      </c>
      <c r="B53" s="70" t="s">
        <v>87</v>
      </c>
      <c r="C53" s="71" t="s">
        <v>37</v>
      </c>
      <c r="D53" s="70" t="s">
        <v>157</v>
      </c>
      <c r="E53" s="72">
        <v>15</v>
      </c>
      <c r="F53" s="73">
        <f>SUM(E53*2/100)</f>
        <v>0.3</v>
      </c>
      <c r="G53" s="31">
        <v>4058.32</v>
      </c>
      <c r="H53" s="74">
        <f t="shared" si="8"/>
        <v>1.2174960000000001</v>
      </c>
      <c r="I53" s="13">
        <f t="shared" ref="I53:I54" si="9">F53/2*G53</f>
        <v>608.74800000000005</v>
      </c>
    </row>
    <row r="54" spans="1:9" hidden="1">
      <c r="A54" s="27">
        <v>27</v>
      </c>
      <c r="B54" s="70" t="s">
        <v>38</v>
      </c>
      <c r="C54" s="71" t="s">
        <v>39</v>
      </c>
      <c r="D54" s="70" t="s">
        <v>157</v>
      </c>
      <c r="E54" s="72">
        <v>1</v>
      </c>
      <c r="F54" s="73">
        <v>0.02</v>
      </c>
      <c r="G54" s="31">
        <v>7412.92</v>
      </c>
      <c r="H54" s="74">
        <f t="shared" si="6"/>
        <v>0.14825839999999998</v>
      </c>
      <c r="I54" s="13">
        <f t="shared" si="9"/>
        <v>74.129199999999997</v>
      </c>
    </row>
    <row r="55" spans="1:9" hidden="1">
      <c r="A55" s="27">
        <v>14</v>
      </c>
      <c r="B55" s="70" t="s">
        <v>40</v>
      </c>
      <c r="C55" s="71" t="s">
        <v>101</v>
      </c>
      <c r="D55" s="70" t="s">
        <v>69</v>
      </c>
      <c r="E55" s="72">
        <v>90</v>
      </c>
      <c r="F55" s="73">
        <f>SUM(E55)*3</f>
        <v>270</v>
      </c>
      <c r="G55" s="69">
        <v>86.15</v>
      </c>
      <c r="H55" s="74">
        <f>SUM(F55*G55/1000)</f>
        <v>23.2605</v>
      </c>
      <c r="I55" s="13">
        <f>F55/3*G55</f>
        <v>7753.5000000000009</v>
      </c>
    </row>
    <row r="56" spans="1:9">
      <c r="A56" s="186" t="s">
        <v>126</v>
      </c>
      <c r="B56" s="187"/>
      <c r="C56" s="187"/>
      <c r="D56" s="187"/>
      <c r="E56" s="187"/>
      <c r="F56" s="187"/>
      <c r="G56" s="187"/>
      <c r="H56" s="187"/>
      <c r="I56" s="188"/>
    </row>
    <row r="57" spans="1:9" hidden="1">
      <c r="A57" s="27"/>
      <c r="B57" s="101" t="s">
        <v>42</v>
      </c>
      <c r="C57" s="71"/>
      <c r="D57" s="70"/>
      <c r="E57" s="72"/>
      <c r="F57" s="73"/>
      <c r="G57" s="73"/>
      <c r="H57" s="74"/>
      <c r="I57" s="13"/>
    </row>
    <row r="58" spans="1:9" ht="45" hidden="1">
      <c r="A58" s="27">
        <v>15</v>
      </c>
      <c r="B58" s="70" t="s">
        <v>154</v>
      </c>
      <c r="C58" s="71" t="s">
        <v>82</v>
      </c>
      <c r="D58" s="70" t="s">
        <v>102</v>
      </c>
      <c r="E58" s="72">
        <v>111</v>
      </c>
      <c r="F58" s="73">
        <f>SUM(E58*6/100)</f>
        <v>6.66</v>
      </c>
      <c r="G58" s="31">
        <v>2029.3</v>
      </c>
      <c r="H58" s="74">
        <f>SUM(F58*G58/1000)</f>
        <v>13.515138</v>
      </c>
      <c r="I58" s="13">
        <f>G58*0.76</f>
        <v>1542.268</v>
      </c>
    </row>
    <row r="59" spans="1:9" hidden="1">
      <c r="A59" s="27">
        <v>16</v>
      </c>
      <c r="B59" s="70" t="s">
        <v>153</v>
      </c>
      <c r="C59" s="71" t="s">
        <v>142</v>
      </c>
      <c r="D59" s="70" t="s">
        <v>65</v>
      </c>
      <c r="E59" s="72"/>
      <c r="F59" s="73">
        <v>3</v>
      </c>
      <c r="G59" s="31">
        <v>1582.05</v>
      </c>
      <c r="H59" s="74">
        <f>SUM(F59*G59/1000)</f>
        <v>4.7461499999999992</v>
      </c>
      <c r="I59" s="13">
        <f>G59*2</f>
        <v>3164.1</v>
      </c>
    </row>
    <row r="60" spans="1:9" ht="23.25" customHeight="1">
      <c r="A60" s="27"/>
      <c r="B60" s="102" t="s">
        <v>43</v>
      </c>
      <c r="C60" s="82"/>
      <c r="D60" s="83"/>
      <c r="E60" s="84"/>
      <c r="F60" s="85"/>
      <c r="G60" s="31"/>
      <c r="H60" s="86"/>
      <c r="I60" s="13"/>
    </row>
    <row r="61" spans="1:9" hidden="1">
      <c r="A61" s="27"/>
      <c r="B61" s="83" t="s">
        <v>44</v>
      </c>
      <c r="C61" s="82" t="s">
        <v>52</v>
      </c>
      <c r="D61" s="83" t="s">
        <v>53</v>
      </c>
      <c r="E61" s="84">
        <v>130</v>
      </c>
      <c r="F61" s="85">
        <f>E61/100</f>
        <v>1.3</v>
      </c>
      <c r="G61" s="31">
        <v>1040.8399999999999</v>
      </c>
      <c r="H61" s="86">
        <f>F61*G61/1000</f>
        <v>1.353092</v>
      </c>
      <c r="I61" s="13">
        <v>0</v>
      </c>
    </row>
    <row r="62" spans="1:9" ht="15.75" customHeight="1">
      <c r="A62" s="27">
        <v>9</v>
      </c>
      <c r="B62" s="83" t="s">
        <v>115</v>
      </c>
      <c r="C62" s="82" t="s">
        <v>25</v>
      </c>
      <c r="D62" s="83" t="s">
        <v>156</v>
      </c>
      <c r="E62" s="84">
        <v>130</v>
      </c>
      <c r="F62" s="87">
        <f>E62*12</f>
        <v>1560</v>
      </c>
      <c r="G62" s="88">
        <v>1.4</v>
      </c>
      <c r="H62" s="85">
        <f>F62*G62/1000</f>
        <v>2.1840000000000002</v>
      </c>
      <c r="I62" s="13">
        <f t="shared" ref="I62" si="10">F62/12*G62</f>
        <v>182</v>
      </c>
    </row>
    <row r="63" spans="1:9" ht="16.5" customHeight="1">
      <c r="A63" s="27"/>
      <c r="B63" s="103" t="s">
        <v>45</v>
      </c>
      <c r="C63" s="82"/>
      <c r="D63" s="83"/>
      <c r="E63" s="84"/>
      <c r="F63" s="87"/>
      <c r="G63" s="87"/>
      <c r="H63" s="85" t="s">
        <v>128</v>
      </c>
      <c r="I63" s="13"/>
    </row>
    <row r="64" spans="1:9" ht="18.75" hidden="1" customHeight="1">
      <c r="A64" s="27">
        <v>19</v>
      </c>
      <c r="B64" s="89" t="s">
        <v>46</v>
      </c>
      <c r="C64" s="90" t="s">
        <v>101</v>
      </c>
      <c r="D64" s="70" t="s">
        <v>65</v>
      </c>
      <c r="E64" s="15">
        <v>9</v>
      </c>
      <c r="F64" s="69">
        <f>SUM(E64)</f>
        <v>9</v>
      </c>
      <c r="G64" s="31">
        <v>291.68</v>
      </c>
      <c r="H64" s="63">
        <f t="shared" ref="H64:H82" si="11">SUM(F64*G64/1000)</f>
        <v>2.6251199999999999</v>
      </c>
      <c r="I64" s="13">
        <f>G64*2</f>
        <v>583.36</v>
      </c>
    </row>
    <row r="65" spans="1:9" hidden="1">
      <c r="A65" s="27"/>
      <c r="B65" s="89" t="s">
        <v>47</v>
      </c>
      <c r="C65" s="90" t="s">
        <v>101</v>
      </c>
      <c r="D65" s="70" t="s">
        <v>65</v>
      </c>
      <c r="E65" s="15">
        <v>4</v>
      </c>
      <c r="F65" s="69">
        <f>SUM(E65)</f>
        <v>4</v>
      </c>
      <c r="G65" s="31">
        <v>100.01</v>
      </c>
      <c r="H65" s="63">
        <f t="shared" si="11"/>
        <v>0.40004000000000001</v>
      </c>
      <c r="I65" s="13">
        <v>0</v>
      </c>
    </row>
    <row r="66" spans="1:9">
      <c r="A66" s="27">
        <v>10</v>
      </c>
      <c r="B66" s="89" t="s">
        <v>48</v>
      </c>
      <c r="C66" s="91" t="s">
        <v>103</v>
      </c>
      <c r="D66" s="33" t="s">
        <v>194</v>
      </c>
      <c r="E66" s="72">
        <v>13287</v>
      </c>
      <c r="F66" s="69">
        <f>SUM(E66/100)</f>
        <v>132.87</v>
      </c>
      <c r="G66" s="31">
        <v>278.24</v>
      </c>
      <c r="H66" s="63">
        <f t="shared" si="11"/>
        <v>36.969748799999998</v>
      </c>
      <c r="I66" s="13">
        <f>132.87*G66</f>
        <v>36969.748800000001</v>
      </c>
    </row>
    <row r="67" spans="1:9">
      <c r="A67" s="27">
        <v>11</v>
      </c>
      <c r="B67" s="89" t="s">
        <v>49</v>
      </c>
      <c r="C67" s="90" t="s">
        <v>104</v>
      </c>
      <c r="D67" s="33" t="s">
        <v>156</v>
      </c>
      <c r="E67" s="72">
        <v>13287</v>
      </c>
      <c r="F67" s="31">
        <f>SUM(E67/1000)</f>
        <v>13.287000000000001</v>
      </c>
      <c r="G67" s="31">
        <v>216.68</v>
      </c>
      <c r="H67" s="63">
        <f t="shared" si="11"/>
        <v>2.8790271600000001</v>
      </c>
      <c r="I67" s="13">
        <f>13.287*G67</f>
        <v>2879.0271600000001</v>
      </c>
    </row>
    <row r="68" spans="1:9">
      <c r="A68" s="27">
        <v>12</v>
      </c>
      <c r="B68" s="89" t="s">
        <v>50</v>
      </c>
      <c r="C68" s="90" t="s">
        <v>74</v>
      </c>
      <c r="D68" s="33" t="s">
        <v>156</v>
      </c>
      <c r="E68" s="72">
        <v>2110</v>
      </c>
      <c r="F68" s="31">
        <f>SUM(E68/100)</f>
        <v>21.1</v>
      </c>
      <c r="G68" s="31">
        <v>2720.94</v>
      </c>
      <c r="H68" s="63">
        <f>SUM(F68*G68/1000)</f>
        <v>57.411834000000006</v>
      </c>
      <c r="I68" s="13">
        <f>21.1*G68</f>
        <v>57411.834000000003</v>
      </c>
    </row>
    <row r="69" spans="1:9">
      <c r="A69" s="27">
        <v>13</v>
      </c>
      <c r="B69" s="92" t="s">
        <v>105</v>
      </c>
      <c r="C69" s="90" t="s">
        <v>32</v>
      </c>
      <c r="D69" s="33"/>
      <c r="E69" s="72">
        <v>8.6</v>
      </c>
      <c r="F69" s="31">
        <f>SUM(E69)</f>
        <v>8.6</v>
      </c>
      <c r="G69" s="31">
        <v>42.61</v>
      </c>
      <c r="H69" s="63">
        <f t="shared" si="11"/>
        <v>0.36644599999999999</v>
      </c>
      <c r="I69" s="13">
        <f>8.6*G69</f>
        <v>366.44599999999997</v>
      </c>
    </row>
    <row r="70" spans="1:9">
      <c r="A70" s="27">
        <v>14</v>
      </c>
      <c r="B70" s="92" t="s">
        <v>106</v>
      </c>
      <c r="C70" s="90" t="s">
        <v>32</v>
      </c>
      <c r="D70" s="33"/>
      <c r="E70" s="72">
        <v>8.6</v>
      </c>
      <c r="F70" s="31">
        <f>SUM(E70)</f>
        <v>8.6</v>
      </c>
      <c r="G70" s="31">
        <v>46.04</v>
      </c>
      <c r="H70" s="63">
        <f t="shared" si="11"/>
        <v>0.39594399999999996</v>
      </c>
      <c r="I70" s="13">
        <f>8.6*G70</f>
        <v>395.94399999999996</v>
      </c>
    </row>
    <row r="71" spans="1:9" ht="17.25" hidden="1" customHeight="1">
      <c r="A71" s="27">
        <v>20</v>
      </c>
      <c r="B71" s="33" t="s">
        <v>56</v>
      </c>
      <c r="C71" s="90" t="s">
        <v>57</v>
      </c>
      <c r="D71" s="33" t="s">
        <v>53</v>
      </c>
      <c r="E71" s="15">
        <v>3</v>
      </c>
      <c r="F71" s="31">
        <f>SUM(E71)</f>
        <v>3</v>
      </c>
      <c r="G71" s="31">
        <v>65.42</v>
      </c>
      <c r="H71" s="63">
        <f t="shared" si="11"/>
        <v>0.19625999999999999</v>
      </c>
      <c r="I71" s="13">
        <f>3*G71</f>
        <v>196.26</v>
      </c>
    </row>
    <row r="72" spans="1:9" ht="16.5" customHeight="1">
      <c r="A72" s="27"/>
      <c r="B72" s="104" t="s">
        <v>70</v>
      </c>
      <c r="C72" s="90"/>
      <c r="D72" s="33"/>
      <c r="E72" s="15"/>
      <c r="F72" s="31"/>
      <c r="G72" s="31"/>
      <c r="H72" s="63" t="s">
        <v>128</v>
      </c>
      <c r="I72" s="13"/>
    </row>
    <row r="73" spans="1:9" ht="30" hidden="1">
      <c r="A73" s="27"/>
      <c r="B73" s="33" t="s">
        <v>143</v>
      </c>
      <c r="C73" s="90" t="s">
        <v>101</v>
      </c>
      <c r="D73" s="70" t="s">
        <v>65</v>
      </c>
      <c r="E73" s="15">
        <v>1</v>
      </c>
      <c r="F73" s="31">
        <v>1</v>
      </c>
      <c r="G73" s="31">
        <v>1543.4</v>
      </c>
      <c r="H73" s="63">
        <f t="shared" ref="H73:H75" si="12">SUM(F73*G73/1000)</f>
        <v>1.5434000000000001</v>
      </c>
      <c r="I73" s="13">
        <v>0</v>
      </c>
    </row>
    <row r="74" spans="1:9" hidden="1">
      <c r="A74" s="27">
        <v>17</v>
      </c>
      <c r="B74" s="33" t="s">
        <v>71</v>
      </c>
      <c r="C74" s="90" t="s">
        <v>72</v>
      </c>
      <c r="D74" s="70" t="s">
        <v>65</v>
      </c>
      <c r="E74" s="15">
        <v>3</v>
      </c>
      <c r="F74" s="31">
        <f>E74/10</f>
        <v>0.3</v>
      </c>
      <c r="G74" s="31">
        <v>657.87</v>
      </c>
      <c r="H74" s="63">
        <f t="shared" si="12"/>
        <v>0.19736099999999998</v>
      </c>
      <c r="I74" s="13">
        <f>G74*0.9</f>
        <v>592.08299999999997</v>
      </c>
    </row>
    <row r="75" spans="1:9" hidden="1">
      <c r="A75" s="27"/>
      <c r="B75" s="33" t="s">
        <v>144</v>
      </c>
      <c r="C75" s="90" t="s">
        <v>101</v>
      </c>
      <c r="D75" s="70" t="s">
        <v>65</v>
      </c>
      <c r="E75" s="15">
        <v>2</v>
      </c>
      <c r="F75" s="73">
        <f>SUM(E75)</f>
        <v>2</v>
      </c>
      <c r="G75" s="31">
        <v>1118.72</v>
      </c>
      <c r="H75" s="63">
        <f t="shared" si="12"/>
        <v>2.2374399999999999</v>
      </c>
      <c r="I75" s="13">
        <v>0</v>
      </c>
    </row>
    <row r="76" spans="1:9" hidden="1">
      <c r="A76" s="27"/>
      <c r="B76" s="44" t="s">
        <v>145</v>
      </c>
      <c r="C76" s="45" t="s">
        <v>101</v>
      </c>
      <c r="D76" s="70" t="s">
        <v>65</v>
      </c>
      <c r="E76" s="15">
        <v>1</v>
      </c>
      <c r="F76" s="88">
        <v>1</v>
      </c>
      <c r="G76" s="31">
        <v>1605.83</v>
      </c>
      <c r="H76" s="63">
        <f>SUM(F76*G76/1000)</f>
        <v>1.6058299999999999</v>
      </c>
      <c r="I76" s="13">
        <v>0</v>
      </c>
    </row>
    <row r="77" spans="1:9" ht="30.75" customHeight="1">
      <c r="A77" s="27">
        <v>15</v>
      </c>
      <c r="B77" s="44" t="s">
        <v>146</v>
      </c>
      <c r="C77" s="45" t="s">
        <v>101</v>
      </c>
      <c r="D77" s="33" t="s">
        <v>156</v>
      </c>
      <c r="E77" s="93">
        <v>2</v>
      </c>
      <c r="F77" s="87">
        <f>E77*12</f>
        <v>24</v>
      </c>
      <c r="G77" s="94">
        <v>53.42</v>
      </c>
      <c r="H77" s="63">
        <f t="shared" ref="H77:H78" si="13">SUM(F77*G77/1000)</f>
        <v>1.2820799999999999</v>
      </c>
      <c r="I77" s="13">
        <f t="shared" ref="I77:I80" si="14">F77/12*G77</f>
        <v>106.84</v>
      </c>
    </row>
    <row r="78" spans="1:9" ht="20.25" customHeight="1">
      <c r="A78" s="27">
        <v>16</v>
      </c>
      <c r="B78" s="52" t="s">
        <v>147</v>
      </c>
      <c r="C78" s="90"/>
      <c r="D78" s="33" t="s">
        <v>156</v>
      </c>
      <c r="E78" s="15">
        <v>1</v>
      </c>
      <c r="F78" s="31">
        <v>12</v>
      </c>
      <c r="G78" s="31">
        <v>1194</v>
      </c>
      <c r="H78" s="63">
        <f t="shared" si="13"/>
        <v>14.327999999999999</v>
      </c>
      <c r="I78" s="13">
        <f t="shared" si="14"/>
        <v>1194</v>
      </c>
    </row>
    <row r="79" spans="1:9" ht="18" customHeight="1">
      <c r="A79" s="27"/>
      <c r="B79" s="105" t="s">
        <v>148</v>
      </c>
      <c r="C79" s="45"/>
      <c r="D79" s="33"/>
      <c r="E79" s="15"/>
      <c r="F79" s="31"/>
      <c r="G79" s="31"/>
      <c r="H79" s="63"/>
      <c r="I79" s="13"/>
    </row>
    <row r="80" spans="1:9" ht="19.5" customHeight="1">
      <c r="A80" s="27">
        <v>17</v>
      </c>
      <c r="B80" s="33" t="s">
        <v>149</v>
      </c>
      <c r="C80" s="95" t="s">
        <v>150</v>
      </c>
      <c r="D80" s="70" t="s">
        <v>157</v>
      </c>
      <c r="E80" s="15">
        <v>2626.5</v>
      </c>
      <c r="F80" s="31">
        <f>SUM(E80*12)</f>
        <v>31518</v>
      </c>
      <c r="G80" s="31">
        <v>2.2799999999999998</v>
      </c>
      <c r="H80" s="63">
        <f t="shared" ref="H80" si="15">SUM(F80*G80/1000)</f>
        <v>71.861039999999988</v>
      </c>
      <c r="I80" s="13">
        <f t="shared" si="14"/>
        <v>5988.4199999999992</v>
      </c>
    </row>
    <row r="81" spans="1:9" hidden="1">
      <c r="A81" s="27"/>
      <c r="B81" s="106" t="s">
        <v>73</v>
      </c>
      <c r="C81" s="90"/>
      <c r="D81" s="33"/>
      <c r="E81" s="15"/>
      <c r="F81" s="31"/>
      <c r="G81" s="31" t="s">
        <v>128</v>
      </c>
      <c r="H81" s="63" t="s">
        <v>128</v>
      </c>
      <c r="I81" s="13"/>
    </row>
    <row r="82" spans="1:9" hidden="1">
      <c r="A82" s="27"/>
      <c r="B82" s="96" t="s">
        <v>120</v>
      </c>
      <c r="C82" s="91" t="s">
        <v>74</v>
      </c>
      <c r="D82" s="89"/>
      <c r="E82" s="97"/>
      <c r="F82" s="69">
        <v>0.5</v>
      </c>
      <c r="G82" s="69">
        <v>3619.09</v>
      </c>
      <c r="H82" s="63">
        <f t="shared" si="11"/>
        <v>1.8095450000000002</v>
      </c>
      <c r="I82" s="13"/>
    </row>
    <row r="83" spans="1:9" ht="28.5" hidden="1">
      <c r="A83" s="27"/>
      <c r="B83" s="57" t="s">
        <v>88</v>
      </c>
      <c r="C83" s="13"/>
      <c r="D83" s="13"/>
      <c r="E83" s="13"/>
      <c r="F83" s="13"/>
      <c r="G83" s="13"/>
      <c r="H83" s="13"/>
      <c r="I83" s="13"/>
    </row>
    <row r="84" spans="1:9" hidden="1">
      <c r="A84" s="27"/>
      <c r="B84" s="70" t="s">
        <v>107</v>
      </c>
      <c r="C84" s="98"/>
      <c r="D84" s="99"/>
      <c r="E84" s="100"/>
      <c r="F84" s="32">
        <v>1</v>
      </c>
      <c r="G84" s="32">
        <v>8275.7000000000007</v>
      </c>
      <c r="H84" s="63">
        <f>G84*F84/1000</f>
        <v>8.2757000000000005</v>
      </c>
      <c r="I84" s="13"/>
    </row>
    <row r="85" spans="1:9">
      <c r="A85" s="174" t="s">
        <v>125</v>
      </c>
      <c r="B85" s="175"/>
      <c r="C85" s="175"/>
      <c r="D85" s="175"/>
      <c r="E85" s="175"/>
      <c r="F85" s="175"/>
      <c r="G85" s="175"/>
      <c r="H85" s="175"/>
      <c r="I85" s="176"/>
    </row>
    <row r="86" spans="1:9" ht="18.75" customHeight="1">
      <c r="A86" s="27">
        <v>18</v>
      </c>
      <c r="B86" s="70" t="s">
        <v>108</v>
      </c>
      <c r="C86" s="90" t="s">
        <v>54</v>
      </c>
      <c r="D86" s="56"/>
      <c r="E86" s="31">
        <v>2626.5</v>
      </c>
      <c r="F86" s="31">
        <f>SUM(E86*12)</f>
        <v>31518</v>
      </c>
      <c r="G86" s="31">
        <v>3.1</v>
      </c>
      <c r="H86" s="63">
        <f>SUM(F86*G86/1000)</f>
        <v>97.705799999999996</v>
      </c>
      <c r="I86" s="13">
        <f t="shared" ref="I86:I87" si="16">F86/12*G86</f>
        <v>8142.1500000000005</v>
      </c>
    </row>
    <row r="87" spans="1:9" ht="29.25" customHeight="1">
      <c r="A87" s="27">
        <v>19</v>
      </c>
      <c r="B87" s="33" t="s">
        <v>75</v>
      </c>
      <c r="C87" s="90"/>
      <c r="D87" s="56"/>
      <c r="E87" s="72">
        <f>E86</f>
        <v>2626.5</v>
      </c>
      <c r="F87" s="31">
        <f>E87*12</f>
        <v>31518</v>
      </c>
      <c r="G87" s="31">
        <v>3.5</v>
      </c>
      <c r="H87" s="63">
        <f>F87*G87/1000</f>
        <v>110.313</v>
      </c>
      <c r="I87" s="13">
        <f t="shared" si="16"/>
        <v>9192.75</v>
      </c>
    </row>
    <row r="88" spans="1:9">
      <c r="A88" s="27"/>
      <c r="B88" s="34" t="s">
        <v>77</v>
      </c>
      <c r="C88" s="54"/>
      <c r="D88" s="53"/>
      <c r="E88" s="50"/>
      <c r="F88" s="50"/>
      <c r="G88" s="50"/>
      <c r="H88" s="55">
        <f>H78</f>
        <v>14.327999999999999</v>
      </c>
      <c r="I88" s="50">
        <f>I87+I86+I80+I78+I77+I70+I69+I68+I67+I66+I62+I33+I32+I31+I20+I19+I18+I17+I16</f>
        <v>134873.43760500001</v>
      </c>
    </row>
    <row r="89" spans="1:9">
      <c r="A89" s="163" t="s">
        <v>59</v>
      </c>
      <c r="B89" s="164"/>
      <c r="C89" s="164"/>
      <c r="D89" s="164"/>
      <c r="E89" s="164"/>
      <c r="F89" s="164"/>
      <c r="G89" s="164"/>
      <c r="H89" s="164"/>
      <c r="I89" s="165"/>
    </row>
    <row r="90" spans="1:9" ht="16.5" customHeight="1">
      <c r="A90" s="27">
        <v>20</v>
      </c>
      <c r="B90" s="44" t="s">
        <v>184</v>
      </c>
      <c r="C90" s="45" t="s">
        <v>185</v>
      </c>
      <c r="D90" s="152" t="s">
        <v>267</v>
      </c>
      <c r="E90" s="31"/>
      <c r="F90" s="31">
        <v>13</v>
      </c>
      <c r="G90" s="31">
        <v>295.36</v>
      </c>
      <c r="H90" s="51"/>
      <c r="I90" s="13">
        <v>0</v>
      </c>
    </row>
    <row r="91" spans="1:9" ht="33" customHeight="1">
      <c r="A91" s="27">
        <v>21</v>
      </c>
      <c r="B91" s="44" t="s">
        <v>259</v>
      </c>
      <c r="C91" s="45" t="s">
        <v>29</v>
      </c>
      <c r="D91" s="152"/>
      <c r="E91" s="31"/>
      <c r="F91" s="31">
        <f>0.72+0.72+0.72</f>
        <v>2.16</v>
      </c>
      <c r="G91" s="31">
        <v>241.69</v>
      </c>
      <c r="H91" s="51"/>
      <c r="I91" s="13">
        <f>G91*1.44</f>
        <v>348.03359999999998</v>
      </c>
    </row>
    <row r="92" spans="1:9" ht="33" customHeight="1">
      <c r="A92" s="27">
        <v>22</v>
      </c>
      <c r="B92" s="44" t="s">
        <v>261</v>
      </c>
      <c r="C92" s="45" t="s">
        <v>130</v>
      </c>
      <c r="D92" s="152" t="s">
        <v>214</v>
      </c>
      <c r="E92" s="31"/>
      <c r="F92" s="31">
        <v>1</v>
      </c>
      <c r="G92" s="31">
        <v>1620.57</v>
      </c>
      <c r="H92" s="51"/>
      <c r="I92" s="13">
        <f>G92*1</f>
        <v>1620.57</v>
      </c>
    </row>
    <row r="93" spans="1:9" ht="33.75" customHeight="1">
      <c r="A93" s="27">
        <v>23</v>
      </c>
      <c r="B93" s="44" t="s">
        <v>197</v>
      </c>
      <c r="C93" s="45" t="s">
        <v>185</v>
      </c>
      <c r="D93" s="152" t="s">
        <v>268</v>
      </c>
      <c r="E93" s="31"/>
      <c r="F93" s="31">
        <v>1</v>
      </c>
      <c r="G93" s="31">
        <v>1584.54</v>
      </c>
      <c r="H93" s="51"/>
      <c r="I93" s="13">
        <f>G93*1</f>
        <v>1584.54</v>
      </c>
    </row>
    <row r="94" spans="1:9" ht="16.5" customHeight="1">
      <c r="A94" s="27">
        <v>24</v>
      </c>
      <c r="B94" s="44" t="s">
        <v>262</v>
      </c>
      <c r="C94" s="156" t="s">
        <v>263</v>
      </c>
      <c r="D94" s="152" t="s">
        <v>266</v>
      </c>
      <c r="E94" s="31"/>
      <c r="F94" s="31">
        <v>1</v>
      </c>
      <c r="G94" s="31">
        <v>165.94</v>
      </c>
      <c r="H94" s="51"/>
      <c r="I94" s="13">
        <f>G94*1</f>
        <v>165.94</v>
      </c>
    </row>
    <row r="95" spans="1:9" ht="17.25" customHeight="1">
      <c r="A95" s="27">
        <v>25</v>
      </c>
      <c r="B95" s="44" t="s">
        <v>264</v>
      </c>
      <c r="C95" s="45" t="s">
        <v>265</v>
      </c>
      <c r="D95" s="152"/>
      <c r="E95" s="31"/>
      <c r="F95" s="31">
        <v>0.2</v>
      </c>
      <c r="G95" s="31">
        <v>371.14</v>
      </c>
      <c r="H95" s="51"/>
      <c r="I95" s="13">
        <f>G95*0.2</f>
        <v>74.227999999999994</v>
      </c>
    </row>
    <row r="96" spans="1:9" ht="15.75" customHeight="1">
      <c r="A96" s="27"/>
      <c r="B96" s="39" t="s">
        <v>51</v>
      </c>
      <c r="C96" s="35"/>
      <c r="D96" s="42"/>
      <c r="E96" s="35">
        <v>1</v>
      </c>
      <c r="F96" s="35"/>
      <c r="G96" s="35"/>
      <c r="H96" s="35"/>
      <c r="I96" s="29">
        <f>SUM(I90:I95)</f>
        <v>3793.3116</v>
      </c>
    </row>
    <row r="97" spans="1:9">
      <c r="A97" s="27"/>
      <c r="B97" s="41" t="s">
        <v>76</v>
      </c>
      <c r="C97" s="14"/>
      <c r="D97" s="14"/>
      <c r="E97" s="36"/>
      <c r="F97" s="36"/>
      <c r="G97" s="37"/>
      <c r="H97" s="37"/>
      <c r="I97" s="15">
        <v>0</v>
      </c>
    </row>
    <row r="98" spans="1:9">
      <c r="A98" s="43"/>
      <c r="B98" s="40" t="s">
        <v>134</v>
      </c>
      <c r="C98" s="30"/>
      <c r="D98" s="30"/>
      <c r="E98" s="30"/>
      <c r="F98" s="30"/>
      <c r="G98" s="30"/>
      <c r="H98" s="30"/>
      <c r="I98" s="38">
        <f>I88+I96</f>
        <v>138666.749205</v>
      </c>
    </row>
    <row r="99" spans="1:9" ht="15.75">
      <c r="A99" s="166" t="s">
        <v>269</v>
      </c>
      <c r="B99" s="166"/>
      <c r="C99" s="166"/>
      <c r="D99" s="166"/>
      <c r="E99" s="166"/>
      <c r="F99" s="166"/>
      <c r="G99" s="166"/>
      <c r="H99" s="166"/>
      <c r="I99" s="166"/>
    </row>
    <row r="100" spans="1:9" ht="15.75">
      <c r="A100" s="46"/>
      <c r="B100" s="167" t="s">
        <v>270</v>
      </c>
      <c r="C100" s="167"/>
      <c r="D100" s="167"/>
      <c r="E100" s="167"/>
      <c r="F100" s="167"/>
      <c r="G100" s="167"/>
      <c r="H100" s="49"/>
      <c r="I100" s="3"/>
    </row>
    <row r="101" spans="1:9">
      <c r="A101" s="125"/>
      <c r="B101" s="168" t="s">
        <v>6</v>
      </c>
      <c r="C101" s="168"/>
      <c r="D101" s="168"/>
      <c r="E101" s="168"/>
      <c r="F101" s="168"/>
      <c r="G101" s="168"/>
      <c r="H101" s="22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169" t="s">
        <v>7</v>
      </c>
      <c r="B103" s="169"/>
      <c r="C103" s="169"/>
      <c r="D103" s="169"/>
      <c r="E103" s="169"/>
      <c r="F103" s="169"/>
      <c r="G103" s="169"/>
      <c r="H103" s="169"/>
      <c r="I103" s="169"/>
    </row>
    <row r="104" spans="1:9" ht="15.75">
      <c r="A104" s="169" t="s">
        <v>8</v>
      </c>
      <c r="B104" s="169"/>
      <c r="C104" s="169"/>
      <c r="D104" s="169"/>
      <c r="E104" s="169"/>
      <c r="F104" s="169"/>
      <c r="G104" s="169"/>
      <c r="H104" s="169"/>
      <c r="I104" s="169"/>
    </row>
    <row r="105" spans="1:9" ht="15.75">
      <c r="A105" s="170" t="s">
        <v>60</v>
      </c>
      <c r="B105" s="170"/>
      <c r="C105" s="170"/>
      <c r="D105" s="170"/>
      <c r="E105" s="170"/>
      <c r="F105" s="170"/>
      <c r="G105" s="170"/>
      <c r="H105" s="170"/>
      <c r="I105" s="170"/>
    </row>
    <row r="106" spans="1:9" ht="15.75">
      <c r="A106" s="11"/>
    </row>
    <row r="107" spans="1:9" ht="15.75">
      <c r="A107" s="171" t="s">
        <v>9</v>
      </c>
      <c r="B107" s="171"/>
      <c r="C107" s="171"/>
      <c r="D107" s="171"/>
      <c r="E107" s="171"/>
      <c r="F107" s="171"/>
      <c r="G107" s="171"/>
      <c r="H107" s="171"/>
      <c r="I107" s="171"/>
    </row>
    <row r="108" spans="1:9" ht="15.75">
      <c r="A108" s="4"/>
    </row>
    <row r="109" spans="1:9" ht="15.75">
      <c r="B109" s="127" t="s">
        <v>10</v>
      </c>
      <c r="C109" s="172" t="s">
        <v>217</v>
      </c>
      <c r="D109" s="172"/>
      <c r="E109" s="172"/>
      <c r="F109" s="47"/>
      <c r="I109" s="128"/>
    </row>
    <row r="110" spans="1:9">
      <c r="A110" s="125"/>
      <c r="C110" s="168" t="s">
        <v>11</v>
      </c>
      <c r="D110" s="168"/>
      <c r="E110" s="168"/>
      <c r="F110" s="22"/>
      <c r="I110" s="126" t="s">
        <v>12</v>
      </c>
    </row>
    <row r="111" spans="1:9" ht="15.75">
      <c r="A111" s="23"/>
      <c r="C111" s="12"/>
      <c r="D111" s="12"/>
      <c r="G111" s="12"/>
      <c r="H111" s="12"/>
    </row>
    <row r="112" spans="1:9" ht="15.75">
      <c r="B112" s="127" t="s">
        <v>13</v>
      </c>
      <c r="C112" s="173"/>
      <c r="D112" s="173"/>
      <c r="E112" s="173"/>
      <c r="F112" s="48"/>
      <c r="I112" s="128"/>
    </row>
    <row r="113" spans="1:9">
      <c r="A113" s="125"/>
      <c r="C113" s="162" t="s">
        <v>11</v>
      </c>
      <c r="D113" s="162"/>
      <c r="E113" s="162"/>
      <c r="F113" s="125"/>
      <c r="I113" s="126" t="s">
        <v>12</v>
      </c>
    </row>
    <row r="114" spans="1:9" ht="15.75">
      <c r="A114" s="4" t="s">
        <v>14</v>
      </c>
    </row>
    <row r="115" spans="1:9">
      <c r="A115" s="189" t="s">
        <v>15</v>
      </c>
      <c r="B115" s="189"/>
      <c r="C115" s="189"/>
      <c r="D115" s="189"/>
      <c r="E115" s="189"/>
      <c r="F115" s="189"/>
      <c r="G115" s="189"/>
      <c r="H115" s="189"/>
      <c r="I115" s="189"/>
    </row>
    <row r="116" spans="1:9" ht="33.75" customHeight="1">
      <c r="A116" s="190" t="s">
        <v>16</v>
      </c>
      <c r="B116" s="190"/>
      <c r="C116" s="190"/>
      <c r="D116" s="190"/>
      <c r="E116" s="190"/>
      <c r="F116" s="190"/>
      <c r="G116" s="190"/>
      <c r="H116" s="190"/>
      <c r="I116" s="190"/>
    </row>
    <row r="117" spans="1:9" ht="31.5" customHeight="1">
      <c r="A117" s="190" t="s">
        <v>17</v>
      </c>
      <c r="B117" s="190"/>
      <c r="C117" s="190"/>
      <c r="D117" s="190"/>
      <c r="E117" s="190"/>
      <c r="F117" s="190"/>
      <c r="G117" s="190"/>
      <c r="H117" s="190"/>
      <c r="I117" s="190"/>
    </row>
    <row r="118" spans="1:9" ht="39" customHeight="1">
      <c r="A118" s="190" t="s">
        <v>21</v>
      </c>
      <c r="B118" s="190"/>
      <c r="C118" s="190"/>
      <c r="D118" s="190"/>
      <c r="E118" s="190"/>
      <c r="F118" s="190"/>
      <c r="G118" s="190"/>
      <c r="H118" s="190"/>
      <c r="I118" s="190"/>
    </row>
    <row r="119" spans="1:9" ht="15.75">
      <c r="A119" s="190" t="s">
        <v>20</v>
      </c>
      <c r="B119" s="190"/>
      <c r="C119" s="190"/>
      <c r="D119" s="190"/>
      <c r="E119" s="190"/>
      <c r="F119" s="190"/>
      <c r="G119" s="190"/>
      <c r="H119" s="190"/>
      <c r="I119" s="190"/>
    </row>
  </sheetData>
  <mergeCells count="28">
    <mergeCell ref="A14:I14"/>
    <mergeCell ref="A3:I3"/>
    <mergeCell ref="A4:I4"/>
    <mergeCell ref="A5:I5"/>
    <mergeCell ref="A8:I8"/>
    <mergeCell ref="A10:I10"/>
    <mergeCell ref="A104:I104"/>
    <mergeCell ref="A15:I15"/>
    <mergeCell ref="A29:I29"/>
    <mergeCell ref="A45:I45"/>
    <mergeCell ref="A56:I56"/>
    <mergeCell ref="A85:I85"/>
    <mergeCell ref="A89:I89"/>
    <mergeCell ref="A99:I99"/>
    <mergeCell ref="B100:G100"/>
    <mergeCell ref="B101:G101"/>
    <mergeCell ref="A103:I103"/>
    <mergeCell ref="A105:I105"/>
    <mergeCell ref="A107:I107"/>
    <mergeCell ref="C109:E109"/>
    <mergeCell ref="C110:E110"/>
    <mergeCell ref="C112:E112"/>
    <mergeCell ref="A119:I119"/>
    <mergeCell ref="C113:E113"/>
    <mergeCell ref="A115:I115"/>
    <mergeCell ref="A116:I116"/>
    <mergeCell ref="A117:I117"/>
    <mergeCell ref="A118:I118"/>
  </mergeCells>
  <pageMargins left="0.70866141732283472" right="0.11811023622047245" top="0.74803149606299213" bottom="0.74803149606299213" header="0.31496062992125984" footer="0.31496062992125984"/>
  <pageSetup paperSize="9" scale="61" orientation="portrait" horizontalDpi="0" verticalDpi="0" r:id="rId1"/>
  <rowBreaks count="1" manualBreakCount="1">
    <brk id="103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121"/>
  <sheetViews>
    <sheetView view="pageBreakPreview" topLeftCell="A80" zoomScale="60" zoomScaleNormal="100" workbookViewId="0">
      <selection activeCell="G90" sqref="G90"/>
    </sheetView>
  </sheetViews>
  <sheetFormatPr defaultRowHeight="15"/>
  <cols>
    <col min="1" max="1" width="9.85546875" customWidth="1"/>
    <col min="2" max="2" width="54" customWidth="1"/>
    <col min="3" max="3" width="15.28515625" customWidth="1"/>
    <col min="4" max="4" width="20.42578125" customWidth="1"/>
    <col min="5" max="6" width="0" hidden="1" customWidth="1"/>
    <col min="7" max="7" width="16.7109375" customWidth="1"/>
    <col min="8" max="8" width="0" hidden="1" customWidth="1"/>
    <col min="9" max="9" width="18.140625" customWidth="1"/>
  </cols>
  <sheetData>
    <row r="1" spans="1:9" ht="15.75">
      <c r="A1" s="25" t="s">
        <v>170</v>
      </c>
      <c r="I1" s="24"/>
    </row>
    <row r="2" spans="1:9" ht="15.75">
      <c r="A2" s="26" t="s">
        <v>61</v>
      </c>
    </row>
    <row r="3" spans="1:9" ht="15.75">
      <c r="A3" s="179" t="s">
        <v>173</v>
      </c>
      <c r="B3" s="179"/>
      <c r="C3" s="179"/>
      <c r="D3" s="179"/>
      <c r="E3" s="179"/>
      <c r="F3" s="179"/>
      <c r="G3" s="179"/>
      <c r="H3" s="179"/>
      <c r="I3" s="179"/>
    </row>
    <row r="4" spans="1:9" ht="31.5" customHeight="1">
      <c r="A4" s="180" t="s">
        <v>121</v>
      </c>
      <c r="B4" s="180"/>
      <c r="C4" s="180"/>
      <c r="D4" s="180"/>
      <c r="E4" s="180"/>
      <c r="F4" s="180"/>
      <c r="G4" s="180"/>
      <c r="H4" s="180"/>
      <c r="I4" s="180"/>
    </row>
    <row r="5" spans="1:9" ht="15.75">
      <c r="A5" s="179" t="s">
        <v>271</v>
      </c>
      <c r="B5" s="181"/>
      <c r="C5" s="181"/>
      <c r="D5" s="181"/>
      <c r="E5" s="181"/>
      <c r="F5" s="181"/>
      <c r="G5" s="181"/>
      <c r="H5" s="181"/>
      <c r="I5" s="181"/>
    </row>
    <row r="6" spans="1:9" ht="15.75">
      <c r="A6" s="2"/>
      <c r="B6" s="134"/>
      <c r="C6" s="134"/>
      <c r="D6" s="134"/>
      <c r="E6" s="134"/>
      <c r="F6" s="134"/>
      <c r="G6" s="134"/>
      <c r="H6" s="134"/>
      <c r="I6" s="118">
        <v>44408</v>
      </c>
    </row>
    <row r="7" spans="1:9" ht="15.75">
      <c r="B7" s="132"/>
      <c r="C7" s="132"/>
      <c r="D7" s="132"/>
      <c r="E7" s="3"/>
      <c r="F7" s="3"/>
      <c r="G7" s="3"/>
      <c r="H7" s="3"/>
    </row>
    <row r="8" spans="1:9" ht="102" customHeight="1">
      <c r="A8" s="182" t="s">
        <v>215</v>
      </c>
      <c r="B8" s="182"/>
      <c r="C8" s="182"/>
      <c r="D8" s="182"/>
      <c r="E8" s="182"/>
      <c r="F8" s="182"/>
      <c r="G8" s="182"/>
      <c r="H8" s="182"/>
      <c r="I8" s="182"/>
    </row>
    <row r="9" spans="1:9" ht="15.75">
      <c r="A9" s="4"/>
    </row>
    <row r="10" spans="1:9" ht="60.75" customHeight="1">
      <c r="A10" s="183" t="s">
        <v>133</v>
      </c>
      <c r="B10" s="183"/>
      <c r="C10" s="183"/>
      <c r="D10" s="183"/>
      <c r="E10" s="183"/>
      <c r="F10" s="183"/>
      <c r="G10" s="183"/>
      <c r="H10" s="183"/>
      <c r="I10" s="183"/>
    </row>
    <row r="11" spans="1:9" ht="15.75">
      <c r="A11" s="4"/>
    </row>
    <row r="12" spans="1:9" ht="66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84" t="s">
        <v>58</v>
      </c>
      <c r="B14" s="184"/>
      <c r="C14" s="184"/>
      <c r="D14" s="184"/>
      <c r="E14" s="184"/>
      <c r="F14" s="184"/>
      <c r="G14" s="184"/>
      <c r="H14" s="184"/>
      <c r="I14" s="184"/>
    </row>
    <row r="15" spans="1:9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</row>
    <row r="16" spans="1:9" ht="17.25" customHeight="1">
      <c r="A16" s="27">
        <v>1</v>
      </c>
      <c r="B16" s="70" t="s">
        <v>183</v>
      </c>
      <c r="C16" s="71" t="s">
        <v>82</v>
      </c>
      <c r="D16" s="70" t="s">
        <v>164</v>
      </c>
      <c r="E16" s="72">
        <v>49.72</v>
      </c>
      <c r="F16" s="73">
        <f>SUM(E16*156/100)</f>
        <v>77.563199999999995</v>
      </c>
      <c r="G16" s="73">
        <v>230</v>
      </c>
      <c r="H16" s="74">
        <f t="shared" ref="H16:H25" si="0">SUM(F16*G16/1000)</f>
        <v>17.839535999999999</v>
      </c>
      <c r="I16" s="13">
        <f>F16/12*G16</f>
        <v>1486.6279999999999</v>
      </c>
    </row>
    <row r="17" spans="1:9" ht="16.5" customHeight="1">
      <c r="A17" s="27">
        <v>2</v>
      </c>
      <c r="B17" s="70" t="s">
        <v>109</v>
      </c>
      <c r="C17" s="71" t="s">
        <v>82</v>
      </c>
      <c r="D17" s="70" t="s">
        <v>186</v>
      </c>
      <c r="E17" s="72">
        <v>198.88</v>
      </c>
      <c r="F17" s="73">
        <f>SUM(E17*104/100)</f>
        <v>206.83520000000001</v>
      </c>
      <c r="G17" s="73">
        <v>230</v>
      </c>
      <c r="H17" s="74">
        <f t="shared" si="0"/>
        <v>47.572096000000002</v>
      </c>
      <c r="I17" s="13">
        <f>G17*F17/12</f>
        <v>3964.3413333333338</v>
      </c>
    </row>
    <row r="18" spans="1:9" ht="15.75" customHeight="1">
      <c r="A18" s="27">
        <v>3</v>
      </c>
      <c r="B18" s="70" t="s">
        <v>110</v>
      </c>
      <c r="C18" s="71" t="s">
        <v>82</v>
      </c>
      <c r="D18" s="70" t="s">
        <v>158</v>
      </c>
      <c r="E18" s="72">
        <v>248.6</v>
      </c>
      <c r="F18" s="73">
        <f>SUM(E18*24/100)</f>
        <v>59.663999999999994</v>
      </c>
      <c r="G18" s="73">
        <v>661.67</v>
      </c>
      <c r="H18" s="74">
        <f t="shared" si="0"/>
        <v>39.477878879999999</v>
      </c>
      <c r="I18" s="13">
        <f>F18/12*G18</f>
        <v>3289.8232399999993</v>
      </c>
    </row>
    <row r="19" spans="1:9" ht="18.75" hidden="1" customHeight="1">
      <c r="A19" s="27">
        <v>4</v>
      </c>
      <c r="B19" s="70" t="s">
        <v>89</v>
      </c>
      <c r="C19" s="71" t="s">
        <v>90</v>
      </c>
      <c r="D19" s="70" t="s">
        <v>91</v>
      </c>
      <c r="E19" s="72">
        <v>18.48</v>
      </c>
      <c r="F19" s="73">
        <f>SUM(E19/10)</f>
        <v>1.8480000000000001</v>
      </c>
      <c r="G19" s="73">
        <v>223.17</v>
      </c>
      <c r="H19" s="74">
        <f t="shared" si="0"/>
        <v>0.41241815999999998</v>
      </c>
      <c r="I19" s="13">
        <f>1.848*G19</f>
        <v>412.41816</v>
      </c>
    </row>
    <row r="20" spans="1:9" ht="15" customHeight="1">
      <c r="A20" s="27">
        <v>4</v>
      </c>
      <c r="B20" s="70" t="s">
        <v>92</v>
      </c>
      <c r="C20" s="71" t="s">
        <v>82</v>
      </c>
      <c r="D20" s="70" t="s">
        <v>162</v>
      </c>
      <c r="E20" s="72">
        <v>10.5</v>
      </c>
      <c r="F20" s="73">
        <f>SUM(E20*12/100)</f>
        <v>1.26</v>
      </c>
      <c r="G20" s="73">
        <v>285.76</v>
      </c>
      <c r="H20" s="74">
        <f t="shared" si="0"/>
        <v>0.36005759999999998</v>
      </c>
      <c r="I20" s="13">
        <f>F20/12*G20</f>
        <v>30.004799999999999</v>
      </c>
    </row>
    <row r="21" spans="1:9">
      <c r="A21" s="27">
        <v>5</v>
      </c>
      <c r="B21" s="70" t="s">
        <v>93</v>
      </c>
      <c r="C21" s="71" t="s">
        <v>82</v>
      </c>
      <c r="D21" s="70" t="s">
        <v>157</v>
      </c>
      <c r="E21" s="72">
        <v>3</v>
      </c>
      <c r="F21" s="73">
        <f>SUM(E21*2/100)</f>
        <v>0.06</v>
      </c>
      <c r="G21" s="73">
        <v>283.44</v>
      </c>
      <c r="H21" s="74">
        <f t="shared" si="0"/>
        <v>1.7006399999999998E-2</v>
      </c>
      <c r="I21" s="13">
        <f>0.03*G21</f>
        <v>8.5031999999999996</v>
      </c>
    </row>
    <row r="22" spans="1:9">
      <c r="A22" s="27">
        <v>6</v>
      </c>
      <c r="B22" s="70" t="s">
        <v>94</v>
      </c>
      <c r="C22" s="71" t="s">
        <v>52</v>
      </c>
      <c r="D22" s="70" t="s">
        <v>162</v>
      </c>
      <c r="E22" s="72">
        <v>267.75</v>
      </c>
      <c r="F22" s="73">
        <f>SUM(E22/100)</f>
        <v>2.6775000000000002</v>
      </c>
      <c r="G22" s="73">
        <v>353.14</v>
      </c>
      <c r="H22" s="74">
        <f t="shared" si="0"/>
        <v>0.94553235000000002</v>
      </c>
      <c r="I22" s="13">
        <f>2.6775*G22</f>
        <v>945.53235000000006</v>
      </c>
    </row>
    <row r="23" spans="1:9">
      <c r="A23" s="27">
        <v>7</v>
      </c>
      <c r="B23" s="70" t="s">
        <v>95</v>
      </c>
      <c r="C23" s="71" t="s">
        <v>52</v>
      </c>
      <c r="D23" s="70" t="s">
        <v>162</v>
      </c>
      <c r="E23" s="75">
        <v>36.229999999999997</v>
      </c>
      <c r="F23" s="73">
        <f>SUM(E23/100)</f>
        <v>0.36229999999999996</v>
      </c>
      <c r="G23" s="73">
        <v>58.08</v>
      </c>
      <c r="H23" s="74">
        <f t="shared" si="0"/>
        <v>2.1042383999999997E-2</v>
      </c>
      <c r="I23" s="13">
        <f>0.3623*G23</f>
        <v>21.042383999999998</v>
      </c>
    </row>
    <row r="24" spans="1:9">
      <c r="A24" s="27">
        <v>8</v>
      </c>
      <c r="B24" s="70" t="s">
        <v>96</v>
      </c>
      <c r="C24" s="71" t="s">
        <v>52</v>
      </c>
      <c r="D24" s="70" t="s">
        <v>156</v>
      </c>
      <c r="E24" s="72">
        <v>15</v>
      </c>
      <c r="F24" s="73">
        <f>SUM(E24/100)</f>
        <v>0.15</v>
      </c>
      <c r="G24" s="73">
        <v>511.12</v>
      </c>
      <c r="H24" s="74">
        <f t="shared" si="0"/>
        <v>7.6667999999999986E-2</v>
      </c>
      <c r="I24" s="13">
        <f>0.15*G24</f>
        <v>76.667999999999992</v>
      </c>
    </row>
    <row r="25" spans="1:9">
      <c r="A25" s="27">
        <v>9</v>
      </c>
      <c r="B25" s="70" t="s">
        <v>97</v>
      </c>
      <c r="C25" s="71" t="s">
        <v>52</v>
      </c>
      <c r="D25" s="70" t="s">
        <v>156</v>
      </c>
      <c r="E25" s="72">
        <v>6.38</v>
      </c>
      <c r="F25" s="73">
        <f>SUM(E25/100)</f>
        <v>6.3799999999999996E-2</v>
      </c>
      <c r="G25" s="73">
        <v>683.05</v>
      </c>
      <c r="H25" s="74">
        <f t="shared" si="0"/>
        <v>4.3578589999999993E-2</v>
      </c>
      <c r="I25" s="13">
        <f>0.0638*G25</f>
        <v>43.578589999999991</v>
      </c>
    </row>
    <row r="26" spans="1:9" ht="30">
      <c r="A26" s="27">
        <v>10</v>
      </c>
      <c r="B26" s="70" t="s">
        <v>116</v>
      </c>
      <c r="C26" s="71" t="s">
        <v>52</v>
      </c>
      <c r="D26" s="70" t="s">
        <v>157</v>
      </c>
      <c r="E26" s="72">
        <v>14.25</v>
      </c>
      <c r="F26" s="73">
        <v>0.14000000000000001</v>
      </c>
      <c r="G26" s="73">
        <v>283.44</v>
      </c>
      <c r="H26" s="74">
        <f>G26*F26/1000</f>
        <v>3.9681600000000004E-2</v>
      </c>
      <c r="I26" s="13">
        <f>0.14*G26</f>
        <v>39.681600000000003</v>
      </c>
    </row>
    <row r="27" spans="1:9" ht="17.25" hidden="1" customHeight="1">
      <c r="A27" s="27">
        <v>5</v>
      </c>
      <c r="B27" s="70" t="s">
        <v>195</v>
      </c>
      <c r="C27" s="71" t="s">
        <v>25</v>
      </c>
      <c r="D27" s="70" t="s">
        <v>202</v>
      </c>
      <c r="E27" s="77">
        <v>4.37</v>
      </c>
      <c r="F27" s="73">
        <f>E27*258</f>
        <v>1127.46</v>
      </c>
      <c r="G27" s="73">
        <v>10.39</v>
      </c>
      <c r="H27" s="74">
        <f>SUM(F27*G27/1000)</f>
        <v>11.714309400000001</v>
      </c>
      <c r="I27" s="13">
        <f>G27*F27/12</f>
        <v>976.19245000000012</v>
      </c>
    </row>
    <row r="28" spans="1:9">
      <c r="A28" s="185" t="s">
        <v>80</v>
      </c>
      <c r="B28" s="185"/>
      <c r="C28" s="185"/>
      <c r="D28" s="185"/>
      <c r="E28" s="185"/>
      <c r="F28" s="185"/>
      <c r="G28" s="185"/>
      <c r="H28" s="185"/>
      <c r="I28" s="185"/>
    </row>
    <row r="29" spans="1:9">
      <c r="A29" s="27"/>
      <c r="B29" s="101" t="s">
        <v>28</v>
      </c>
      <c r="C29" s="71"/>
      <c r="D29" s="70"/>
      <c r="E29" s="72"/>
      <c r="F29" s="73"/>
      <c r="G29" s="73"/>
      <c r="H29" s="74"/>
      <c r="I29" s="13"/>
    </row>
    <row r="30" spans="1:9" ht="16.5" customHeight="1">
      <c r="A30" s="27">
        <v>11</v>
      </c>
      <c r="B30" s="70" t="s">
        <v>99</v>
      </c>
      <c r="C30" s="71" t="s">
        <v>84</v>
      </c>
      <c r="D30" s="70" t="s">
        <v>186</v>
      </c>
      <c r="E30" s="73">
        <v>665</v>
      </c>
      <c r="F30" s="73">
        <f>SUM(E30*52/1000)</f>
        <v>34.58</v>
      </c>
      <c r="G30" s="73">
        <v>204.44</v>
      </c>
      <c r="H30" s="74">
        <f t="shared" ref="H30:H32" si="1">SUM(F30*G30/1000)</f>
        <v>7.0695351999999989</v>
      </c>
      <c r="I30" s="13">
        <f t="shared" ref="I30:I31" si="2">F30/6*G30</f>
        <v>1178.2558666666666</v>
      </c>
    </row>
    <row r="31" spans="1:9" ht="30.75" customHeight="1">
      <c r="A31" s="27">
        <v>12</v>
      </c>
      <c r="B31" s="70" t="s">
        <v>112</v>
      </c>
      <c r="C31" s="71" t="s">
        <v>84</v>
      </c>
      <c r="D31" s="70" t="s">
        <v>164</v>
      </c>
      <c r="E31" s="73">
        <v>81.5</v>
      </c>
      <c r="F31" s="73">
        <f>SUM(E31*78/1000)</f>
        <v>6.3570000000000002</v>
      </c>
      <c r="G31" s="73">
        <v>339.21</v>
      </c>
      <c r="H31" s="74">
        <f t="shared" si="1"/>
        <v>2.1563579700000002</v>
      </c>
      <c r="I31" s="13">
        <f t="shared" si="2"/>
        <v>359.39299500000004</v>
      </c>
    </row>
    <row r="32" spans="1:9" ht="17.25" hidden="1" customHeight="1">
      <c r="A32" s="27">
        <v>9</v>
      </c>
      <c r="B32" s="70" t="s">
        <v>27</v>
      </c>
      <c r="C32" s="71" t="s">
        <v>84</v>
      </c>
      <c r="D32" s="70" t="s">
        <v>157</v>
      </c>
      <c r="E32" s="73">
        <v>665</v>
      </c>
      <c r="F32" s="73">
        <f>SUM(E32/1000)</f>
        <v>0.66500000000000004</v>
      </c>
      <c r="G32" s="73">
        <v>3961.23</v>
      </c>
      <c r="H32" s="74">
        <f t="shared" si="1"/>
        <v>2.63421795</v>
      </c>
      <c r="I32" s="13">
        <f>F32*G32</f>
        <v>2634.2179500000002</v>
      </c>
    </row>
    <row r="33" spans="1:9" ht="19.5" customHeight="1">
      <c r="A33" s="27">
        <v>13</v>
      </c>
      <c r="B33" s="70" t="s">
        <v>111</v>
      </c>
      <c r="C33" s="71" t="s">
        <v>39</v>
      </c>
      <c r="D33" s="70" t="s">
        <v>190</v>
      </c>
      <c r="E33" s="73">
        <v>3</v>
      </c>
      <c r="F33" s="73">
        <f>E33*155/100</f>
        <v>4.6500000000000004</v>
      </c>
      <c r="G33" s="73">
        <v>1707.63</v>
      </c>
      <c r="H33" s="74">
        <f>G33*F33/1000</f>
        <v>7.9404795000000012</v>
      </c>
      <c r="I33" s="13">
        <f>F33/6*G33</f>
        <v>1323.4132500000001</v>
      </c>
    </row>
    <row r="34" spans="1:9" hidden="1">
      <c r="A34" s="27"/>
      <c r="B34" s="70" t="s">
        <v>63</v>
      </c>
      <c r="C34" s="71" t="s">
        <v>32</v>
      </c>
      <c r="D34" s="70" t="s">
        <v>65</v>
      </c>
      <c r="E34" s="72"/>
      <c r="F34" s="73">
        <v>1</v>
      </c>
      <c r="G34" s="73">
        <v>250.92</v>
      </c>
      <c r="H34" s="74">
        <f t="shared" ref="H34:H35" si="3">SUM(F34*G34/1000)</f>
        <v>0.25091999999999998</v>
      </c>
      <c r="I34" s="13">
        <v>0</v>
      </c>
    </row>
    <row r="35" spans="1:9" hidden="1">
      <c r="A35" s="27"/>
      <c r="B35" s="70" t="s">
        <v>64</v>
      </c>
      <c r="C35" s="71" t="s">
        <v>31</v>
      </c>
      <c r="D35" s="70" t="s">
        <v>65</v>
      </c>
      <c r="E35" s="72"/>
      <c r="F35" s="73">
        <v>1</v>
      </c>
      <c r="G35" s="73">
        <v>1490.31</v>
      </c>
      <c r="H35" s="74">
        <f t="shared" si="3"/>
        <v>1.49031</v>
      </c>
      <c r="I35" s="13">
        <v>0</v>
      </c>
    </row>
    <row r="36" spans="1:9" hidden="1">
      <c r="A36" s="27"/>
      <c r="B36" s="101" t="s">
        <v>5</v>
      </c>
      <c r="C36" s="71"/>
      <c r="D36" s="70"/>
      <c r="E36" s="72"/>
      <c r="F36" s="73"/>
      <c r="G36" s="73"/>
      <c r="H36" s="74" t="s">
        <v>128</v>
      </c>
      <c r="I36" s="13"/>
    </row>
    <row r="37" spans="1:9" hidden="1">
      <c r="A37" s="27">
        <v>7</v>
      </c>
      <c r="B37" s="79" t="s">
        <v>26</v>
      </c>
      <c r="C37" s="71" t="s">
        <v>31</v>
      </c>
      <c r="D37" s="70"/>
      <c r="E37" s="72"/>
      <c r="F37" s="73">
        <v>5</v>
      </c>
      <c r="G37" s="73">
        <v>2003</v>
      </c>
      <c r="H37" s="74">
        <f t="shared" ref="H37:H44" si="4">SUM(F37*G37/1000)</f>
        <v>10.015000000000001</v>
      </c>
      <c r="I37" s="13">
        <f t="shared" ref="I37:I41" si="5">F37/6*G37</f>
        <v>1669.1666666666667</v>
      </c>
    </row>
    <row r="38" spans="1:9" ht="30" hidden="1">
      <c r="A38" s="27">
        <v>8</v>
      </c>
      <c r="B38" s="79" t="s">
        <v>100</v>
      </c>
      <c r="C38" s="80" t="s">
        <v>29</v>
      </c>
      <c r="D38" s="70" t="s">
        <v>117</v>
      </c>
      <c r="E38" s="72">
        <v>81.5</v>
      </c>
      <c r="F38" s="81">
        <f>E38*30/1000</f>
        <v>2.4449999999999998</v>
      </c>
      <c r="G38" s="73">
        <v>2757.78</v>
      </c>
      <c r="H38" s="74">
        <f t="shared" si="4"/>
        <v>6.7427720999999998</v>
      </c>
      <c r="I38" s="13">
        <f t="shared" si="5"/>
        <v>1123.7953500000001</v>
      </c>
    </row>
    <row r="39" spans="1:9" ht="30" hidden="1">
      <c r="A39" s="27">
        <v>9</v>
      </c>
      <c r="B39" s="70" t="s">
        <v>66</v>
      </c>
      <c r="C39" s="71" t="s">
        <v>29</v>
      </c>
      <c r="D39" s="70" t="s">
        <v>83</v>
      </c>
      <c r="E39" s="73">
        <v>81.5</v>
      </c>
      <c r="F39" s="81">
        <f>SUM(E39*155/1000)</f>
        <v>12.6325</v>
      </c>
      <c r="G39" s="73">
        <v>460.02</v>
      </c>
      <c r="H39" s="74">
        <f t="shared" si="4"/>
        <v>5.8112026500000002</v>
      </c>
      <c r="I39" s="13">
        <f t="shared" si="5"/>
        <v>968.53377499999999</v>
      </c>
    </row>
    <row r="40" spans="1:9" hidden="1">
      <c r="A40" s="27"/>
      <c r="B40" s="70" t="s">
        <v>113</v>
      </c>
      <c r="C40" s="71" t="s">
        <v>114</v>
      </c>
      <c r="D40" s="70" t="s">
        <v>65</v>
      </c>
      <c r="E40" s="72"/>
      <c r="F40" s="81">
        <v>26</v>
      </c>
      <c r="G40" s="73">
        <v>314</v>
      </c>
      <c r="H40" s="74">
        <f t="shared" si="4"/>
        <v>8.1639999999999997</v>
      </c>
      <c r="I40" s="13">
        <v>0</v>
      </c>
    </row>
    <row r="41" spans="1:9" ht="60" hidden="1">
      <c r="A41" s="27">
        <v>10</v>
      </c>
      <c r="B41" s="70" t="s">
        <v>78</v>
      </c>
      <c r="C41" s="71" t="s">
        <v>84</v>
      </c>
      <c r="D41" s="70" t="s">
        <v>118</v>
      </c>
      <c r="E41" s="73">
        <v>81.5</v>
      </c>
      <c r="F41" s="81">
        <f>SUM(E41*35/1000)</f>
        <v>2.8525</v>
      </c>
      <c r="G41" s="73">
        <v>7611.16</v>
      </c>
      <c r="H41" s="74">
        <f t="shared" si="4"/>
        <v>21.710833900000001</v>
      </c>
      <c r="I41" s="13">
        <f t="shared" si="5"/>
        <v>3618.4723166666663</v>
      </c>
    </row>
    <row r="42" spans="1:9" hidden="1">
      <c r="A42" s="27">
        <v>11</v>
      </c>
      <c r="B42" s="70" t="s">
        <v>85</v>
      </c>
      <c r="C42" s="71" t="s">
        <v>84</v>
      </c>
      <c r="D42" s="70" t="s">
        <v>67</v>
      </c>
      <c r="E42" s="73">
        <v>81.5</v>
      </c>
      <c r="F42" s="81">
        <f>SUM(E42*45/1000)</f>
        <v>3.6675</v>
      </c>
      <c r="G42" s="73">
        <v>562.25</v>
      </c>
      <c r="H42" s="74">
        <f t="shared" si="4"/>
        <v>2.0620518750000003</v>
      </c>
      <c r="I42" s="13">
        <f>(F42/7.5*1.5)*G42</f>
        <v>412.41037500000004</v>
      </c>
    </row>
    <row r="43" spans="1:9" hidden="1">
      <c r="A43" s="27">
        <v>12</v>
      </c>
      <c r="B43" s="79" t="s">
        <v>68</v>
      </c>
      <c r="C43" s="80" t="s">
        <v>32</v>
      </c>
      <c r="D43" s="79"/>
      <c r="E43" s="77"/>
      <c r="F43" s="81">
        <v>0.9</v>
      </c>
      <c r="G43" s="81">
        <v>974.83</v>
      </c>
      <c r="H43" s="74">
        <f t="shared" si="4"/>
        <v>0.8773470000000001</v>
      </c>
      <c r="I43" s="13">
        <f>(F43/7.5*1.5)*G43</f>
        <v>175.46940000000004</v>
      </c>
    </row>
    <row r="44" spans="1:9" ht="30" hidden="1">
      <c r="A44" s="27">
        <v>13</v>
      </c>
      <c r="B44" s="44" t="s">
        <v>139</v>
      </c>
      <c r="C44" s="45" t="s">
        <v>29</v>
      </c>
      <c r="D44" s="79" t="s">
        <v>140</v>
      </c>
      <c r="E44" s="77">
        <v>2.4</v>
      </c>
      <c r="F44" s="81">
        <f>SUM(E44*12/1000)</f>
        <v>2.8799999999999996E-2</v>
      </c>
      <c r="G44" s="81">
        <v>260.2</v>
      </c>
      <c r="H44" s="74">
        <f t="shared" si="4"/>
        <v>7.4937599999999986E-3</v>
      </c>
      <c r="I44" s="13">
        <f>F44/6*G44</f>
        <v>1.2489599999999998</v>
      </c>
    </row>
    <row r="45" spans="1:9" hidden="1">
      <c r="A45" s="186" t="s">
        <v>122</v>
      </c>
      <c r="B45" s="187"/>
      <c r="C45" s="187"/>
      <c r="D45" s="187"/>
      <c r="E45" s="187"/>
      <c r="F45" s="187"/>
      <c r="G45" s="187"/>
      <c r="H45" s="187"/>
      <c r="I45" s="188"/>
    </row>
    <row r="46" spans="1:9" hidden="1">
      <c r="A46" s="27">
        <v>19</v>
      </c>
      <c r="B46" s="70" t="s">
        <v>119</v>
      </c>
      <c r="C46" s="71" t="s">
        <v>84</v>
      </c>
      <c r="D46" s="70" t="s">
        <v>157</v>
      </c>
      <c r="E46" s="72">
        <v>1080</v>
      </c>
      <c r="F46" s="73">
        <f>SUM(E46*2/1000)</f>
        <v>2.16</v>
      </c>
      <c r="G46" s="31">
        <v>1172.4100000000001</v>
      </c>
      <c r="H46" s="74">
        <f t="shared" ref="H46:H54" si="6">SUM(F46*G46/1000)</f>
        <v>2.5324056000000006</v>
      </c>
      <c r="I46" s="13">
        <f t="shared" ref="I46:I49" si="7">F46/2*G46</f>
        <v>1266.2028000000003</v>
      </c>
    </row>
    <row r="47" spans="1:9" hidden="1">
      <c r="A47" s="27">
        <v>20</v>
      </c>
      <c r="B47" s="70" t="s">
        <v>34</v>
      </c>
      <c r="C47" s="71" t="s">
        <v>84</v>
      </c>
      <c r="D47" s="70" t="s">
        <v>157</v>
      </c>
      <c r="E47" s="72">
        <v>39</v>
      </c>
      <c r="F47" s="73">
        <f>SUM(E47*2/1000)</f>
        <v>7.8E-2</v>
      </c>
      <c r="G47" s="31">
        <v>4419.05</v>
      </c>
      <c r="H47" s="74">
        <f t="shared" si="6"/>
        <v>0.34468589999999999</v>
      </c>
      <c r="I47" s="13">
        <f t="shared" si="7"/>
        <v>172.34295</v>
      </c>
    </row>
    <row r="48" spans="1:9" hidden="1">
      <c r="A48" s="27">
        <v>21</v>
      </c>
      <c r="B48" s="70" t="s">
        <v>35</v>
      </c>
      <c r="C48" s="71" t="s">
        <v>84</v>
      </c>
      <c r="D48" s="70" t="s">
        <v>163</v>
      </c>
      <c r="E48" s="72">
        <v>1037</v>
      </c>
      <c r="F48" s="73">
        <f>SUM(E48*2/1000)</f>
        <v>2.0739999999999998</v>
      </c>
      <c r="G48" s="31">
        <v>1803.69</v>
      </c>
      <c r="H48" s="74">
        <f t="shared" si="6"/>
        <v>3.7408530600000001</v>
      </c>
      <c r="I48" s="13">
        <f t="shared" si="7"/>
        <v>1870.42653</v>
      </c>
    </row>
    <row r="49" spans="1:9" hidden="1">
      <c r="A49" s="27">
        <v>22</v>
      </c>
      <c r="B49" s="70" t="s">
        <v>36</v>
      </c>
      <c r="C49" s="71" t="s">
        <v>84</v>
      </c>
      <c r="D49" s="70" t="s">
        <v>157</v>
      </c>
      <c r="E49" s="72">
        <v>2274</v>
      </c>
      <c r="F49" s="73">
        <f>SUM(E49*2/1000)</f>
        <v>4.548</v>
      </c>
      <c r="G49" s="31">
        <v>1243.43</v>
      </c>
      <c r="H49" s="74">
        <f t="shared" si="6"/>
        <v>5.6551196399999997</v>
      </c>
      <c r="I49" s="13">
        <f t="shared" si="7"/>
        <v>2827.5598199999999</v>
      </c>
    </row>
    <row r="50" spans="1:9" hidden="1">
      <c r="A50" s="27">
        <v>23</v>
      </c>
      <c r="B50" s="70" t="s">
        <v>33</v>
      </c>
      <c r="C50" s="71" t="s">
        <v>52</v>
      </c>
      <c r="D50" s="70" t="s">
        <v>157</v>
      </c>
      <c r="E50" s="72">
        <v>83.04</v>
      </c>
      <c r="F50" s="73">
        <v>1.66</v>
      </c>
      <c r="G50" s="31">
        <v>1352.76</v>
      </c>
      <c r="H50" s="74">
        <f>SUM(F50*G50/1000)</f>
        <v>2.2455816</v>
      </c>
      <c r="I50" s="13">
        <f>F50/2*G50</f>
        <v>1122.7908</v>
      </c>
    </row>
    <row r="51" spans="1:9" hidden="1">
      <c r="A51" s="27">
        <v>24</v>
      </c>
      <c r="B51" s="70" t="s">
        <v>167</v>
      </c>
      <c r="C51" s="71" t="s">
        <v>84</v>
      </c>
      <c r="D51" s="70" t="s">
        <v>157</v>
      </c>
      <c r="E51" s="72">
        <v>2626.5</v>
      </c>
      <c r="F51" s="73">
        <f>SUM(E51*5/1000)</f>
        <v>13.1325</v>
      </c>
      <c r="G51" s="31">
        <v>1803.69</v>
      </c>
      <c r="H51" s="74">
        <f t="shared" ref="H51:H53" si="8">SUM(F51*G51/1000)</f>
        <v>23.686958925000003</v>
      </c>
      <c r="I51" s="13">
        <f>F51/5*G51</f>
        <v>4737.3917849999998</v>
      </c>
    </row>
    <row r="52" spans="1:9" ht="45" hidden="1">
      <c r="A52" s="27">
        <v>25</v>
      </c>
      <c r="B52" s="70" t="s">
        <v>86</v>
      </c>
      <c r="C52" s="71" t="s">
        <v>84</v>
      </c>
      <c r="D52" s="70" t="s">
        <v>157</v>
      </c>
      <c r="E52" s="72">
        <v>2626.5</v>
      </c>
      <c r="F52" s="73">
        <f>SUM(E52*2/1000)</f>
        <v>5.2530000000000001</v>
      </c>
      <c r="G52" s="31">
        <v>1591.6</v>
      </c>
      <c r="H52" s="74">
        <f t="shared" si="8"/>
        <v>8.3606747999999982</v>
      </c>
      <c r="I52" s="13">
        <f>F52/2*G52</f>
        <v>4180.3373999999994</v>
      </c>
    </row>
    <row r="53" spans="1:9" ht="30" hidden="1">
      <c r="A53" s="27">
        <v>26</v>
      </c>
      <c r="B53" s="70" t="s">
        <v>87</v>
      </c>
      <c r="C53" s="71" t="s">
        <v>37</v>
      </c>
      <c r="D53" s="70" t="s">
        <v>157</v>
      </c>
      <c r="E53" s="72">
        <v>15</v>
      </c>
      <c r="F53" s="73">
        <f>SUM(E53*2/100)</f>
        <v>0.3</v>
      </c>
      <c r="G53" s="31">
        <v>4058.32</v>
      </c>
      <c r="H53" s="74">
        <f t="shared" si="8"/>
        <v>1.2174960000000001</v>
      </c>
      <c r="I53" s="13">
        <f t="shared" ref="I53:I54" si="9">F53/2*G53</f>
        <v>608.74800000000005</v>
      </c>
    </row>
    <row r="54" spans="1:9" hidden="1">
      <c r="A54" s="27">
        <v>27</v>
      </c>
      <c r="B54" s="70" t="s">
        <v>38</v>
      </c>
      <c r="C54" s="71" t="s">
        <v>39</v>
      </c>
      <c r="D54" s="70" t="s">
        <v>157</v>
      </c>
      <c r="E54" s="72">
        <v>1</v>
      </c>
      <c r="F54" s="73">
        <v>0.02</v>
      </c>
      <c r="G54" s="31">
        <v>7412.92</v>
      </c>
      <c r="H54" s="74">
        <f t="shared" si="6"/>
        <v>0.14825839999999998</v>
      </c>
      <c r="I54" s="13">
        <f t="shared" si="9"/>
        <v>74.129199999999997</v>
      </c>
    </row>
    <row r="55" spans="1:9" hidden="1">
      <c r="A55" s="27">
        <v>14</v>
      </c>
      <c r="B55" s="70" t="s">
        <v>40</v>
      </c>
      <c r="C55" s="71" t="s">
        <v>101</v>
      </c>
      <c r="D55" s="70" t="s">
        <v>69</v>
      </c>
      <c r="E55" s="72">
        <v>90</v>
      </c>
      <c r="F55" s="73">
        <f>SUM(E55)*3</f>
        <v>270</v>
      </c>
      <c r="G55" s="69">
        <v>86.15</v>
      </c>
      <c r="H55" s="74">
        <f>SUM(F55*G55/1000)</f>
        <v>23.2605</v>
      </c>
      <c r="I55" s="13">
        <f>F55/3*G55</f>
        <v>7753.5000000000009</v>
      </c>
    </row>
    <row r="56" spans="1:9">
      <c r="A56" s="186" t="s">
        <v>126</v>
      </c>
      <c r="B56" s="187"/>
      <c r="C56" s="187"/>
      <c r="D56" s="187"/>
      <c r="E56" s="187"/>
      <c r="F56" s="187"/>
      <c r="G56" s="187"/>
      <c r="H56" s="187"/>
      <c r="I56" s="188"/>
    </row>
    <row r="57" spans="1:9" hidden="1">
      <c r="A57" s="27"/>
      <c r="B57" s="101" t="s">
        <v>42</v>
      </c>
      <c r="C57" s="71"/>
      <c r="D57" s="70"/>
      <c r="E57" s="72"/>
      <c r="F57" s="73"/>
      <c r="G57" s="73"/>
      <c r="H57" s="74"/>
      <c r="I57" s="13"/>
    </row>
    <row r="58" spans="1:9" ht="30" hidden="1">
      <c r="A58" s="27">
        <v>15</v>
      </c>
      <c r="B58" s="70" t="s">
        <v>154</v>
      </c>
      <c r="C58" s="71" t="s">
        <v>82</v>
      </c>
      <c r="D58" s="70" t="s">
        <v>102</v>
      </c>
      <c r="E58" s="72">
        <v>111</v>
      </c>
      <c r="F58" s="73">
        <f>SUM(E58*6/100)</f>
        <v>6.66</v>
      </c>
      <c r="G58" s="31">
        <v>2029.3</v>
      </c>
      <c r="H58" s="74">
        <f>SUM(F58*G58/1000)</f>
        <v>13.515138</v>
      </c>
      <c r="I58" s="13">
        <f>G58*0.76</f>
        <v>1542.268</v>
      </c>
    </row>
    <row r="59" spans="1:9" hidden="1">
      <c r="A59" s="27">
        <v>16</v>
      </c>
      <c r="B59" s="70" t="s">
        <v>153</v>
      </c>
      <c r="C59" s="71" t="s">
        <v>142</v>
      </c>
      <c r="D59" s="70" t="s">
        <v>65</v>
      </c>
      <c r="E59" s="72"/>
      <c r="F59" s="73">
        <v>3</v>
      </c>
      <c r="G59" s="31">
        <v>1582.05</v>
      </c>
      <c r="H59" s="74">
        <f>SUM(F59*G59/1000)</f>
        <v>4.7461499999999992</v>
      </c>
      <c r="I59" s="13">
        <f>G59*2</f>
        <v>3164.1</v>
      </c>
    </row>
    <row r="60" spans="1:9" ht="20.25" customHeight="1">
      <c r="A60" s="27"/>
      <c r="B60" s="102" t="s">
        <v>43</v>
      </c>
      <c r="C60" s="82"/>
      <c r="D60" s="83"/>
      <c r="E60" s="84"/>
      <c r="F60" s="85"/>
      <c r="G60" s="31"/>
      <c r="H60" s="86"/>
      <c r="I60" s="13"/>
    </row>
    <row r="61" spans="1:9" hidden="1">
      <c r="A61" s="27"/>
      <c r="B61" s="83" t="s">
        <v>44</v>
      </c>
      <c r="C61" s="82" t="s">
        <v>52</v>
      </c>
      <c r="D61" s="83" t="s">
        <v>53</v>
      </c>
      <c r="E61" s="84">
        <v>130</v>
      </c>
      <c r="F61" s="85">
        <f>E61/100</f>
        <v>1.3</v>
      </c>
      <c r="G61" s="31">
        <v>1040.8399999999999</v>
      </c>
      <c r="H61" s="86">
        <f>F61*G61/1000</f>
        <v>1.353092</v>
      </c>
      <c r="I61" s="13">
        <v>0</v>
      </c>
    </row>
    <row r="62" spans="1:9" ht="18" customHeight="1">
      <c r="A62" s="27">
        <v>14</v>
      </c>
      <c r="B62" s="83" t="s">
        <v>115</v>
      </c>
      <c r="C62" s="82" t="s">
        <v>25</v>
      </c>
      <c r="D62" s="83" t="s">
        <v>156</v>
      </c>
      <c r="E62" s="84">
        <v>130</v>
      </c>
      <c r="F62" s="87">
        <f>E62*12</f>
        <v>1560</v>
      </c>
      <c r="G62" s="88">
        <v>1.4</v>
      </c>
      <c r="H62" s="85">
        <f>F62*G62/1000</f>
        <v>2.1840000000000002</v>
      </c>
      <c r="I62" s="13">
        <f t="shared" ref="I62" si="10">F62/12*G62</f>
        <v>182</v>
      </c>
    </row>
    <row r="63" spans="1:9">
      <c r="A63" s="27"/>
      <c r="B63" s="103" t="s">
        <v>45</v>
      </c>
      <c r="C63" s="82"/>
      <c r="D63" s="83"/>
      <c r="E63" s="84"/>
      <c r="F63" s="87"/>
      <c r="G63" s="87"/>
      <c r="H63" s="85" t="s">
        <v>128</v>
      </c>
      <c r="I63" s="13"/>
    </row>
    <row r="64" spans="1:9" ht="16.5" customHeight="1">
      <c r="A64" s="27">
        <v>15</v>
      </c>
      <c r="B64" s="89" t="s">
        <v>46</v>
      </c>
      <c r="C64" s="90" t="s">
        <v>101</v>
      </c>
      <c r="D64" s="70" t="s">
        <v>157</v>
      </c>
      <c r="E64" s="15">
        <v>9</v>
      </c>
      <c r="F64" s="69">
        <f>SUM(E64)</f>
        <v>9</v>
      </c>
      <c r="G64" s="31">
        <v>291.68</v>
      </c>
      <c r="H64" s="63">
        <f t="shared" ref="H64:H82" si="11">SUM(F64*G64/1000)</f>
        <v>2.6251199999999999</v>
      </c>
      <c r="I64" s="13">
        <f>G64*1</f>
        <v>291.68</v>
      </c>
    </row>
    <row r="65" spans="1:9" ht="16.5" hidden="1" customHeight="1">
      <c r="A65" s="27"/>
      <c r="B65" s="89" t="s">
        <v>47</v>
      </c>
      <c r="C65" s="90" t="s">
        <v>101</v>
      </c>
      <c r="D65" s="70" t="s">
        <v>65</v>
      </c>
      <c r="E65" s="15">
        <v>4</v>
      </c>
      <c r="F65" s="69">
        <f>SUM(E65)</f>
        <v>4</v>
      </c>
      <c r="G65" s="31">
        <v>100.01</v>
      </c>
      <c r="H65" s="63">
        <f t="shared" si="11"/>
        <v>0.40004000000000001</v>
      </c>
      <c r="I65" s="13">
        <v>0</v>
      </c>
    </row>
    <row r="66" spans="1:9" hidden="1">
      <c r="A66" s="27">
        <v>11</v>
      </c>
      <c r="B66" s="89" t="s">
        <v>48</v>
      </c>
      <c r="C66" s="91" t="s">
        <v>103</v>
      </c>
      <c r="D66" s="33"/>
      <c r="E66" s="72">
        <v>13287</v>
      </c>
      <c r="F66" s="69">
        <f>SUM(E66/100)</f>
        <v>132.87</v>
      </c>
      <c r="G66" s="31">
        <v>278.24</v>
      </c>
      <c r="H66" s="63">
        <f t="shared" si="11"/>
        <v>36.969748799999998</v>
      </c>
      <c r="I66" s="13">
        <f>132.87*G66</f>
        <v>36969.748800000001</v>
      </c>
    </row>
    <row r="67" spans="1:9" hidden="1">
      <c r="A67" s="27">
        <v>12</v>
      </c>
      <c r="B67" s="89" t="s">
        <v>49</v>
      </c>
      <c r="C67" s="90" t="s">
        <v>104</v>
      </c>
      <c r="D67" s="33"/>
      <c r="E67" s="72">
        <v>13287</v>
      </c>
      <c r="F67" s="31">
        <f>SUM(E67/1000)</f>
        <v>13.287000000000001</v>
      </c>
      <c r="G67" s="31">
        <v>216.68</v>
      </c>
      <c r="H67" s="63">
        <f t="shared" si="11"/>
        <v>2.8790271600000001</v>
      </c>
      <c r="I67" s="13">
        <f>13.287*G67</f>
        <v>2879.0271600000001</v>
      </c>
    </row>
    <row r="68" spans="1:9" hidden="1">
      <c r="A68" s="27">
        <v>13</v>
      </c>
      <c r="B68" s="89" t="s">
        <v>50</v>
      </c>
      <c r="C68" s="90" t="s">
        <v>74</v>
      </c>
      <c r="D68" s="33"/>
      <c r="E68" s="72">
        <v>2110</v>
      </c>
      <c r="F68" s="31">
        <f>SUM(E68/100)</f>
        <v>21.1</v>
      </c>
      <c r="G68" s="31">
        <v>2720.94</v>
      </c>
      <c r="H68" s="63">
        <f>SUM(F68*G68/1000)</f>
        <v>57.411834000000006</v>
      </c>
      <c r="I68" s="13">
        <f>21.1*G68</f>
        <v>57411.834000000003</v>
      </c>
    </row>
    <row r="69" spans="1:9" hidden="1">
      <c r="A69" s="27">
        <v>14</v>
      </c>
      <c r="B69" s="92" t="s">
        <v>105</v>
      </c>
      <c r="C69" s="90" t="s">
        <v>32</v>
      </c>
      <c r="D69" s="33"/>
      <c r="E69" s="72">
        <v>8.6</v>
      </c>
      <c r="F69" s="31">
        <f>SUM(E69)</f>
        <v>8.6</v>
      </c>
      <c r="G69" s="31">
        <v>42.61</v>
      </c>
      <c r="H69" s="63">
        <f t="shared" si="11"/>
        <v>0.36644599999999999</v>
      </c>
      <c r="I69" s="13">
        <f>8.6*G69</f>
        <v>366.44599999999997</v>
      </c>
    </row>
    <row r="70" spans="1:9" hidden="1">
      <c r="A70" s="27">
        <v>15</v>
      </c>
      <c r="B70" s="92" t="s">
        <v>106</v>
      </c>
      <c r="C70" s="90" t="s">
        <v>32</v>
      </c>
      <c r="D70" s="33"/>
      <c r="E70" s="72">
        <v>8.6</v>
      </c>
      <c r="F70" s="31">
        <f>SUM(E70)</f>
        <v>8.6</v>
      </c>
      <c r="G70" s="31">
        <v>46.04</v>
      </c>
      <c r="H70" s="63">
        <f t="shared" si="11"/>
        <v>0.39594399999999996</v>
      </c>
      <c r="I70" s="13">
        <f>8.6*G70</f>
        <v>395.94399999999996</v>
      </c>
    </row>
    <row r="71" spans="1:9" hidden="1">
      <c r="A71" s="27">
        <v>20</v>
      </c>
      <c r="B71" s="33" t="s">
        <v>56</v>
      </c>
      <c r="C71" s="90" t="s">
        <v>57</v>
      </c>
      <c r="D71" s="33"/>
      <c r="E71" s="15">
        <v>3</v>
      </c>
      <c r="F71" s="31">
        <f>SUM(E71)</f>
        <v>3</v>
      </c>
      <c r="G71" s="31">
        <v>65.42</v>
      </c>
      <c r="H71" s="63">
        <f t="shared" si="11"/>
        <v>0.19625999999999999</v>
      </c>
      <c r="I71" s="13">
        <f>3*G71</f>
        <v>196.26</v>
      </c>
    </row>
    <row r="72" spans="1:9" ht="16.5" customHeight="1">
      <c r="A72" s="27"/>
      <c r="B72" s="104" t="s">
        <v>70</v>
      </c>
      <c r="C72" s="90"/>
      <c r="D72" s="33"/>
      <c r="E72" s="15"/>
      <c r="F72" s="31"/>
      <c r="G72" s="31"/>
      <c r="H72" s="63" t="s">
        <v>128</v>
      </c>
      <c r="I72" s="13"/>
    </row>
    <row r="73" spans="1:9" ht="30" hidden="1">
      <c r="A73" s="27"/>
      <c r="B73" s="33" t="s">
        <v>143</v>
      </c>
      <c r="C73" s="90" t="s">
        <v>101</v>
      </c>
      <c r="D73" s="70" t="s">
        <v>65</v>
      </c>
      <c r="E73" s="15">
        <v>1</v>
      </c>
      <c r="F73" s="31">
        <v>1</v>
      </c>
      <c r="G73" s="31">
        <v>1543.4</v>
      </c>
      <c r="H73" s="63">
        <f t="shared" ref="H73:H75" si="12">SUM(F73*G73/1000)</f>
        <v>1.5434000000000001</v>
      </c>
      <c r="I73" s="13">
        <v>0</v>
      </c>
    </row>
    <row r="74" spans="1:9" hidden="1">
      <c r="A74" s="27">
        <v>17</v>
      </c>
      <c r="B74" s="33" t="s">
        <v>71</v>
      </c>
      <c r="C74" s="90" t="s">
        <v>72</v>
      </c>
      <c r="D74" s="70" t="s">
        <v>65</v>
      </c>
      <c r="E74" s="15">
        <v>3</v>
      </c>
      <c r="F74" s="31">
        <f>E74/10</f>
        <v>0.3</v>
      </c>
      <c r="G74" s="31">
        <v>657.87</v>
      </c>
      <c r="H74" s="63">
        <f t="shared" si="12"/>
        <v>0.19736099999999998</v>
      </c>
      <c r="I74" s="13">
        <f>G74*0.9</f>
        <v>592.08299999999997</v>
      </c>
    </row>
    <row r="75" spans="1:9" hidden="1">
      <c r="A75" s="27"/>
      <c r="B75" s="33" t="s">
        <v>144</v>
      </c>
      <c r="C75" s="90" t="s">
        <v>101</v>
      </c>
      <c r="D75" s="70" t="s">
        <v>65</v>
      </c>
      <c r="E75" s="15">
        <v>2</v>
      </c>
      <c r="F75" s="73">
        <f>SUM(E75)</f>
        <v>2</v>
      </c>
      <c r="G75" s="31">
        <v>1118.72</v>
      </c>
      <c r="H75" s="63">
        <f t="shared" si="12"/>
        <v>2.2374399999999999</v>
      </c>
      <c r="I75" s="13">
        <v>0</v>
      </c>
    </row>
    <row r="76" spans="1:9" hidden="1">
      <c r="A76" s="27"/>
      <c r="B76" s="44" t="s">
        <v>145</v>
      </c>
      <c r="C76" s="45" t="s">
        <v>101</v>
      </c>
      <c r="D76" s="70" t="s">
        <v>65</v>
      </c>
      <c r="E76" s="15">
        <v>1</v>
      </c>
      <c r="F76" s="88">
        <v>1</v>
      </c>
      <c r="G76" s="31">
        <v>1605.83</v>
      </c>
      <c r="H76" s="63">
        <f>SUM(F76*G76/1000)</f>
        <v>1.6058299999999999</v>
      </c>
      <c r="I76" s="13">
        <v>0</v>
      </c>
    </row>
    <row r="77" spans="1:9" ht="30" customHeight="1">
      <c r="A77" s="27">
        <v>16</v>
      </c>
      <c r="B77" s="44" t="s">
        <v>146</v>
      </c>
      <c r="C77" s="45" t="s">
        <v>101</v>
      </c>
      <c r="D77" s="33" t="s">
        <v>156</v>
      </c>
      <c r="E77" s="93">
        <v>2</v>
      </c>
      <c r="F77" s="87">
        <f>E77*12</f>
        <v>24</v>
      </c>
      <c r="G77" s="94">
        <v>53.42</v>
      </c>
      <c r="H77" s="63">
        <f t="shared" ref="H77:H78" si="13">SUM(F77*G77/1000)</f>
        <v>1.2820799999999999</v>
      </c>
      <c r="I77" s="13">
        <f t="shared" ref="I77:I80" si="14">F77/12*G77</f>
        <v>106.84</v>
      </c>
    </row>
    <row r="78" spans="1:9" ht="16.5" customHeight="1">
      <c r="A78" s="27">
        <v>17</v>
      </c>
      <c r="B78" s="52" t="s">
        <v>147</v>
      </c>
      <c r="C78" s="90"/>
      <c r="D78" s="33" t="s">
        <v>156</v>
      </c>
      <c r="E78" s="15">
        <v>1</v>
      </c>
      <c r="F78" s="31">
        <v>12</v>
      </c>
      <c r="G78" s="31">
        <v>1194</v>
      </c>
      <c r="H78" s="63">
        <f t="shared" si="13"/>
        <v>14.327999999999999</v>
      </c>
      <c r="I78" s="13">
        <f t="shared" si="14"/>
        <v>1194</v>
      </c>
    </row>
    <row r="79" spans="1:9" ht="20.25" customHeight="1">
      <c r="A79" s="27"/>
      <c r="B79" s="105" t="s">
        <v>148</v>
      </c>
      <c r="C79" s="45"/>
      <c r="D79" s="33"/>
      <c r="E79" s="15"/>
      <c r="F79" s="31"/>
      <c r="G79" s="31"/>
      <c r="H79" s="63"/>
      <c r="I79" s="13"/>
    </row>
    <row r="80" spans="1:9" ht="17.25" customHeight="1">
      <c r="A80" s="27">
        <v>18</v>
      </c>
      <c r="B80" s="33" t="s">
        <v>149</v>
      </c>
      <c r="C80" s="95" t="s">
        <v>150</v>
      </c>
      <c r="D80" s="70" t="s">
        <v>157</v>
      </c>
      <c r="E80" s="15">
        <v>2626.5</v>
      </c>
      <c r="F80" s="31">
        <f>SUM(E80*12)</f>
        <v>31518</v>
      </c>
      <c r="G80" s="31">
        <v>2.2799999999999998</v>
      </c>
      <c r="H80" s="63">
        <f t="shared" ref="H80" si="15">SUM(F80*G80/1000)</f>
        <v>71.861039999999988</v>
      </c>
      <c r="I80" s="13">
        <f t="shared" si="14"/>
        <v>5988.4199999999992</v>
      </c>
    </row>
    <row r="81" spans="1:9" hidden="1">
      <c r="A81" s="27"/>
      <c r="B81" s="106" t="s">
        <v>73</v>
      </c>
      <c r="C81" s="90"/>
      <c r="D81" s="33"/>
      <c r="E81" s="15"/>
      <c r="F81" s="31"/>
      <c r="G81" s="31" t="s">
        <v>128</v>
      </c>
      <c r="H81" s="63" t="s">
        <v>128</v>
      </c>
      <c r="I81" s="13"/>
    </row>
    <row r="82" spans="1:9" hidden="1">
      <c r="A82" s="27"/>
      <c r="B82" s="96" t="s">
        <v>120</v>
      </c>
      <c r="C82" s="91" t="s">
        <v>74</v>
      </c>
      <c r="D82" s="89"/>
      <c r="E82" s="97"/>
      <c r="F82" s="69">
        <v>0.5</v>
      </c>
      <c r="G82" s="69">
        <v>3619.09</v>
      </c>
      <c r="H82" s="63">
        <f t="shared" si="11"/>
        <v>1.8095450000000002</v>
      </c>
      <c r="I82" s="13"/>
    </row>
    <row r="83" spans="1:9" ht="28.5" hidden="1">
      <c r="A83" s="27"/>
      <c r="B83" s="57" t="s">
        <v>88</v>
      </c>
      <c r="C83" s="13"/>
      <c r="D83" s="13"/>
      <c r="E83" s="13"/>
      <c r="F83" s="13"/>
      <c r="G83" s="13"/>
      <c r="H83" s="13"/>
      <c r="I83" s="13"/>
    </row>
    <row r="84" spans="1:9" hidden="1">
      <c r="A84" s="27"/>
      <c r="B84" s="70" t="s">
        <v>107</v>
      </c>
      <c r="C84" s="98"/>
      <c r="D84" s="99"/>
      <c r="E84" s="100"/>
      <c r="F84" s="32">
        <v>1</v>
      </c>
      <c r="G84" s="32">
        <v>8275.7000000000007</v>
      </c>
      <c r="H84" s="63">
        <f>G84*F84/1000</f>
        <v>8.2757000000000005</v>
      </c>
      <c r="I84" s="13"/>
    </row>
    <row r="85" spans="1:9">
      <c r="A85" s="174" t="s">
        <v>125</v>
      </c>
      <c r="B85" s="175"/>
      <c r="C85" s="175"/>
      <c r="D85" s="175"/>
      <c r="E85" s="175"/>
      <c r="F85" s="175"/>
      <c r="G85" s="175"/>
      <c r="H85" s="175"/>
      <c r="I85" s="176"/>
    </row>
    <row r="86" spans="1:9" ht="16.5" customHeight="1">
      <c r="A86" s="27">
        <v>19</v>
      </c>
      <c r="B86" s="70" t="s">
        <v>108</v>
      </c>
      <c r="C86" s="90" t="s">
        <v>54</v>
      </c>
      <c r="D86" s="56"/>
      <c r="E86" s="31">
        <v>2626.5</v>
      </c>
      <c r="F86" s="31">
        <f>SUM(E86*12)</f>
        <v>31518</v>
      </c>
      <c r="G86" s="31">
        <v>3.1</v>
      </c>
      <c r="H86" s="63">
        <f>SUM(F86*G86/1000)</f>
        <v>97.705799999999996</v>
      </c>
      <c r="I86" s="13">
        <f t="shared" ref="I86:I87" si="16">F86/12*G86</f>
        <v>8142.1500000000005</v>
      </c>
    </row>
    <row r="87" spans="1:9" ht="33" customHeight="1">
      <c r="A87" s="27">
        <v>20</v>
      </c>
      <c r="B87" s="33" t="s">
        <v>75</v>
      </c>
      <c r="C87" s="90"/>
      <c r="D87" s="56"/>
      <c r="E87" s="72">
        <f>E86</f>
        <v>2626.5</v>
      </c>
      <c r="F87" s="31">
        <f>E87*12</f>
        <v>31518</v>
      </c>
      <c r="G87" s="31">
        <v>3.5</v>
      </c>
      <c r="H87" s="63">
        <f>F87*G87/1000</f>
        <v>110.313</v>
      </c>
      <c r="I87" s="13">
        <f t="shared" si="16"/>
        <v>9192.75</v>
      </c>
    </row>
    <row r="88" spans="1:9">
      <c r="A88" s="27"/>
      <c r="B88" s="34" t="s">
        <v>77</v>
      </c>
      <c r="C88" s="54"/>
      <c r="D88" s="53"/>
      <c r="E88" s="50"/>
      <c r="F88" s="50"/>
      <c r="G88" s="50"/>
      <c r="H88" s="55">
        <f>H78</f>
        <v>14.327999999999999</v>
      </c>
      <c r="I88" s="50">
        <f>I87+I86+I80+I78+I77+I64+I62+I33+I31+I30+I26+I25+I24+I23+I22+I21+I20+I18+I17+I16</f>
        <v>37864.705608999997</v>
      </c>
    </row>
    <row r="89" spans="1:9">
      <c r="A89" s="163" t="s">
        <v>59</v>
      </c>
      <c r="B89" s="164"/>
      <c r="C89" s="164"/>
      <c r="D89" s="164"/>
      <c r="E89" s="164"/>
      <c r="F89" s="164"/>
      <c r="G89" s="164"/>
      <c r="H89" s="164"/>
      <c r="I89" s="165"/>
    </row>
    <row r="90" spans="1:9" ht="44.25" customHeight="1">
      <c r="A90" s="27">
        <v>21</v>
      </c>
      <c r="B90" s="44" t="s">
        <v>197</v>
      </c>
      <c r="C90" s="45" t="s">
        <v>185</v>
      </c>
      <c r="D90" s="33" t="s">
        <v>284</v>
      </c>
      <c r="E90" s="31"/>
      <c r="F90" s="31">
        <v>7</v>
      </c>
      <c r="G90" s="31">
        <v>1584.54</v>
      </c>
      <c r="H90" s="51"/>
      <c r="I90" s="13">
        <f>G90*12.5</f>
        <v>19806.75</v>
      </c>
    </row>
    <row r="91" spans="1:9" ht="18" customHeight="1">
      <c r="A91" s="27">
        <v>22</v>
      </c>
      <c r="B91" s="44" t="s">
        <v>272</v>
      </c>
      <c r="C91" s="45" t="s">
        <v>273</v>
      </c>
      <c r="D91" s="152" t="s">
        <v>282</v>
      </c>
      <c r="E91" s="31"/>
      <c r="F91" s="31">
        <v>0.5</v>
      </c>
      <c r="G91" s="31">
        <v>672.88</v>
      </c>
      <c r="H91" s="51"/>
      <c r="I91" s="13">
        <f>G91*1</f>
        <v>672.88</v>
      </c>
    </row>
    <row r="92" spans="1:9" ht="15.75" customHeight="1">
      <c r="A92" s="27">
        <v>23</v>
      </c>
      <c r="B92" s="44" t="s">
        <v>212</v>
      </c>
      <c r="C92" s="156" t="s">
        <v>213</v>
      </c>
      <c r="D92" s="152" t="s">
        <v>214</v>
      </c>
      <c r="E92" s="31"/>
      <c r="F92" s="31">
        <v>1</v>
      </c>
      <c r="G92" s="31">
        <v>182.26</v>
      </c>
      <c r="H92" s="51"/>
      <c r="I92" s="13">
        <f>G92*1</f>
        <v>182.26</v>
      </c>
    </row>
    <row r="93" spans="1:9" ht="30.75" customHeight="1">
      <c r="A93" s="27">
        <v>24</v>
      </c>
      <c r="B93" s="44" t="s">
        <v>210</v>
      </c>
      <c r="C93" s="45" t="s">
        <v>130</v>
      </c>
      <c r="D93" s="152" t="s">
        <v>274</v>
      </c>
      <c r="E93" s="31"/>
      <c r="F93" s="31">
        <v>1</v>
      </c>
      <c r="G93" s="31">
        <v>614.47</v>
      </c>
      <c r="H93" s="51"/>
      <c r="I93" s="13">
        <f>G93*1</f>
        <v>614.47</v>
      </c>
    </row>
    <row r="94" spans="1:9" ht="19.5" customHeight="1">
      <c r="A94" s="27">
        <v>25</v>
      </c>
      <c r="B94" s="44" t="s">
        <v>278</v>
      </c>
      <c r="C94" s="45" t="s">
        <v>101</v>
      </c>
      <c r="D94" s="152"/>
      <c r="E94" s="31"/>
      <c r="F94" s="31">
        <v>1</v>
      </c>
      <c r="G94" s="31">
        <v>224.48</v>
      </c>
      <c r="H94" s="51"/>
      <c r="I94" s="13">
        <f>G94*2</f>
        <v>448.96</v>
      </c>
    </row>
    <row r="95" spans="1:9" ht="19.5" customHeight="1">
      <c r="A95" s="27">
        <v>26</v>
      </c>
      <c r="B95" s="44" t="s">
        <v>205</v>
      </c>
      <c r="C95" s="45" t="s">
        <v>79</v>
      </c>
      <c r="D95" s="152" t="s">
        <v>279</v>
      </c>
      <c r="E95" s="31"/>
      <c r="F95" s="31">
        <v>2</v>
      </c>
      <c r="G95" s="31">
        <v>231.54</v>
      </c>
      <c r="H95" s="51"/>
      <c r="I95" s="13">
        <f>G95*1</f>
        <v>231.54</v>
      </c>
    </row>
    <row r="96" spans="1:9" ht="19.5" customHeight="1">
      <c r="A96" s="27">
        <v>27</v>
      </c>
      <c r="B96" s="44" t="s">
        <v>280</v>
      </c>
      <c r="C96" s="45" t="s">
        <v>52</v>
      </c>
      <c r="D96" s="152" t="s">
        <v>281</v>
      </c>
      <c r="E96" s="31"/>
      <c r="F96" s="31">
        <v>5.0000000000000001E-3</v>
      </c>
      <c r="G96" s="31">
        <v>85495.8</v>
      </c>
      <c r="H96" s="51"/>
      <c r="I96" s="13">
        <f>G96*0.01</f>
        <v>854.95800000000008</v>
      </c>
    </row>
    <row r="97" spans="1:9" ht="34.5" customHeight="1">
      <c r="A97" s="27">
        <v>28</v>
      </c>
      <c r="B97" s="44" t="s">
        <v>196</v>
      </c>
      <c r="C97" s="45" t="s">
        <v>185</v>
      </c>
      <c r="D97" s="152" t="s">
        <v>283</v>
      </c>
      <c r="E97" s="31"/>
      <c r="F97" s="31">
        <v>2.5</v>
      </c>
      <c r="G97" s="31">
        <v>1478.55</v>
      </c>
      <c r="H97" s="51"/>
      <c r="I97" s="13">
        <f>G97*2.5</f>
        <v>3696.375</v>
      </c>
    </row>
    <row r="98" spans="1:9" ht="16.5" customHeight="1">
      <c r="A98" s="27"/>
      <c r="B98" s="155" t="s">
        <v>51</v>
      </c>
      <c r="C98" s="35"/>
      <c r="D98" s="42"/>
      <c r="E98" s="35">
        <v>1</v>
      </c>
      <c r="F98" s="35"/>
      <c r="G98" s="35"/>
      <c r="H98" s="35"/>
      <c r="I98" s="29">
        <f>SUM(I90:I97)</f>
        <v>26508.192999999999</v>
      </c>
    </row>
    <row r="99" spans="1:9">
      <c r="A99" s="27"/>
      <c r="B99" s="41" t="s">
        <v>76</v>
      </c>
      <c r="C99" s="14"/>
      <c r="D99" s="14"/>
      <c r="E99" s="36"/>
      <c r="F99" s="36"/>
      <c r="G99" s="37"/>
      <c r="H99" s="37"/>
      <c r="I99" s="15">
        <v>0</v>
      </c>
    </row>
    <row r="100" spans="1:9">
      <c r="A100" s="43"/>
      <c r="B100" s="40" t="s">
        <v>134</v>
      </c>
      <c r="C100" s="30"/>
      <c r="D100" s="30"/>
      <c r="E100" s="30"/>
      <c r="F100" s="30"/>
      <c r="G100" s="30"/>
      <c r="H100" s="30"/>
      <c r="I100" s="38">
        <f>I88+I98</f>
        <v>64372.898608999996</v>
      </c>
    </row>
    <row r="101" spans="1:9" ht="15.75">
      <c r="A101" s="166" t="s">
        <v>285</v>
      </c>
      <c r="B101" s="166"/>
      <c r="C101" s="166"/>
      <c r="D101" s="166"/>
      <c r="E101" s="166"/>
      <c r="F101" s="166"/>
      <c r="G101" s="166"/>
      <c r="H101" s="166"/>
      <c r="I101" s="166"/>
    </row>
    <row r="102" spans="1:9" ht="15.75">
      <c r="A102" s="46"/>
      <c r="B102" s="167" t="s">
        <v>286</v>
      </c>
      <c r="C102" s="167"/>
      <c r="D102" s="167"/>
      <c r="E102" s="167"/>
      <c r="F102" s="167"/>
      <c r="G102" s="167"/>
      <c r="H102" s="49"/>
      <c r="I102" s="3"/>
    </row>
    <row r="103" spans="1:9">
      <c r="A103" s="130"/>
      <c r="B103" s="168" t="s">
        <v>6</v>
      </c>
      <c r="C103" s="168"/>
      <c r="D103" s="168"/>
      <c r="E103" s="168"/>
      <c r="F103" s="168"/>
      <c r="G103" s="168"/>
      <c r="H103" s="22"/>
      <c r="I103" s="5"/>
    </row>
    <row r="104" spans="1:9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>
      <c r="A105" s="169" t="s">
        <v>7</v>
      </c>
      <c r="B105" s="169"/>
      <c r="C105" s="169"/>
      <c r="D105" s="169"/>
      <c r="E105" s="169"/>
      <c r="F105" s="169"/>
      <c r="G105" s="169"/>
      <c r="H105" s="169"/>
      <c r="I105" s="169"/>
    </row>
    <row r="106" spans="1:9" ht="15.75">
      <c r="A106" s="169" t="s">
        <v>8</v>
      </c>
      <c r="B106" s="169"/>
      <c r="C106" s="169"/>
      <c r="D106" s="169"/>
      <c r="E106" s="169"/>
      <c r="F106" s="169"/>
      <c r="G106" s="169"/>
      <c r="H106" s="169"/>
      <c r="I106" s="169"/>
    </row>
    <row r="107" spans="1:9" ht="15.75">
      <c r="A107" s="170" t="s">
        <v>60</v>
      </c>
      <c r="B107" s="170"/>
      <c r="C107" s="170"/>
      <c r="D107" s="170"/>
      <c r="E107" s="170"/>
      <c r="F107" s="170"/>
      <c r="G107" s="170"/>
      <c r="H107" s="170"/>
      <c r="I107" s="170"/>
    </row>
    <row r="108" spans="1:9" ht="15.75">
      <c r="A108" s="11"/>
    </row>
    <row r="109" spans="1:9" ht="15.75">
      <c r="A109" s="171" t="s">
        <v>9</v>
      </c>
      <c r="B109" s="171"/>
      <c r="C109" s="171"/>
      <c r="D109" s="171"/>
      <c r="E109" s="171"/>
      <c r="F109" s="171"/>
      <c r="G109" s="171"/>
      <c r="H109" s="171"/>
      <c r="I109" s="171"/>
    </row>
    <row r="110" spans="1:9" ht="15.75">
      <c r="A110" s="4"/>
    </row>
    <row r="111" spans="1:9" ht="15.75">
      <c r="B111" s="132" t="s">
        <v>10</v>
      </c>
      <c r="C111" s="172" t="s">
        <v>217</v>
      </c>
      <c r="D111" s="172"/>
      <c r="E111" s="172"/>
      <c r="F111" s="47"/>
      <c r="I111" s="133"/>
    </row>
    <row r="112" spans="1:9">
      <c r="A112" s="130"/>
      <c r="C112" s="168" t="s">
        <v>11</v>
      </c>
      <c r="D112" s="168"/>
      <c r="E112" s="168"/>
      <c r="F112" s="22"/>
      <c r="I112" s="131" t="s">
        <v>12</v>
      </c>
    </row>
    <row r="113" spans="1:9" ht="15.75">
      <c r="A113" s="23"/>
      <c r="C113" s="12"/>
      <c r="D113" s="12"/>
      <c r="G113" s="12"/>
      <c r="H113" s="12"/>
    </row>
    <row r="114" spans="1:9" ht="15.75">
      <c r="B114" s="132" t="s">
        <v>13</v>
      </c>
      <c r="C114" s="173"/>
      <c r="D114" s="173"/>
      <c r="E114" s="173"/>
      <c r="F114" s="48"/>
      <c r="I114" s="133"/>
    </row>
    <row r="115" spans="1:9">
      <c r="A115" s="130"/>
      <c r="C115" s="162" t="s">
        <v>11</v>
      </c>
      <c r="D115" s="162"/>
      <c r="E115" s="162"/>
      <c r="F115" s="130"/>
      <c r="I115" s="131" t="s">
        <v>12</v>
      </c>
    </row>
    <row r="116" spans="1:9" ht="15.75">
      <c r="A116" s="4" t="s">
        <v>14</v>
      </c>
    </row>
    <row r="117" spans="1:9">
      <c r="A117" s="189" t="s">
        <v>15</v>
      </c>
      <c r="B117" s="189"/>
      <c r="C117" s="189"/>
      <c r="D117" s="189"/>
      <c r="E117" s="189"/>
      <c r="F117" s="189"/>
      <c r="G117" s="189"/>
      <c r="H117" s="189"/>
      <c r="I117" s="189"/>
    </row>
    <row r="118" spans="1:9" ht="42.75" customHeight="1">
      <c r="A118" s="190" t="s">
        <v>16</v>
      </c>
      <c r="B118" s="190"/>
      <c r="C118" s="190"/>
      <c r="D118" s="190"/>
      <c r="E118" s="190"/>
      <c r="F118" s="190"/>
      <c r="G118" s="190"/>
      <c r="H118" s="190"/>
      <c r="I118" s="190"/>
    </row>
    <row r="119" spans="1:9" ht="44.25" customHeight="1">
      <c r="A119" s="190" t="s">
        <v>17</v>
      </c>
      <c r="B119" s="190"/>
      <c r="C119" s="190"/>
      <c r="D119" s="190"/>
      <c r="E119" s="190"/>
      <c r="F119" s="190"/>
      <c r="G119" s="190"/>
      <c r="H119" s="190"/>
      <c r="I119" s="190"/>
    </row>
    <row r="120" spans="1:9" ht="33" customHeight="1">
      <c r="A120" s="190" t="s">
        <v>21</v>
      </c>
      <c r="B120" s="190"/>
      <c r="C120" s="190"/>
      <c r="D120" s="190"/>
      <c r="E120" s="190"/>
      <c r="F120" s="190"/>
      <c r="G120" s="190"/>
      <c r="H120" s="190"/>
      <c r="I120" s="190"/>
    </row>
    <row r="121" spans="1:9" ht="15.75">
      <c r="A121" s="190" t="s">
        <v>20</v>
      </c>
      <c r="B121" s="190"/>
      <c r="C121" s="190"/>
      <c r="D121" s="190"/>
      <c r="E121" s="190"/>
      <c r="F121" s="190"/>
      <c r="G121" s="190"/>
      <c r="H121" s="190"/>
      <c r="I121" s="190"/>
    </row>
  </sheetData>
  <mergeCells count="28">
    <mergeCell ref="A14:I14"/>
    <mergeCell ref="A3:I3"/>
    <mergeCell ref="A4:I4"/>
    <mergeCell ref="A5:I5"/>
    <mergeCell ref="A8:I8"/>
    <mergeCell ref="A10:I10"/>
    <mergeCell ref="A121:I121"/>
    <mergeCell ref="A106:I106"/>
    <mergeCell ref="A15:I15"/>
    <mergeCell ref="A28:I28"/>
    <mergeCell ref="A45:I45"/>
    <mergeCell ref="A56:I56"/>
    <mergeCell ref="A85:I85"/>
    <mergeCell ref="A89:I89"/>
    <mergeCell ref="A101:I101"/>
    <mergeCell ref="B102:G102"/>
    <mergeCell ref="B103:G103"/>
    <mergeCell ref="A105:I105"/>
    <mergeCell ref="C115:E115"/>
    <mergeCell ref="A117:I117"/>
    <mergeCell ref="A118:I118"/>
    <mergeCell ref="A119:I119"/>
    <mergeCell ref="A120:I120"/>
    <mergeCell ref="A107:I107"/>
    <mergeCell ref="A109:I109"/>
    <mergeCell ref="C111:E111"/>
    <mergeCell ref="C112:E112"/>
    <mergeCell ref="C114:E114"/>
  </mergeCells>
  <pageMargins left="0.70866141732283472" right="0.11811023622047245" top="0.74803149606299213" bottom="0.74803149606299213" header="0.31496062992125984" footer="0.31496062992125984"/>
  <pageSetup paperSize="9" scale="6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16"/>
  <sheetViews>
    <sheetView view="pageBreakPreview" topLeftCell="A80" zoomScale="60" zoomScaleNormal="100" workbookViewId="0">
      <selection activeCell="G107" sqref="G107"/>
    </sheetView>
  </sheetViews>
  <sheetFormatPr defaultRowHeight="15"/>
  <cols>
    <col min="1" max="1" width="12.42578125" customWidth="1"/>
    <col min="2" max="2" width="52.85546875" customWidth="1"/>
    <col min="3" max="3" width="17.5703125" customWidth="1"/>
    <col min="4" max="4" width="18.28515625" customWidth="1"/>
    <col min="5" max="6" width="0" hidden="1" customWidth="1"/>
    <col min="7" max="7" width="17.28515625" customWidth="1"/>
    <col min="8" max="8" width="0" hidden="1" customWidth="1"/>
    <col min="9" max="9" width="17.28515625" customWidth="1"/>
  </cols>
  <sheetData>
    <row r="1" spans="1:9" ht="15.75">
      <c r="A1" s="25" t="s">
        <v>170</v>
      </c>
      <c r="I1" s="24"/>
    </row>
    <row r="2" spans="1:9" ht="15.75">
      <c r="A2" s="26" t="s">
        <v>61</v>
      </c>
    </row>
    <row r="3" spans="1:9" ht="15.75">
      <c r="A3" s="179" t="s">
        <v>174</v>
      </c>
      <c r="B3" s="179"/>
      <c r="C3" s="179"/>
      <c r="D3" s="179"/>
      <c r="E3" s="179"/>
      <c r="F3" s="179"/>
      <c r="G3" s="179"/>
      <c r="H3" s="179"/>
      <c r="I3" s="179"/>
    </row>
    <row r="4" spans="1:9" ht="34.5" customHeight="1">
      <c r="A4" s="180" t="s">
        <v>121</v>
      </c>
      <c r="B4" s="180"/>
      <c r="C4" s="180"/>
      <c r="D4" s="180"/>
      <c r="E4" s="180"/>
      <c r="F4" s="180"/>
      <c r="G4" s="180"/>
      <c r="H4" s="180"/>
      <c r="I4" s="180"/>
    </row>
    <row r="5" spans="1:9" ht="15.75">
      <c r="A5" s="179" t="s">
        <v>287</v>
      </c>
      <c r="B5" s="181"/>
      <c r="C5" s="181"/>
      <c r="D5" s="181"/>
      <c r="E5" s="181"/>
      <c r="F5" s="181"/>
      <c r="G5" s="181"/>
      <c r="H5" s="181"/>
      <c r="I5" s="181"/>
    </row>
    <row r="6" spans="1:9" ht="15.75">
      <c r="A6" s="2"/>
      <c r="B6" s="135"/>
      <c r="C6" s="135"/>
      <c r="D6" s="135"/>
      <c r="E6" s="135"/>
      <c r="F6" s="135"/>
      <c r="G6" s="135"/>
      <c r="H6" s="135"/>
      <c r="I6" s="118">
        <v>44439</v>
      </c>
    </row>
    <row r="7" spans="1:9" ht="15.75">
      <c r="B7" s="138"/>
      <c r="C7" s="138"/>
      <c r="D7" s="138"/>
      <c r="E7" s="3"/>
      <c r="F7" s="3"/>
      <c r="G7" s="3"/>
      <c r="H7" s="3"/>
    </row>
    <row r="8" spans="1:9" ht="81" customHeight="1">
      <c r="A8" s="182" t="s">
        <v>215</v>
      </c>
      <c r="B8" s="182"/>
      <c r="C8" s="182"/>
      <c r="D8" s="182"/>
      <c r="E8" s="182"/>
      <c r="F8" s="182"/>
      <c r="G8" s="182"/>
      <c r="H8" s="182"/>
      <c r="I8" s="182"/>
    </row>
    <row r="9" spans="1:9" ht="6.75" customHeight="1">
      <c r="A9" s="4"/>
    </row>
    <row r="10" spans="1:9" ht="69" customHeight="1">
      <c r="A10" s="183" t="s">
        <v>133</v>
      </c>
      <c r="B10" s="183"/>
      <c r="C10" s="183"/>
      <c r="D10" s="183"/>
      <c r="E10" s="183"/>
      <c r="F10" s="183"/>
      <c r="G10" s="183"/>
      <c r="H10" s="183"/>
      <c r="I10" s="183"/>
    </row>
    <row r="11" spans="1:9" ht="15.75">
      <c r="A11" s="4"/>
    </row>
    <row r="12" spans="1:9" ht="63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84" t="s">
        <v>58</v>
      </c>
      <c r="B14" s="184"/>
      <c r="C14" s="184"/>
      <c r="D14" s="184"/>
      <c r="E14" s="184"/>
      <c r="F14" s="184"/>
      <c r="G14" s="184"/>
      <c r="H14" s="184"/>
      <c r="I14" s="184"/>
    </row>
    <row r="15" spans="1:9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</row>
    <row r="16" spans="1:9" ht="15" customHeight="1">
      <c r="A16" s="27">
        <v>1</v>
      </c>
      <c r="B16" s="70" t="s">
        <v>183</v>
      </c>
      <c r="C16" s="71" t="s">
        <v>82</v>
      </c>
      <c r="D16" s="70" t="s">
        <v>164</v>
      </c>
      <c r="E16" s="72">
        <v>49.72</v>
      </c>
      <c r="F16" s="73">
        <f>SUM(E16*156/100)</f>
        <v>77.563199999999995</v>
      </c>
      <c r="G16" s="73">
        <v>230</v>
      </c>
      <c r="H16" s="74">
        <f t="shared" ref="H16:H25" si="0">SUM(F16*G16/1000)</f>
        <v>17.839535999999999</v>
      </c>
      <c r="I16" s="13">
        <f>F16/12*G16</f>
        <v>1486.6279999999999</v>
      </c>
    </row>
    <row r="17" spans="1:9" ht="17.25" customHeight="1">
      <c r="A17" s="27">
        <v>2</v>
      </c>
      <c r="B17" s="70" t="s">
        <v>109</v>
      </c>
      <c r="C17" s="71" t="s">
        <v>82</v>
      </c>
      <c r="D17" s="70" t="s">
        <v>186</v>
      </c>
      <c r="E17" s="72">
        <v>198.88</v>
      </c>
      <c r="F17" s="73">
        <f>SUM(E17*104/100)</f>
        <v>206.83520000000001</v>
      </c>
      <c r="G17" s="73">
        <v>230</v>
      </c>
      <c r="H17" s="74">
        <f t="shared" si="0"/>
        <v>47.572096000000002</v>
      </c>
      <c r="I17" s="13">
        <f>G17*F17/12</f>
        <v>3964.3413333333338</v>
      </c>
    </row>
    <row r="18" spans="1:9" ht="15.75" customHeight="1">
      <c r="A18" s="27">
        <v>3</v>
      </c>
      <c r="B18" s="70" t="s">
        <v>110</v>
      </c>
      <c r="C18" s="71" t="s">
        <v>82</v>
      </c>
      <c r="D18" s="70" t="s">
        <v>158</v>
      </c>
      <c r="E18" s="72">
        <v>248.6</v>
      </c>
      <c r="F18" s="73">
        <f>SUM(E18*24/100)</f>
        <v>59.663999999999994</v>
      </c>
      <c r="G18" s="73">
        <v>661.67</v>
      </c>
      <c r="H18" s="74">
        <f t="shared" si="0"/>
        <v>39.477878879999999</v>
      </c>
      <c r="I18" s="13">
        <f>F18/12*G18</f>
        <v>3289.8232399999993</v>
      </c>
    </row>
    <row r="19" spans="1:9" hidden="1">
      <c r="A19" s="27">
        <v>4</v>
      </c>
      <c r="B19" s="70" t="s">
        <v>89</v>
      </c>
      <c r="C19" s="71" t="s">
        <v>90</v>
      </c>
      <c r="D19" s="70" t="s">
        <v>91</v>
      </c>
      <c r="E19" s="72">
        <v>18.48</v>
      </c>
      <c r="F19" s="73">
        <f>SUM(E19/10)</f>
        <v>1.8480000000000001</v>
      </c>
      <c r="G19" s="73">
        <v>223.17</v>
      </c>
      <c r="H19" s="74">
        <f t="shared" si="0"/>
        <v>0.41241815999999998</v>
      </c>
      <c r="I19" s="13">
        <f>1.848*G19</f>
        <v>412.41816</v>
      </c>
    </row>
    <row r="20" spans="1:9" ht="18.75" customHeight="1">
      <c r="A20" s="27">
        <v>4</v>
      </c>
      <c r="B20" s="70" t="s">
        <v>92</v>
      </c>
      <c r="C20" s="71" t="s">
        <v>82</v>
      </c>
      <c r="D20" s="70" t="s">
        <v>162</v>
      </c>
      <c r="E20" s="72">
        <v>10.5</v>
      </c>
      <c r="F20" s="73">
        <f>SUM(E20*12/100)</f>
        <v>1.26</v>
      </c>
      <c r="G20" s="73">
        <v>285.76</v>
      </c>
      <c r="H20" s="74">
        <f t="shared" si="0"/>
        <v>0.36005759999999998</v>
      </c>
      <c r="I20" s="13">
        <f>F20/12*G20</f>
        <v>30.004799999999999</v>
      </c>
    </row>
    <row r="21" spans="1:9" hidden="1">
      <c r="A21" s="27">
        <v>6</v>
      </c>
      <c r="B21" s="70" t="s">
        <v>93</v>
      </c>
      <c r="C21" s="71" t="s">
        <v>82</v>
      </c>
      <c r="D21" s="70" t="s">
        <v>41</v>
      </c>
      <c r="E21" s="72">
        <v>3</v>
      </c>
      <c r="F21" s="73">
        <f>SUM(E21*2/100)</f>
        <v>0.06</v>
      </c>
      <c r="G21" s="73">
        <v>283.44</v>
      </c>
      <c r="H21" s="74">
        <f t="shared" si="0"/>
        <v>1.7006399999999998E-2</v>
      </c>
      <c r="I21" s="13">
        <f>0.03*G21</f>
        <v>8.5031999999999996</v>
      </c>
    </row>
    <row r="22" spans="1:9" hidden="1">
      <c r="A22" s="27">
        <v>7</v>
      </c>
      <c r="B22" s="70" t="s">
        <v>94</v>
      </c>
      <c r="C22" s="71" t="s">
        <v>52</v>
      </c>
      <c r="D22" s="70" t="s">
        <v>91</v>
      </c>
      <c r="E22" s="72">
        <v>267.75</v>
      </c>
      <c r="F22" s="73">
        <f>SUM(E22/100)</f>
        <v>2.6775000000000002</v>
      </c>
      <c r="G22" s="73">
        <v>353.14</v>
      </c>
      <c r="H22" s="74">
        <f t="shared" si="0"/>
        <v>0.94553235000000002</v>
      </c>
      <c r="I22" s="13">
        <f>2.6775*G22</f>
        <v>945.53235000000006</v>
      </c>
    </row>
    <row r="23" spans="1:9" hidden="1">
      <c r="A23" s="27">
        <v>8</v>
      </c>
      <c r="B23" s="70" t="s">
        <v>95</v>
      </c>
      <c r="C23" s="71" t="s">
        <v>52</v>
      </c>
      <c r="D23" s="70" t="s">
        <v>91</v>
      </c>
      <c r="E23" s="75">
        <v>36.229999999999997</v>
      </c>
      <c r="F23" s="73">
        <f>SUM(E23/100)</f>
        <v>0.36229999999999996</v>
      </c>
      <c r="G23" s="73">
        <v>58.08</v>
      </c>
      <c r="H23" s="74">
        <f t="shared" si="0"/>
        <v>2.1042383999999997E-2</v>
      </c>
      <c r="I23" s="13">
        <f>0.3623*G23</f>
        <v>21.042383999999998</v>
      </c>
    </row>
    <row r="24" spans="1:9" hidden="1">
      <c r="A24" s="27">
        <v>9</v>
      </c>
      <c r="B24" s="70" t="s">
        <v>96</v>
      </c>
      <c r="C24" s="71" t="s">
        <v>52</v>
      </c>
      <c r="D24" s="70" t="s">
        <v>53</v>
      </c>
      <c r="E24" s="72">
        <v>15</v>
      </c>
      <c r="F24" s="73">
        <f>SUM(E24/100)</f>
        <v>0.15</v>
      </c>
      <c r="G24" s="73">
        <v>511.12</v>
      </c>
      <c r="H24" s="74">
        <f t="shared" si="0"/>
        <v>7.6667999999999986E-2</v>
      </c>
      <c r="I24" s="13">
        <f>0.15*G24</f>
        <v>76.667999999999992</v>
      </c>
    </row>
    <row r="25" spans="1:9" hidden="1">
      <c r="A25" s="27">
        <v>10</v>
      </c>
      <c r="B25" s="70" t="s">
        <v>97</v>
      </c>
      <c r="C25" s="71" t="s">
        <v>52</v>
      </c>
      <c r="D25" s="70" t="s">
        <v>53</v>
      </c>
      <c r="E25" s="72">
        <v>6.38</v>
      </c>
      <c r="F25" s="73">
        <f>SUM(E25/100)</f>
        <v>6.3799999999999996E-2</v>
      </c>
      <c r="G25" s="73">
        <v>683.05</v>
      </c>
      <c r="H25" s="74">
        <f t="shared" si="0"/>
        <v>4.3578589999999993E-2</v>
      </c>
      <c r="I25" s="13">
        <f>0.0638*G25</f>
        <v>43.578589999999991</v>
      </c>
    </row>
    <row r="26" spans="1:9" ht="30" hidden="1">
      <c r="A26" s="27">
        <v>11</v>
      </c>
      <c r="B26" s="70" t="s">
        <v>116</v>
      </c>
      <c r="C26" s="71" t="s">
        <v>52</v>
      </c>
      <c r="D26" s="70" t="s">
        <v>53</v>
      </c>
      <c r="E26" s="72">
        <v>14.25</v>
      </c>
      <c r="F26" s="73">
        <v>0.14000000000000001</v>
      </c>
      <c r="G26" s="73">
        <v>283.44</v>
      </c>
      <c r="H26" s="74">
        <f>G26*F26/1000</f>
        <v>3.9681600000000004E-2</v>
      </c>
      <c r="I26" s="13">
        <f>0.14*G26</f>
        <v>39.681600000000003</v>
      </c>
    </row>
    <row r="27" spans="1:9" ht="18" hidden="1" customHeight="1">
      <c r="A27" s="27">
        <v>5</v>
      </c>
      <c r="B27" s="70" t="s">
        <v>195</v>
      </c>
      <c r="C27" s="71" t="s">
        <v>25</v>
      </c>
      <c r="D27" s="70" t="s">
        <v>202</v>
      </c>
      <c r="E27" s="77">
        <v>4.37</v>
      </c>
      <c r="F27" s="73">
        <f>E27*258</f>
        <v>1127.46</v>
      </c>
      <c r="G27" s="73">
        <v>10.39</v>
      </c>
      <c r="H27" s="74">
        <f>SUM(F27*G27/1000)</f>
        <v>11.714309400000001</v>
      </c>
      <c r="I27" s="13">
        <f>G27*F27/12</f>
        <v>976.19245000000012</v>
      </c>
    </row>
    <row r="28" spans="1:9">
      <c r="A28" s="185" t="s">
        <v>80</v>
      </c>
      <c r="B28" s="185"/>
      <c r="C28" s="185"/>
      <c r="D28" s="185"/>
      <c r="E28" s="185"/>
      <c r="F28" s="185"/>
      <c r="G28" s="185"/>
      <c r="H28" s="185"/>
      <c r="I28" s="185"/>
    </row>
    <row r="29" spans="1:9" ht="21" customHeight="1">
      <c r="A29" s="27"/>
      <c r="B29" s="101" t="s">
        <v>28</v>
      </c>
      <c r="C29" s="71"/>
      <c r="D29" s="70"/>
      <c r="E29" s="72"/>
      <c r="F29" s="73"/>
      <c r="G29" s="73"/>
      <c r="H29" s="74"/>
      <c r="I29" s="13"/>
    </row>
    <row r="30" spans="1:9" ht="18.75" customHeight="1">
      <c r="A30" s="27">
        <v>5</v>
      </c>
      <c r="B30" s="70" t="s">
        <v>99</v>
      </c>
      <c r="C30" s="71" t="s">
        <v>84</v>
      </c>
      <c r="D30" s="70" t="s">
        <v>186</v>
      </c>
      <c r="E30" s="73">
        <v>665</v>
      </c>
      <c r="F30" s="73">
        <f>SUM(E30*52/1000)</f>
        <v>34.58</v>
      </c>
      <c r="G30" s="73">
        <v>204.44</v>
      </c>
      <c r="H30" s="74">
        <f t="shared" ref="H30:H32" si="1">SUM(F30*G30/1000)</f>
        <v>7.0695351999999989</v>
      </c>
      <c r="I30" s="13">
        <f t="shared" ref="I30:I31" si="2">F30/6*G30</f>
        <v>1178.2558666666666</v>
      </c>
    </row>
    <row r="31" spans="1:9" ht="45" customHeight="1">
      <c r="A31" s="27">
        <v>6</v>
      </c>
      <c r="B31" s="70" t="s">
        <v>112</v>
      </c>
      <c r="C31" s="71" t="s">
        <v>84</v>
      </c>
      <c r="D31" s="70" t="s">
        <v>164</v>
      </c>
      <c r="E31" s="73">
        <v>81.5</v>
      </c>
      <c r="F31" s="73">
        <f>SUM(E31*78/1000)</f>
        <v>6.3570000000000002</v>
      </c>
      <c r="G31" s="73">
        <v>339.21</v>
      </c>
      <c r="H31" s="74">
        <f t="shared" si="1"/>
        <v>2.1563579700000002</v>
      </c>
      <c r="I31" s="13">
        <f t="shared" si="2"/>
        <v>359.39299500000004</v>
      </c>
    </row>
    <row r="32" spans="1:9" ht="14.25" hidden="1" customHeight="1">
      <c r="A32" s="27">
        <v>9</v>
      </c>
      <c r="B32" s="70" t="s">
        <v>27</v>
      </c>
      <c r="C32" s="71" t="s">
        <v>84</v>
      </c>
      <c r="D32" s="70" t="s">
        <v>157</v>
      </c>
      <c r="E32" s="73">
        <v>665</v>
      </c>
      <c r="F32" s="73">
        <f>SUM(E32/1000)</f>
        <v>0.66500000000000004</v>
      </c>
      <c r="G32" s="73">
        <v>3961.23</v>
      </c>
      <c r="H32" s="74">
        <f t="shared" si="1"/>
        <v>2.63421795</v>
      </c>
      <c r="I32" s="13">
        <f>F32*G32</f>
        <v>2634.2179500000002</v>
      </c>
    </row>
    <row r="33" spans="1:9" ht="13.5" customHeight="1">
      <c r="A33" s="27">
        <v>7</v>
      </c>
      <c r="B33" s="70" t="s">
        <v>111</v>
      </c>
      <c r="C33" s="71" t="s">
        <v>39</v>
      </c>
      <c r="D33" s="70" t="s">
        <v>190</v>
      </c>
      <c r="E33" s="73">
        <v>3</v>
      </c>
      <c r="F33" s="73">
        <f>E33*155/100</f>
        <v>4.6500000000000004</v>
      </c>
      <c r="G33" s="73">
        <v>1707.63</v>
      </c>
      <c r="H33" s="74">
        <f>G33*F33/1000</f>
        <v>7.9404795000000012</v>
      </c>
      <c r="I33" s="13">
        <f>F33/6*G33</f>
        <v>1323.4132500000001</v>
      </c>
    </row>
    <row r="34" spans="1:9" hidden="1">
      <c r="A34" s="27"/>
      <c r="B34" s="70" t="s">
        <v>63</v>
      </c>
      <c r="C34" s="71" t="s">
        <v>32</v>
      </c>
      <c r="D34" s="70" t="s">
        <v>65</v>
      </c>
      <c r="E34" s="72"/>
      <c r="F34" s="73">
        <v>1</v>
      </c>
      <c r="G34" s="73">
        <v>250.92</v>
      </c>
      <c r="H34" s="74">
        <f t="shared" ref="H34:H35" si="3">SUM(F34*G34/1000)</f>
        <v>0.25091999999999998</v>
      </c>
      <c r="I34" s="13">
        <v>0</v>
      </c>
    </row>
    <row r="35" spans="1:9" hidden="1">
      <c r="A35" s="27"/>
      <c r="B35" s="70" t="s">
        <v>64</v>
      </c>
      <c r="C35" s="71" t="s">
        <v>31</v>
      </c>
      <c r="D35" s="70" t="s">
        <v>65</v>
      </c>
      <c r="E35" s="72"/>
      <c r="F35" s="73">
        <v>1</v>
      </c>
      <c r="G35" s="73">
        <v>1490.31</v>
      </c>
      <c r="H35" s="74">
        <f t="shared" si="3"/>
        <v>1.49031</v>
      </c>
      <c r="I35" s="13">
        <v>0</v>
      </c>
    </row>
    <row r="36" spans="1:9" hidden="1">
      <c r="A36" s="27"/>
      <c r="B36" s="101" t="s">
        <v>5</v>
      </c>
      <c r="C36" s="71"/>
      <c r="D36" s="70"/>
      <c r="E36" s="72"/>
      <c r="F36" s="73"/>
      <c r="G36" s="73"/>
      <c r="H36" s="74" t="s">
        <v>128</v>
      </c>
      <c r="I36" s="13"/>
    </row>
    <row r="37" spans="1:9" hidden="1">
      <c r="A37" s="27">
        <v>7</v>
      </c>
      <c r="B37" s="79" t="s">
        <v>26</v>
      </c>
      <c r="C37" s="71" t="s">
        <v>31</v>
      </c>
      <c r="D37" s="70"/>
      <c r="E37" s="72"/>
      <c r="F37" s="73">
        <v>5</v>
      </c>
      <c r="G37" s="73">
        <v>2003</v>
      </c>
      <c r="H37" s="74">
        <f t="shared" ref="H37:H44" si="4">SUM(F37*G37/1000)</f>
        <v>10.015000000000001</v>
      </c>
      <c r="I37" s="13">
        <f t="shared" ref="I37:I41" si="5">F37/6*G37</f>
        <v>1669.1666666666667</v>
      </c>
    </row>
    <row r="38" spans="1:9" ht="30" hidden="1">
      <c r="A38" s="27">
        <v>8</v>
      </c>
      <c r="B38" s="79" t="s">
        <v>100</v>
      </c>
      <c r="C38" s="80" t="s">
        <v>29</v>
      </c>
      <c r="D38" s="70" t="s">
        <v>117</v>
      </c>
      <c r="E38" s="72">
        <v>81.5</v>
      </c>
      <c r="F38" s="81">
        <f>E38*30/1000</f>
        <v>2.4449999999999998</v>
      </c>
      <c r="G38" s="73">
        <v>2757.78</v>
      </c>
      <c r="H38" s="74">
        <f t="shared" si="4"/>
        <v>6.7427720999999998</v>
      </c>
      <c r="I38" s="13">
        <f t="shared" si="5"/>
        <v>1123.7953500000001</v>
      </c>
    </row>
    <row r="39" spans="1:9" ht="30" hidden="1">
      <c r="A39" s="27">
        <v>9</v>
      </c>
      <c r="B39" s="70" t="s">
        <v>66</v>
      </c>
      <c r="C39" s="71" t="s">
        <v>29</v>
      </c>
      <c r="D39" s="70" t="s">
        <v>83</v>
      </c>
      <c r="E39" s="73">
        <v>81.5</v>
      </c>
      <c r="F39" s="81">
        <f>SUM(E39*155/1000)</f>
        <v>12.6325</v>
      </c>
      <c r="G39" s="73">
        <v>460.02</v>
      </c>
      <c r="H39" s="74">
        <f t="shared" si="4"/>
        <v>5.8112026500000002</v>
      </c>
      <c r="I39" s="13">
        <f t="shared" si="5"/>
        <v>968.53377499999999</v>
      </c>
    </row>
    <row r="40" spans="1:9" hidden="1">
      <c r="A40" s="27"/>
      <c r="B40" s="70" t="s">
        <v>113</v>
      </c>
      <c r="C40" s="71" t="s">
        <v>114</v>
      </c>
      <c r="D40" s="70" t="s">
        <v>65</v>
      </c>
      <c r="E40" s="72"/>
      <c r="F40" s="81">
        <v>26</v>
      </c>
      <c r="G40" s="73">
        <v>314</v>
      </c>
      <c r="H40" s="74">
        <f t="shared" si="4"/>
        <v>8.1639999999999997</v>
      </c>
      <c r="I40" s="13">
        <v>0</v>
      </c>
    </row>
    <row r="41" spans="1:9" ht="60" hidden="1">
      <c r="A41" s="27">
        <v>10</v>
      </c>
      <c r="B41" s="70" t="s">
        <v>78</v>
      </c>
      <c r="C41" s="71" t="s">
        <v>84</v>
      </c>
      <c r="D41" s="70" t="s">
        <v>118</v>
      </c>
      <c r="E41" s="73">
        <v>81.5</v>
      </c>
      <c r="F41" s="81">
        <f>SUM(E41*35/1000)</f>
        <v>2.8525</v>
      </c>
      <c r="G41" s="73">
        <v>7611.16</v>
      </c>
      <c r="H41" s="74">
        <f t="shared" si="4"/>
        <v>21.710833900000001</v>
      </c>
      <c r="I41" s="13">
        <f t="shared" si="5"/>
        <v>3618.4723166666663</v>
      </c>
    </row>
    <row r="42" spans="1:9" hidden="1">
      <c r="A42" s="27">
        <v>11</v>
      </c>
      <c r="B42" s="70" t="s">
        <v>85</v>
      </c>
      <c r="C42" s="71" t="s">
        <v>84</v>
      </c>
      <c r="D42" s="70" t="s">
        <v>67</v>
      </c>
      <c r="E42" s="73">
        <v>81.5</v>
      </c>
      <c r="F42" s="81">
        <f>SUM(E42*45/1000)</f>
        <v>3.6675</v>
      </c>
      <c r="G42" s="73">
        <v>562.25</v>
      </c>
      <c r="H42" s="74">
        <f t="shared" si="4"/>
        <v>2.0620518750000003</v>
      </c>
      <c r="I42" s="13">
        <f>(F42/7.5*1.5)*G42</f>
        <v>412.41037500000004</v>
      </c>
    </row>
    <row r="43" spans="1:9" hidden="1">
      <c r="A43" s="27">
        <v>12</v>
      </c>
      <c r="B43" s="79" t="s">
        <v>68</v>
      </c>
      <c r="C43" s="80" t="s">
        <v>32</v>
      </c>
      <c r="D43" s="79"/>
      <c r="E43" s="77"/>
      <c r="F43" s="81">
        <v>0.9</v>
      </c>
      <c r="G43" s="81">
        <v>974.83</v>
      </c>
      <c r="H43" s="74">
        <f t="shared" si="4"/>
        <v>0.8773470000000001</v>
      </c>
      <c r="I43" s="13">
        <f>(F43/7.5*1.5)*G43</f>
        <v>175.46940000000004</v>
      </c>
    </row>
    <row r="44" spans="1:9" ht="30" hidden="1">
      <c r="A44" s="27">
        <v>13</v>
      </c>
      <c r="B44" s="44" t="s">
        <v>139</v>
      </c>
      <c r="C44" s="45" t="s">
        <v>29</v>
      </c>
      <c r="D44" s="79" t="s">
        <v>140</v>
      </c>
      <c r="E44" s="77">
        <v>2.4</v>
      </c>
      <c r="F44" s="81">
        <f>SUM(E44*12/1000)</f>
        <v>2.8799999999999996E-2</v>
      </c>
      <c r="G44" s="81">
        <v>260.2</v>
      </c>
      <c r="H44" s="74">
        <f t="shared" si="4"/>
        <v>7.4937599999999986E-3</v>
      </c>
      <c r="I44" s="13">
        <f>F44/6*G44</f>
        <v>1.2489599999999998</v>
      </c>
    </row>
    <row r="45" spans="1:9" hidden="1">
      <c r="A45" s="186" t="s">
        <v>122</v>
      </c>
      <c r="B45" s="187"/>
      <c r="C45" s="187"/>
      <c r="D45" s="187"/>
      <c r="E45" s="187"/>
      <c r="F45" s="187"/>
      <c r="G45" s="187"/>
      <c r="H45" s="187"/>
      <c r="I45" s="188"/>
    </row>
    <row r="46" spans="1:9" hidden="1">
      <c r="A46" s="27">
        <v>19</v>
      </c>
      <c r="B46" s="70" t="s">
        <v>119</v>
      </c>
      <c r="C46" s="71" t="s">
        <v>84</v>
      </c>
      <c r="D46" s="70" t="s">
        <v>157</v>
      </c>
      <c r="E46" s="72">
        <v>1080</v>
      </c>
      <c r="F46" s="73">
        <f>SUM(E46*2/1000)</f>
        <v>2.16</v>
      </c>
      <c r="G46" s="31">
        <v>1172.4100000000001</v>
      </c>
      <c r="H46" s="74">
        <f t="shared" ref="H46:H54" si="6">SUM(F46*G46/1000)</f>
        <v>2.5324056000000006</v>
      </c>
      <c r="I46" s="13">
        <f t="shared" ref="I46:I49" si="7">F46/2*G46</f>
        <v>1266.2028000000003</v>
      </c>
    </row>
    <row r="47" spans="1:9" hidden="1">
      <c r="A47" s="27">
        <v>20</v>
      </c>
      <c r="B47" s="70" t="s">
        <v>34</v>
      </c>
      <c r="C47" s="71" t="s">
        <v>84</v>
      </c>
      <c r="D47" s="70" t="s">
        <v>157</v>
      </c>
      <c r="E47" s="72">
        <v>39</v>
      </c>
      <c r="F47" s="73">
        <f>SUM(E47*2/1000)</f>
        <v>7.8E-2</v>
      </c>
      <c r="G47" s="31">
        <v>4419.05</v>
      </c>
      <c r="H47" s="74">
        <f t="shared" si="6"/>
        <v>0.34468589999999999</v>
      </c>
      <c r="I47" s="13">
        <f t="shared" si="7"/>
        <v>172.34295</v>
      </c>
    </row>
    <row r="48" spans="1:9" hidden="1">
      <c r="A48" s="27">
        <v>21</v>
      </c>
      <c r="B48" s="70" t="s">
        <v>35</v>
      </c>
      <c r="C48" s="71" t="s">
        <v>84</v>
      </c>
      <c r="D48" s="70" t="s">
        <v>163</v>
      </c>
      <c r="E48" s="72">
        <v>1037</v>
      </c>
      <c r="F48" s="73">
        <f>SUM(E48*2/1000)</f>
        <v>2.0739999999999998</v>
      </c>
      <c r="G48" s="31">
        <v>1803.69</v>
      </c>
      <c r="H48" s="74">
        <f t="shared" si="6"/>
        <v>3.7408530600000001</v>
      </c>
      <c r="I48" s="13">
        <f t="shared" si="7"/>
        <v>1870.42653</v>
      </c>
    </row>
    <row r="49" spans="1:9" hidden="1">
      <c r="A49" s="27">
        <v>22</v>
      </c>
      <c r="B49" s="70" t="s">
        <v>36</v>
      </c>
      <c r="C49" s="71" t="s">
        <v>84</v>
      </c>
      <c r="D49" s="70" t="s">
        <v>157</v>
      </c>
      <c r="E49" s="72">
        <v>2274</v>
      </c>
      <c r="F49" s="73">
        <f>SUM(E49*2/1000)</f>
        <v>4.548</v>
      </c>
      <c r="G49" s="31">
        <v>1243.43</v>
      </c>
      <c r="H49" s="74">
        <f t="shared" si="6"/>
        <v>5.6551196399999997</v>
      </c>
      <c r="I49" s="13">
        <f t="shared" si="7"/>
        <v>2827.5598199999999</v>
      </c>
    </row>
    <row r="50" spans="1:9" hidden="1">
      <c r="A50" s="27">
        <v>23</v>
      </c>
      <c r="B50" s="70" t="s">
        <v>33</v>
      </c>
      <c r="C50" s="71" t="s">
        <v>52</v>
      </c>
      <c r="D50" s="70" t="s">
        <v>157</v>
      </c>
      <c r="E50" s="72">
        <v>83.04</v>
      </c>
      <c r="F50" s="73">
        <v>1.66</v>
      </c>
      <c r="G50" s="31">
        <v>1352.76</v>
      </c>
      <c r="H50" s="74">
        <f>SUM(F50*G50/1000)</f>
        <v>2.2455816</v>
      </c>
      <c r="I50" s="13">
        <f>F50/2*G50</f>
        <v>1122.7908</v>
      </c>
    </row>
    <row r="51" spans="1:9" hidden="1">
      <c r="A51" s="27">
        <v>24</v>
      </c>
      <c r="B51" s="70" t="s">
        <v>167</v>
      </c>
      <c r="C51" s="71" t="s">
        <v>84</v>
      </c>
      <c r="D51" s="70" t="s">
        <v>157</v>
      </c>
      <c r="E51" s="72">
        <v>2626.5</v>
      </c>
      <c r="F51" s="73">
        <f>SUM(E51*5/1000)</f>
        <v>13.1325</v>
      </c>
      <c r="G51" s="31">
        <v>1803.69</v>
      </c>
      <c r="H51" s="74">
        <f t="shared" ref="H51:H53" si="8">SUM(F51*G51/1000)</f>
        <v>23.686958925000003</v>
      </c>
      <c r="I51" s="13">
        <f>F51/5*G51</f>
        <v>4737.3917849999998</v>
      </c>
    </row>
    <row r="52" spans="1:9" ht="45" hidden="1">
      <c r="A52" s="27">
        <v>25</v>
      </c>
      <c r="B52" s="70" t="s">
        <v>86</v>
      </c>
      <c r="C52" s="71" t="s">
        <v>84</v>
      </c>
      <c r="D52" s="70" t="s">
        <v>157</v>
      </c>
      <c r="E52" s="72">
        <v>2626.5</v>
      </c>
      <c r="F52" s="73">
        <f>SUM(E52*2/1000)</f>
        <v>5.2530000000000001</v>
      </c>
      <c r="G52" s="31">
        <v>1591.6</v>
      </c>
      <c r="H52" s="74">
        <f t="shared" si="8"/>
        <v>8.3606747999999982</v>
      </c>
      <c r="I52" s="13">
        <f>F52/2*G52</f>
        <v>4180.3373999999994</v>
      </c>
    </row>
    <row r="53" spans="1:9" ht="30" hidden="1">
      <c r="A53" s="27">
        <v>26</v>
      </c>
      <c r="B53" s="70" t="s">
        <v>87</v>
      </c>
      <c r="C53" s="71" t="s">
        <v>37</v>
      </c>
      <c r="D53" s="70" t="s">
        <v>157</v>
      </c>
      <c r="E53" s="72">
        <v>15</v>
      </c>
      <c r="F53" s="73">
        <f>SUM(E53*2/100)</f>
        <v>0.3</v>
      </c>
      <c r="G53" s="31">
        <v>4058.32</v>
      </c>
      <c r="H53" s="74">
        <f t="shared" si="8"/>
        <v>1.2174960000000001</v>
      </c>
      <c r="I53" s="13">
        <f t="shared" ref="I53:I54" si="9">F53/2*G53</f>
        <v>608.74800000000005</v>
      </c>
    </row>
    <row r="54" spans="1:9" hidden="1">
      <c r="A54" s="27">
        <v>27</v>
      </c>
      <c r="B54" s="70" t="s">
        <v>38</v>
      </c>
      <c r="C54" s="71" t="s">
        <v>39</v>
      </c>
      <c r="D54" s="70" t="s">
        <v>157</v>
      </c>
      <c r="E54" s="72">
        <v>1</v>
      </c>
      <c r="F54" s="73">
        <v>0.02</v>
      </c>
      <c r="G54" s="31">
        <v>7412.92</v>
      </c>
      <c r="H54" s="74">
        <f t="shared" si="6"/>
        <v>0.14825839999999998</v>
      </c>
      <c r="I54" s="13">
        <f t="shared" si="9"/>
        <v>74.129199999999997</v>
      </c>
    </row>
    <row r="55" spans="1:9" ht="18" hidden="1" customHeight="1">
      <c r="A55" s="27">
        <v>11</v>
      </c>
      <c r="B55" s="70" t="s">
        <v>40</v>
      </c>
      <c r="C55" s="71" t="s">
        <v>101</v>
      </c>
      <c r="D55" s="70" t="s">
        <v>69</v>
      </c>
      <c r="E55" s="72">
        <v>90</v>
      </c>
      <c r="F55" s="73">
        <f>SUM(E55)*3</f>
        <v>270</v>
      </c>
      <c r="G55" s="69">
        <v>86.15</v>
      </c>
      <c r="H55" s="74">
        <f>SUM(F55*G55/1000)</f>
        <v>23.2605</v>
      </c>
      <c r="I55" s="13">
        <f>F55/3*G55</f>
        <v>7753.5000000000009</v>
      </c>
    </row>
    <row r="56" spans="1:9">
      <c r="A56" s="186" t="s">
        <v>126</v>
      </c>
      <c r="B56" s="187"/>
      <c r="C56" s="187"/>
      <c r="D56" s="187"/>
      <c r="E56" s="187"/>
      <c r="F56" s="187"/>
      <c r="G56" s="187"/>
      <c r="H56" s="187"/>
      <c r="I56" s="188"/>
    </row>
    <row r="57" spans="1:9">
      <c r="A57" s="27"/>
      <c r="B57" s="101" t="s">
        <v>42</v>
      </c>
      <c r="C57" s="71"/>
      <c r="D57" s="70"/>
      <c r="E57" s="72"/>
      <c r="F57" s="73"/>
      <c r="G57" s="73"/>
      <c r="H57" s="74"/>
      <c r="I57" s="13"/>
    </row>
    <row r="58" spans="1:9" ht="45" hidden="1">
      <c r="A58" s="27">
        <v>15</v>
      </c>
      <c r="B58" s="70" t="s">
        <v>154</v>
      </c>
      <c r="C58" s="71" t="s">
        <v>82</v>
      </c>
      <c r="D58" s="70" t="s">
        <v>102</v>
      </c>
      <c r="E58" s="72">
        <v>111</v>
      </c>
      <c r="F58" s="73">
        <f>SUM(E58*6/100)</f>
        <v>6.66</v>
      </c>
      <c r="G58" s="31">
        <v>2029.3</v>
      </c>
      <c r="H58" s="74">
        <f>SUM(F58*G58/1000)</f>
        <v>13.515138</v>
      </c>
      <c r="I58" s="13">
        <f>G58*0.76</f>
        <v>1542.268</v>
      </c>
    </row>
    <row r="59" spans="1:9">
      <c r="A59" s="27">
        <v>8</v>
      </c>
      <c r="B59" s="70" t="s">
        <v>160</v>
      </c>
      <c r="C59" s="71" t="s">
        <v>142</v>
      </c>
      <c r="D59" s="70" t="s">
        <v>200</v>
      </c>
      <c r="E59" s="72"/>
      <c r="F59" s="73">
        <v>3</v>
      </c>
      <c r="G59" s="31">
        <v>1582.05</v>
      </c>
      <c r="H59" s="74">
        <f>SUM(F59*G59/1000)</f>
        <v>4.7461499999999992</v>
      </c>
      <c r="I59" s="13">
        <f>G59*2</f>
        <v>3164.1</v>
      </c>
    </row>
    <row r="60" spans="1:9" ht="15.75" customHeight="1">
      <c r="A60" s="27"/>
      <c r="B60" s="102" t="s">
        <v>43</v>
      </c>
      <c r="C60" s="82"/>
      <c r="D60" s="83"/>
      <c r="E60" s="84"/>
      <c r="F60" s="85"/>
      <c r="G60" s="31"/>
      <c r="H60" s="86"/>
      <c r="I60" s="13"/>
    </row>
    <row r="61" spans="1:9" hidden="1">
      <c r="A61" s="27"/>
      <c r="B61" s="83" t="s">
        <v>44</v>
      </c>
      <c r="C61" s="82" t="s">
        <v>52</v>
      </c>
      <c r="D61" s="83" t="s">
        <v>53</v>
      </c>
      <c r="E61" s="84">
        <v>130</v>
      </c>
      <c r="F61" s="85">
        <f>E61/100</f>
        <v>1.3</v>
      </c>
      <c r="G61" s="31">
        <v>1040.8399999999999</v>
      </c>
      <c r="H61" s="86">
        <f>F61*G61/1000</f>
        <v>1.353092</v>
      </c>
      <c r="I61" s="13">
        <v>0</v>
      </c>
    </row>
    <row r="62" spans="1:9" ht="18" customHeight="1">
      <c r="A62" s="27">
        <v>9</v>
      </c>
      <c r="B62" s="83" t="s">
        <v>115</v>
      </c>
      <c r="C62" s="82" t="s">
        <v>25</v>
      </c>
      <c r="D62" s="83" t="s">
        <v>156</v>
      </c>
      <c r="E62" s="84">
        <v>130</v>
      </c>
      <c r="F62" s="87">
        <f>E62*12</f>
        <v>1560</v>
      </c>
      <c r="G62" s="88">
        <v>1.4</v>
      </c>
      <c r="H62" s="85">
        <f>F62*G62/1000</f>
        <v>2.1840000000000002</v>
      </c>
      <c r="I62" s="13">
        <f t="shared" ref="I62" si="10">F62/12*G62</f>
        <v>182</v>
      </c>
    </row>
    <row r="63" spans="1:9" ht="19.5" customHeight="1">
      <c r="A63" s="27"/>
      <c r="B63" s="103" t="s">
        <v>45</v>
      </c>
      <c r="C63" s="82"/>
      <c r="D63" s="83"/>
      <c r="E63" s="84"/>
      <c r="F63" s="87"/>
      <c r="G63" s="87"/>
      <c r="H63" s="85" t="s">
        <v>128</v>
      </c>
      <c r="I63" s="13"/>
    </row>
    <row r="64" spans="1:9" ht="18.75" customHeight="1">
      <c r="A64" s="27">
        <v>10</v>
      </c>
      <c r="B64" s="89" t="s">
        <v>46</v>
      </c>
      <c r="C64" s="90" t="s">
        <v>101</v>
      </c>
      <c r="D64" s="70" t="s">
        <v>157</v>
      </c>
      <c r="E64" s="15">
        <v>9</v>
      </c>
      <c r="F64" s="69">
        <f>SUM(E64)</f>
        <v>9</v>
      </c>
      <c r="G64" s="31">
        <v>291.68</v>
      </c>
      <c r="H64" s="63">
        <f t="shared" ref="H64:H82" si="11">SUM(F64*G64/1000)</f>
        <v>2.6251199999999999</v>
      </c>
      <c r="I64" s="13">
        <f>G64*1</f>
        <v>291.68</v>
      </c>
    </row>
    <row r="65" spans="1:9" ht="22.5" hidden="1" customHeight="1">
      <c r="A65" s="27"/>
      <c r="B65" s="89" t="s">
        <v>47</v>
      </c>
      <c r="C65" s="90" t="s">
        <v>101</v>
      </c>
      <c r="D65" s="70" t="s">
        <v>65</v>
      </c>
      <c r="E65" s="15">
        <v>4</v>
      </c>
      <c r="F65" s="69">
        <f>SUM(E65)</f>
        <v>4</v>
      </c>
      <c r="G65" s="31">
        <v>100.01</v>
      </c>
      <c r="H65" s="63">
        <f t="shared" si="11"/>
        <v>0.40004000000000001</v>
      </c>
      <c r="I65" s="13">
        <v>0</v>
      </c>
    </row>
    <row r="66" spans="1:9" ht="20.25" hidden="1" customHeight="1">
      <c r="A66" s="27">
        <v>29</v>
      </c>
      <c r="B66" s="89" t="s">
        <v>48</v>
      </c>
      <c r="C66" s="91" t="s">
        <v>103</v>
      </c>
      <c r="D66" s="33" t="s">
        <v>156</v>
      </c>
      <c r="E66" s="72">
        <v>13287</v>
      </c>
      <c r="F66" s="69">
        <f>SUM(E66/100)</f>
        <v>132.87</v>
      </c>
      <c r="G66" s="31">
        <v>278.24</v>
      </c>
      <c r="H66" s="63">
        <f t="shared" si="11"/>
        <v>36.969748799999998</v>
      </c>
      <c r="I66" s="13">
        <f>132.87*G66</f>
        <v>36969.748800000001</v>
      </c>
    </row>
    <row r="67" spans="1:9" ht="21.75" hidden="1" customHeight="1">
      <c r="A67" s="27">
        <v>30</v>
      </c>
      <c r="B67" s="89" t="s">
        <v>49</v>
      </c>
      <c r="C67" s="90" t="s">
        <v>104</v>
      </c>
      <c r="D67" s="33" t="s">
        <v>156</v>
      </c>
      <c r="E67" s="72">
        <v>13287</v>
      </c>
      <c r="F67" s="31">
        <f>SUM(E67/1000)</f>
        <v>13.287000000000001</v>
      </c>
      <c r="G67" s="31">
        <v>216.68</v>
      </c>
      <c r="H67" s="63">
        <f t="shared" si="11"/>
        <v>2.8790271600000001</v>
      </c>
      <c r="I67" s="13">
        <f>13.287*G67</f>
        <v>2879.0271600000001</v>
      </c>
    </row>
    <row r="68" spans="1:9" ht="23.25" hidden="1" customHeight="1">
      <c r="A68" s="27">
        <v>31</v>
      </c>
      <c r="B68" s="89" t="s">
        <v>50</v>
      </c>
      <c r="C68" s="90" t="s">
        <v>74</v>
      </c>
      <c r="D68" s="33" t="s">
        <v>156</v>
      </c>
      <c r="E68" s="72">
        <v>2110</v>
      </c>
      <c r="F68" s="31">
        <f>SUM(E68/100)</f>
        <v>21.1</v>
      </c>
      <c r="G68" s="31">
        <v>2720.94</v>
      </c>
      <c r="H68" s="63">
        <f>SUM(F68*G68/1000)</f>
        <v>57.411834000000006</v>
      </c>
      <c r="I68" s="13">
        <f>21.1*G68</f>
        <v>57411.834000000003</v>
      </c>
    </row>
    <row r="69" spans="1:9" ht="24.75" hidden="1" customHeight="1">
      <c r="A69" s="27">
        <v>32</v>
      </c>
      <c r="B69" s="92" t="s">
        <v>105</v>
      </c>
      <c r="C69" s="90" t="s">
        <v>32</v>
      </c>
      <c r="D69" s="33"/>
      <c r="E69" s="72">
        <v>8.6</v>
      </c>
      <c r="F69" s="31">
        <f>SUM(E69)</f>
        <v>8.6</v>
      </c>
      <c r="G69" s="31">
        <v>42.61</v>
      </c>
      <c r="H69" s="63">
        <f t="shared" si="11"/>
        <v>0.36644599999999999</v>
      </c>
      <c r="I69" s="13">
        <f>8.6*G69</f>
        <v>366.44599999999997</v>
      </c>
    </row>
    <row r="70" spans="1:9" ht="27" hidden="1" customHeight="1">
      <c r="A70" s="27">
        <v>33</v>
      </c>
      <c r="B70" s="92" t="s">
        <v>106</v>
      </c>
      <c r="C70" s="90" t="s">
        <v>32</v>
      </c>
      <c r="D70" s="33"/>
      <c r="E70" s="72">
        <v>8.6</v>
      </c>
      <c r="F70" s="31">
        <f>SUM(E70)</f>
        <v>8.6</v>
      </c>
      <c r="G70" s="31">
        <v>46.04</v>
      </c>
      <c r="H70" s="63">
        <f t="shared" si="11"/>
        <v>0.39594399999999996</v>
      </c>
      <c r="I70" s="13">
        <f>8.6*G70</f>
        <v>395.94399999999996</v>
      </c>
    </row>
    <row r="71" spans="1:9" ht="32.25" hidden="1" customHeight="1">
      <c r="A71" s="27">
        <v>20</v>
      </c>
      <c r="B71" s="33" t="s">
        <v>56</v>
      </c>
      <c r="C71" s="90" t="s">
        <v>57</v>
      </c>
      <c r="D71" s="33" t="s">
        <v>53</v>
      </c>
      <c r="E71" s="15">
        <v>3</v>
      </c>
      <c r="F71" s="31">
        <f>SUM(E71)</f>
        <v>3</v>
      </c>
      <c r="G71" s="31">
        <v>65.42</v>
      </c>
      <c r="H71" s="63">
        <f t="shared" si="11"/>
        <v>0.19625999999999999</v>
      </c>
      <c r="I71" s="13">
        <f>3*G71</f>
        <v>196.26</v>
      </c>
    </row>
    <row r="72" spans="1:9" ht="17.25" customHeight="1">
      <c r="A72" s="27"/>
      <c r="B72" s="104" t="s">
        <v>70</v>
      </c>
      <c r="C72" s="90"/>
      <c r="D72" s="33"/>
      <c r="E72" s="15"/>
      <c r="F72" s="31"/>
      <c r="G72" s="31"/>
      <c r="H72" s="63" t="s">
        <v>128</v>
      </c>
      <c r="I72" s="13"/>
    </row>
    <row r="73" spans="1:9" ht="30" hidden="1">
      <c r="A73" s="27"/>
      <c r="B73" s="33" t="s">
        <v>143</v>
      </c>
      <c r="C73" s="90" t="s">
        <v>101</v>
      </c>
      <c r="D73" s="70" t="s">
        <v>65</v>
      </c>
      <c r="E73" s="15">
        <v>1</v>
      </c>
      <c r="F73" s="31">
        <v>1</v>
      </c>
      <c r="G73" s="31">
        <v>1543.4</v>
      </c>
      <c r="H73" s="63">
        <f t="shared" ref="H73:H75" si="12">SUM(F73*G73/1000)</f>
        <v>1.5434000000000001</v>
      </c>
      <c r="I73" s="13">
        <v>0</v>
      </c>
    </row>
    <row r="74" spans="1:9" hidden="1">
      <c r="A74" s="27">
        <v>17</v>
      </c>
      <c r="B74" s="33" t="s">
        <v>71</v>
      </c>
      <c r="C74" s="90" t="s">
        <v>72</v>
      </c>
      <c r="D74" s="70" t="s">
        <v>65</v>
      </c>
      <c r="E74" s="15">
        <v>3</v>
      </c>
      <c r="F74" s="31">
        <f>E74/10</f>
        <v>0.3</v>
      </c>
      <c r="G74" s="31">
        <v>657.87</v>
      </c>
      <c r="H74" s="63">
        <f t="shared" si="12"/>
        <v>0.19736099999999998</v>
      </c>
      <c r="I74" s="13">
        <f>G74*0.9</f>
        <v>592.08299999999997</v>
      </c>
    </row>
    <row r="75" spans="1:9" hidden="1">
      <c r="A75" s="27"/>
      <c r="B75" s="33" t="s">
        <v>144</v>
      </c>
      <c r="C75" s="90" t="s">
        <v>101</v>
      </c>
      <c r="D75" s="70" t="s">
        <v>65</v>
      </c>
      <c r="E75" s="15">
        <v>2</v>
      </c>
      <c r="F75" s="73">
        <f>SUM(E75)</f>
        <v>2</v>
      </c>
      <c r="G75" s="31">
        <v>1118.72</v>
      </c>
      <c r="H75" s="63">
        <f t="shared" si="12"/>
        <v>2.2374399999999999</v>
      </c>
      <c r="I75" s="13">
        <v>0</v>
      </c>
    </row>
    <row r="76" spans="1:9" hidden="1">
      <c r="A76" s="27"/>
      <c r="B76" s="44" t="s">
        <v>145</v>
      </c>
      <c r="C76" s="45" t="s">
        <v>101</v>
      </c>
      <c r="D76" s="70" t="s">
        <v>65</v>
      </c>
      <c r="E76" s="15">
        <v>1</v>
      </c>
      <c r="F76" s="88">
        <v>1</v>
      </c>
      <c r="G76" s="31">
        <v>1605.83</v>
      </c>
      <c r="H76" s="63">
        <f>SUM(F76*G76/1000)</f>
        <v>1.6058299999999999</v>
      </c>
      <c r="I76" s="13">
        <v>0</v>
      </c>
    </row>
    <row r="77" spans="1:9" ht="37.5" customHeight="1">
      <c r="A77" s="27">
        <v>11</v>
      </c>
      <c r="B77" s="44" t="s">
        <v>146</v>
      </c>
      <c r="C77" s="45" t="s">
        <v>101</v>
      </c>
      <c r="D77" s="33" t="s">
        <v>156</v>
      </c>
      <c r="E77" s="93">
        <v>2</v>
      </c>
      <c r="F77" s="87">
        <f>E77*12</f>
        <v>24</v>
      </c>
      <c r="G77" s="94">
        <v>53.42</v>
      </c>
      <c r="H77" s="63">
        <f t="shared" ref="H77:H78" si="13">SUM(F77*G77/1000)</f>
        <v>1.2820799999999999</v>
      </c>
      <c r="I77" s="13">
        <f t="shared" ref="I77:I80" si="14">F77/12*G77</f>
        <v>106.84</v>
      </c>
    </row>
    <row r="78" spans="1:9" ht="18" customHeight="1">
      <c r="A78" s="27">
        <v>12</v>
      </c>
      <c r="B78" s="52" t="s">
        <v>147</v>
      </c>
      <c r="C78" s="90"/>
      <c r="D78" s="33" t="s">
        <v>156</v>
      </c>
      <c r="E78" s="15">
        <v>1</v>
      </c>
      <c r="F78" s="31">
        <v>12</v>
      </c>
      <c r="G78" s="31">
        <v>1194</v>
      </c>
      <c r="H78" s="63">
        <f t="shared" si="13"/>
        <v>14.327999999999999</v>
      </c>
      <c r="I78" s="13">
        <f t="shared" si="14"/>
        <v>1194</v>
      </c>
    </row>
    <row r="79" spans="1:9" ht="17.25" customHeight="1">
      <c r="A79" s="27"/>
      <c r="B79" s="105" t="s">
        <v>148</v>
      </c>
      <c r="C79" s="45"/>
      <c r="D79" s="33"/>
      <c r="E79" s="15"/>
      <c r="F79" s="31"/>
      <c r="G79" s="31"/>
      <c r="H79" s="63"/>
      <c r="I79" s="13"/>
    </row>
    <row r="80" spans="1:9" ht="18" customHeight="1">
      <c r="A80" s="27">
        <v>13</v>
      </c>
      <c r="B80" s="33" t="s">
        <v>149</v>
      </c>
      <c r="C80" s="95" t="s">
        <v>150</v>
      </c>
      <c r="D80" s="70" t="s">
        <v>157</v>
      </c>
      <c r="E80" s="15">
        <v>2626.5</v>
      </c>
      <c r="F80" s="31">
        <f>SUM(E80*12)</f>
        <v>31518</v>
      </c>
      <c r="G80" s="31">
        <v>2.2799999999999998</v>
      </c>
      <c r="H80" s="63">
        <f t="shared" ref="H80" si="15">SUM(F80*G80/1000)</f>
        <v>71.861039999999988</v>
      </c>
      <c r="I80" s="13">
        <f t="shared" si="14"/>
        <v>5988.4199999999992</v>
      </c>
    </row>
    <row r="81" spans="1:9" hidden="1">
      <c r="A81" s="27"/>
      <c r="B81" s="106" t="s">
        <v>73</v>
      </c>
      <c r="C81" s="90"/>
      <c r="D81" s="33"/>
      <c r="E81" s="15"/>
      <c r="F81" s="31"/>
      <c r="G81" s="31" t="s">
        <v>128</v>
      </c>
      <c r="H81" s="63" t="s">
        <v>128</v>
      </c>
      <c r="I81" s="13"/>
    </row>
    <row r="82" spans="1:9" hidden="1">
      <c r="A82" s="27"/>
      <c r="B82" s="96" t="s">
        <v>120</v>
      </c>
      <c r="C82" s="91" t="s">
        <v>74</v>
      </c>
      <c r="D82" s="89"/>
      <c r="E82" s="97"/>
      <c r="F82" s="69">
        <v>0.5</v>
      </c>
      <c r="G82" s="69">
        <v>3619.09</v>
      </c>
      <c r="H82" s="63">
        <f t="shared" si="11"/>
        <v>1.8095450000000002</v>
      </c>
      <c r="I82" s="13"/>
    </row>
    <row r="83" spans="1:9" ht="18.75" hidden="1" customHeight="1">
      <c r="A83" s="27"/>
      <c r="B83" s="57" t="s">
        <v>88</v>
      </c>
      <c r="C83" s="13"/>
      <c r="D83" s="13"/>
      <c r="E83" s="13"/>
      <c r="F83" s="13"/>
      <c r="G83" s="13"/>
      <c r="H83" s="13"/>
      <c r="I83" s="13"/>
    </row>
    <row r="84" spans="1:9" ht="17.25" hidden="1" customHeight="1">
      <c r="A84" s="27"/>
      <c r="B84" s="70" t="s">
        <v>107</v>
      </c>
      <c r="C84" s="98"/>
      <c r="D84" s="99"/>
      <c r="E84" s="100"/>
      <c r="F84" s="32">
        <v>1</v>
      </c>
      <c r="G84" s="32">
        <v>8275.7000000000007</v>
      </c>
      <c r="H84" s="63">
        <f>G84*F84/1000</f>
        <v>8.2757000000000005</v>
      </c>
      <c r="I84" s="13"/>
    </row>
    <row r="85" spans="1:9">
      <c r="A85" s="174" t="s">
        <v>125</v>
      </c>
      <c r="B85" s="175"/>
      <c r="C85" s="175"/>
      <c r="D85" s="175"/>
      <c r="E85" s="175"/>
      <c r="F85" s="175"/>
      <c r="G85" s="175"/>
      <c r="H85" s="175"/>
      <c r="I85" s="176"/>
    </row>
    <row r="86" spans="1:9" ht="18" customHeight="1">
      <c r="A86" s="27">
        <v>14</v>
      </c>
      <c r="B86" s="70" t="s">
        <v>108</v>
      </c>
      <c r="C86" s="90" t="s">
        <v>54</v>
      </c>
      <c r="D86" s="56"/>
      <c r="E86" s="31">
        <v>2626.5</v>
      </c>
      <c r="F86" s="31">
        <f>SUM(E86*12)</f>
        <v>31518</v>
      </c>
      <c r="G86" s="31">
        <v>3.1</v>
      </c>
      <c r="H86" s="63">
        <f>SUM(F86*G86/1000)</f>
        <v>97.705799999999996</v>
      </c>
      <c r="I86" s="13">
        <f t="shared" ref="I86:I87" si="16">F86/12*G86</f>
        <v>8142.1500000000005</v>
      </c>
    </row>
    <row r="87" spans="1:9" ht="27.75" customHeight="1">
      <c r="A87" s="27">
        <v>15</v>
      </c>
      <c r="B87" s="33" t="s">
        <v>75</v>
      </c>
      <c r="C87" s="90"/>
      <c r="D87" s="56"/>
      <c r="E87" s="72">
        <f>E86</f>
        <v>2626.5</v>
      </c>
      <c r="F87" s="31">
        <f>E87*12</f>
        <v>31518</v>
      </c>
      <c r="G87" s="31">
        <v>3.5</v>
      </c>
      <c r="H87" s="63">
        <f>F87*G87/1000</f>
        <v>110.313</v>
      </c>
      <c r="I87" s="13">
        <f t="shared" si="16"/>
        <v>9192.75</v>
      </c>
    </row>
    <row r="88" spans="1:9">
      <c r="A88" s="27"/>
      <c r="B88" s="34" t="s">
        <v>77</v>
      </c>
      <c r="C88" s="54"/>
      <c r="D88" s="53"/>
      <c r="E88" s="50"/>
      <c r="F88" s="50"/>
      <c r="G88" s="50"/>
      <c r="H88" s="55">
        <f>H78</f>
        <v>14.327999999999999</v>
      </c>
      <c r="I88" s="50">
        <f>I87+I86+I80+I78+I77+I64+I62+I59+I33+I31+I30+I20+I18+I17+I16</f>
        <v>39893.799484999996</v>
      </c>
    </row>
    <row r="89" spans="1:9">
      <c r="A89" s="163" t="s">
        <v>59</v>
      </c>
      <c r="B89" s="164"/>
      <c r="C89" s="164"/>
      <c r="D89" s="164"/>
      <c r="E89" s="164"/>
      <c r="F89" s="164"/>
      <c r="G89" s="164"/>
      <c r="H89" s="164"/>
      <c r="I89" s="165"/>
    </row>
    <row r="90" spans="1:9" ht="20.25" customHeight="1">
      <c r="A90" s="27">
        <v>16</v>
      </c>
      <c r="B90" s="44" t="s">
        <v>288</v>
      </c>
      <c r="C90" s="45" t="s">
        <v>101</v>
      </c>
      <c r="D90" s="152"/>
      <c r="E90" s="31"/>
      <c r="F90" s="31">
        <v>0.3</v>
      </c>
      <c r="G90" s="31">
        <v>2601.6999999999998</v>
      </c>
      <c r="H90" s="51"/>
      <c r="I90" s="13">
        <f>G90*0.3</f>
        <v>780.50999999999988</v>
      </c>
    </row>
    <row r="91" spans="1:9">
      <c r="A91" s="27">
        <v>17</v>
      </c>
      <c r="B91" s="107" t="s">
        <v>289</v>
      </c>
      <c r="C91" s="95" t="s">
        <v>90</v>
      </c>
      <c r="D91" s="152" t="s">
        <v>291</v>
      </c>
      <c r="E91" s="31"/>
      <c r="F91" s="31">
        <v>0.02</v>
      </c>
      <c r="G91" s="31">
        <v>48874.7</v>
      </c>
      <c r="H91" s="63"/>
      <c r="I91" s="13">
        <f>G91*0.02</f>
        <v>977.49399999999991</v>
      </c>
    </row>
    <row r="92" spans="1:9">
      <c r="A92" s="27">
        <v>18</v>
      </c>
      <c r="B92" s="160" t="s">
        <v>290</v>
      </c>
      <c r="C92" s="45" t="s">
        <v>179</v>
      </c>
      <c r="D92" s="152" t="s">
        <v>291</v>
      </c>
      <c r="E92" s="31"/>
      <c r="F92" s="31">
        <v>0.02</v>
      </c>
      <c r="G92" s="31">
        <v>6841.18</v>
      </c>
      <c r="H92" s="63"/>
      <c r="I92" s="13">
        <f>G92*0.02</f>
        <v>136.8236</v>
      </c>
    </row>
    <row r="93" spans="1:9" ht="16.5" customHeight="1">
      <c r="A93" s="27"/>
      <c r="B93" s="39" t="s">
        <v>51</v>
      </c>
      <c r="C93" s="35"/>
      <c r="D93" s="42"/>
      <c r="E93" s="35">
        <v>1</v>
      </c>
      <c r="F93" s="35"/>
      <c r="G93" s="35"/>
      <c r="H93" s="35"/>
      <c r="I93" s="29">
        <f>SUM(I90:I92)</f>
        <v>1894.8275999999998</v>
      </c>
    </row>
    <row r="94" spans="1:9">
      <c r="A94" s="27"/>
      <c r="B94" s="41" t="s">
        <v>76</v>
      </c>
      <c r="C94" s="14"/>
      <c r="D94" s="14"/>
      <c r="E94" s="36"/>
      <c r="F94" s="36"/>
      <c r="G94" s="37"/>
      <c r="H94" s="37"/>
      <c r="I94" s="15">
        <v>0</v>
      </c>
    </row>
    <row r="95" spans="1:9">
      <c r="A95" s="43"/>
      <c r="B95" s="40" t="s">
        <v>134</v>
      </c>
      <c r="C95" s="30"/>
      <c r="D95" s="30"/>
      <c r="E95" s="30"/>
      <c r="F95" s="30"/>
      <c r="G95" s="30"/>
      <c r="H95" s="30"/>
      <c r="I95" s="38">
        <f>I88+I93</f>
        <v>41788.627084999993</v>
      </c>
    </row>
    <row r="96" spans="1:9" ht="15.75">
      <c r="A96" s="166" t="s">
        <v>292</v>
      </c>
      <c r="B96" s="166"/>
      <c r="C96" s="166"/>
      <c r="D96" s="166"/>
      <c r="E96" s="166"/>
      <c r="F96" s="166"/>
      <c r="G96" s="166"/>
      <c r="H96" s="166"/>
      <c r="I96" s="166"/>
    </row>
    <row r="97" spans="1:9" ht="15.75">
      <c r="A97" s="46"/>
      <c r="B97" s="167" t="s">
        <v>293</v>
      </c>
      <c r="C97" s="167"/>
      <c r="D97" s="167"/>
      <c r="E97" s="167"/>
      <c r="F97" s="167"/>
      <c r="G97" s="167"/>
      <c r="H97" s="49"/>
      <c r="I97" s="3"/>
    </row>
    <row r="98" spans="1:9">
      <c r="A98" s="136"/>
      <c r="B98" s="168" t="s">
        <v>6</v>
      </c>
      <c r="C98" s="168"/>
      <c r="D98" s="168"/>
      <c r="E98" s="168"/>
      <c r="F98" s="168"/>
      <c r="G98" s="168"/>
      <c r="H98" s="22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69" t="s">
        <v>7</v>
      </c>
      <c r="B100" s="169"/>
      <c r="C100" s="169"/>
      <c r="D100" s="169"/>
      <c r="E100" s="169"/>
      <c r="F100" s="169"/>
      <c r="G100" s="169"/>
      <c r="H100" s="169"/>
      <c r="I100" s="169"/>
    </row>
    <row r="101" spans="1:9" ht="15.75">
      <c r="A101" s="169" t="s">
        <v>8</v>
      </c>
      <c r="B101" s="169"/>
      <c r="C101" s="169"/>
      <c r="D101" s="169"/>
      <c r="E101" s="169"/>
      <c r="F101" s="169"/>
      <c r="G101" s="169"/>
      <c r="H101" s="169"/>
      <c r="I101" s="169"/>
    </row>
    <row r="102" spans="1:9" ht="15.75">
      <c r="A102" s="170" t="s">
        <v>60</v>
      </c>
      <c r="B102" s="170"/>
      <c r="C102" s="170"/>
      <c r="D102" s="170"/>
      <c r="E102" s="170"/>
      <c r="F102" s="170"/>
      <c r="G102" s="170"/>
      <c r="H102" s="170"/>
      <c r="I102" s="170"/>
    </row>
    <row r="103" spans="1:9" ht="15.75">
      <c r="A103" s="11"/>
    </row>
    <row r="104" spans="1:9" ht="15.75">
      <c r="A104" s="171" t="s">
        <v>9</v>
      </c>
      <c r="B104" s="171"/>
      <c r="C104" s="171"/>
      <c r="D104" s="171"/>
      <c r="E104" s="171"/>
      <c r="F104" s="171"/>
      <c r="G104" s="171"/>
      <c r="H104" s="171"/>
      <c r="I104" s="171"/>
    </row>
    <row r="105" spans="1:9" ht="15.75">
      <c r="A105" s="4"/>
    </row>
    <row r="106" spans="1:9" ht="15.75">
      <c r="B106" s="138" t="s">
        <v>10</v>
      </c>
      <c r="C106" s="172" t="s">
        <v>217</v>
      </c>
      <c r="D106" s="172"/>
      <c r="E106" s="172"/>
      <c r="F106" s="47"/>
      <c r="I106" s="139"/>
    </row>
    <row r="107" spans="1:9">
      <c r="A107" s="136"/>
      <c r="C107" s="168" t="s">
        <v>11</v>
      </c>
      <c r="D107" s="168"/>
      <c r="E107" s="168"/>
      <c r="F107" s="22"/>
      <c r="I107" s="137" t="s">
        <v>12</v>
      </c>
    </row>
    <row r="108" spans="1:9" ht="15.75">
      <c r="A108" s="23"/>
      <c r="C108" s="12"/>
      <c r="D108" s="12"/>
      <c r="G108" s="12"/>
      <c r="H108" s="12"/>
    </row>
    <row r="109" spans="1:9" ht="15.75">
      <c r="B109" s="138" t="s">
        <v>13</v>
      </c>
      <c r="C109" s="173"/>
      <c r="D109" s="173"/>
      <c r="E109" s="173"/>
      <c r="F109" s="48"/>
      <c r="I109" s="139"/>
    </row>
    <row r="110" spans="1:9">
      <c r="A110" s="136"/>
      <c r="C110" s="162" t="s">
        <v>11</v>
      </c>
      <c r="D110" s="162"/>
      <c r="E110" s="162"/>
      <c r="F110" s="136"/>
      <c r="I110" s="137" t="s">
        <v>12</v>
      </c>
    </row>
    <row r="111" spans="1:9" ht="15.75">
      <c r="A111" s="4" t="s">
        <v>14</v>
      </c>
    </row>
    <row r="112" spans="1:9">
      <c r="A112" s="189" t="s">
        <v>15</v>
      </c>
      <c r="B112" s="189"/>
      <c r="C112" s="189"/>
      <c r="D112" s="189"/>
      <c r="E112" s="189"/>
      <c r="F112" s="189"/>
      <c r="G112" s="189"/>
      <c r="H112" s="189"/>
      <c r="I112" s="189"/>
    </row>
    <row r="113" spans="1:9" ht="45" customHeight="1">
      <c r="A113" s="190" t="s">
        <v>16</v>
      </c>
      <c r="B113" s="190"/>
      <c r="C113" s="190"/>
      <c r="D113" s="190"/>
      <c r="E113" s="190"/>
      <c r="F113" s="190"/>
      <c r="G113" s="190"/>
      <c r="H113" s="190"/>
      <c r="I113" s="190"/>
    </row>
    <row r="114" spans="1:9" ht="34.5" customHeight="1">
      <c r="A114" s="190" t="s">
        <v>17</v>
      </c>
      <c r="B114" s="190"/>
      <c r="C114" s="190"/>
      <c r="D114" s="190"/>
      <c r="E114" s="190"/>
      <c r="F114" s="190"/>
      <c r="G114" s="190"/>
      <c r="H114" s="190"/>
      <c r="I114" s="190"/>
    </row>
    <row r="115" spans="1:9" ht="32.25" customHeight="1">
      <c r="A115" s="190" t="s">
        <v>21</v>
      </c>
      <c r="B115" s="190"/>
      <c r="C115" s="190"/>
      <c r="D115" s="190"/>
      <c r="E115" s="190"/>
      <c r="F115" s="190"/>
      <c r="G115" s="190"/>
      <c r="H115" s="190"/>
      <c r="I115" s="190"/>
    </row>
    <row r="116" spans="1:9" ht="15.75">
      <c r="A116" s="190" t="s">
        <v>20</v>
      </c>
      <c r="B116" s="190"/>
      <c r="C116" s="190"/>
      <c r="D116" s="190"/>
      <c r="E116" s="190"/>
      <c r="F116" s="190"/>
      <c r="G116" s="190"/>
      <c r="H116" s="190"/>
      <c r="I116" s="190"/>
    </row>
  </sheetData>
  <mergeCells count="28">
    <mergeCell ref="A115:I115"/>
    <mergeCell ref="A102:I102"/>
    <mergeCell ref="A104:I104"/>
    <mergeCell ref="C106:E106"/>
    <mergeCell ref="C107:E107"/>
    <mergeCell ref="C109:E109"/>
    <mergeCell ref="A116:I116"/>
    <mergeCell ref="A101:I101"/>
    <mergeCell ref="A15:I15"/>
    <mergeCell ref="A28:I28"/>
    <mergeCell ref="A45:I45"/>
    <mergeCell ref="A56:I56"/>
    <mergeCell ref="A85:I85"/>
    <mergeCell ref="A89:I89"/>
    <mergeCell ref="A96:I96"/>
    <mergeCell ref="B97:G97"/>
    <mergeCell ref="B98:G98"/>
    <mergeCell ref="A100:I100"/>
    <mergeCell ref="C110:E110"/>
    <mergeCell ref="A112:I112"/>
    <mergeCell ref="A113:I113"/>
    <mergeCell ref="A114:I114"/>
    <mergeCell ref="A14:I14"/>
    <mergeCell ref="A3:I3"/>
    <mergeCell ref="A4:I4"/>
    <mergeCell ref="A5:I5"/>
    <mergeCell ref="A8:I8"/>
    <mergeCell ref="A10:I10"/>
  </mergeCells>
  <pageMargins left="0.70866141732283472" right="0.31496062992125984" top="0.15748031496062992" bottom="0.15748031496062992" header="0.31496062992125984" footer="0.31496062992125984"/>
  <pageSetup paperSize="9" scale="65" orientation="portrait" horizontalDpi="0" verticalDpi="0" r:id="rId1"/>
  <rowBreaks count="1" manualBreakCount="1">
    <brk id="111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I118"/>
  <sheetViews>
    <sheetView topLeftCell="A79" workbookViewId="0">
      <selection activeCell="J104" sqref="J104"/>
    </sheetView>
  </sheetViews>
  <sheetFormatPr defaultRowHeight="15"/>
  <cols>
    <col min="2" max="2" width="54.42578125" customWidth="1"/>
    <col min="3" max="3" width="18" customWidth="1"/>
    <col min="4" max="4" width="18.28515625" customWidth="1"/>
    <col min="5" max="5" width="0" hidden="1" customWidth="1"/>
    <col min="6" max="6" width="9.5703125" hidden="1" customWidth="1"/>
    <col min="7" max="7" width="17.28515625" customWidth="1"/>
    <col min="8" max="8" width="0" hidden="1" customWidth="1"/>
    <col min="9" max="9" width="14.140625" customWidth="1"/>
  </cols>
  <sheetData>
    <row r="1" spans="1:9" ht="15.75">
      <c r="A1" s="25" t="s">
        <v>170</v>
      </c>
      <c r="I1" s="24"/>
    </row>
    <row r="2" spans="1:9" ht="15.75">
      <c r="A2" s="26" t="s">
        <v>61</v>
      </c>
    </row>
    <row r="3" spans="1:9" ht="15.75">
      <c r="A3" s="179" t="s">
        <v>175</v>
      </c>
      <c r="B3" s="179"/>
      <c r="C3" s="179"/>
      <c r="D3" s="179"/>
      <c r="E3" s="179"/>
      <c r="F3" s="179"/>
      <c r="G3" s="179"/>
      <c r="H3" s="179"/>
      <c r="I3" s="179"/>
    </row>
    <row r="4" spans="1:9" ht="30.75" customHeight="1">
      <c r="A4" s="180" t="s">
        <v>121</v>
      </c>
      <c r="B4" s="180"/>
      <c r="C4" s="180"/>
      <c r="D4" s="180"/>
      <c r="E4" s="180"/>
      <c r="F4" s="180"/>
      <c r="G4" s="180"/>
      <c r="H4" s="180"/>
      <c r="I4" s="180"/>
    </row>
    <row r="5" spans="1:9" ht="15.75">
      <c r="A5" s="179" t="s">
        <v>294</v>
      </c>
      <c r="B5" s="181"/>
      <c r="C5" s="181"/>
      <c r="D5" s="181"/>
      <c r="E5" s="181"/>
      <c r="F5" s="181"/>
      <c r="G5" s="181"/>
      <c r="H5" s="181"/>
      <c r="I5" s="181"/>
    </row>
    <row r="6" spans="1:9" ht="15.75">
      <c r="A6" s="2"/>
      <c r="B6" s="140"/>
      <c r="C6" s="140"/>
      <c r="D6" s="140"/>
      <c r="E6" s="140"/>
      <c r="F6" s="140"/>
      <c r="G6" s="140"/>
      <c r="H6" s="140"/>
      <c r="I6" s="118">
        <v>44469</v>
      </c>
    </row>
    <row r="7" spans="1:9" ht="15.75">
      <c r="B7" s="143"/>
      <c r="C7" s="143"/>
      <c r="D7" s="143"/>
      <c r="E7" s="3"/>
      <c r="F7" s="3"/>
      <c r="G7" s="3"/>
      <c r="H7" s="3"/>
    </row>
    <row r="8" spans="1:9" ht="97.5" customHeight="1">
      <c r="A8" s="182" t="s">
        <v>215</v>
      </c>
      <c r="B8" s="182"/>
      <c r="C8" s="182"/>
      <c r="D8" s="182"/>
      <c r="E8" s="182"/>
      <c r="F8" s="182"/>
      <c r="G8" s="182"/>
      <c r="H8" s="182"/>
      <c r="I8" s="182"/>
    </row>
    <row r="9" spans="1:9" ht="15.75">
      <c r="A9" s="4"/>
    </row>
    <row r="10" spans="1:9" ht="69" customHeight="1">
      <c r="A10" s="183" t="s">
        <v>133</v>
      </c>
      <c r="B10" s="183"/>
      <c r="C10" s="183"/>
      <c r="D10" s="183"/>
      <c r="E10" s="183"/>
      <c r="F10" s="183"/>
      <c r="G10" s="183"/>
      <c r="H10" s="183"/>
      <c r="I10" s="183"/>
    </row>
    <row r="11" spans="1:9" ht="15.75">
      <c r="A11" s="4"/>
    </row>
    <row r="12" spans="1:9" ht="80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84" t="s">
        <v>58</v>
      </c>
      <c r="B14" s="184"/>
      <c r="C14" s="184"/>
      <c r="D14" s="184"/>
      <c r="E14" s="184"/>
      <c r="F14" s="184"/>
      <c r="G14" s="184"/>
      <c r="H14" s="184"/>
      <c r="I14" s="184"/>
    </row>
    <row r="15" spans="1:9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</row>
    <row r="16" spans="1:9" ht="18.75" customHeight="1">
      <c r="A16" s="27">
        <v>1</v>
      </c>
      <c r="B16" s="70" t="s">
        <v>81</v>
      </c>
      <c r="C16" s="71" t="s">
        <v>82</v>
      </c>
      <c r="D16" s="70" t="s">
        <v>164</v>
      </c>
      <c r="E16" s="72">
        <v>49.72</v>
      </c>
      <c r="F16" s="73">
        <f>SUM(E16*156/100)</f>
        <v>77.563199999999995</v>
      </c>
      <c r="G16" s="73">
        <v>230</v>
      </c>
      <c r="H16" s="74">
        <f t="shared" ref="H16:H25" si="0">SUM(F16*G16/1000)</f>
        <v>17.839535999999999</v>
      </c>
      <c r="I16" s="13">
        <f>F16/12*G16</f>
        <v>1486.6279999999999</v>
      </c>
    </row>
    <row r="17" spans="1:9" ht="16.5" customHeight="1">
      <c r="A17" s="27">
        <v>2</v>
      </c>
      <c r="B17" s="70" t="s">
        <v>169</v>
      </c>
      <c r="C17" s="71" t="s">
        <v>82</v>
      </c>
      <c r="D17" s="70" t="s">
        <v>172</v>
      </c>
      <c r="E17" s="72">
        <v>198.88</v>
      </c>
      <c r="F17" s="73">
        <f>SUM(E17*104/100)</f>
        <v>206.83520000000001</v>
      </c>
      <c r="G17" s="73">
        <v>230</v>
      </c>
      <c r="H17" s="74">
        <f t="shared" si="0"/>
        <v>47.572096000000002</v>
      </c>
      <c r="I17" s="13">
        <f>206.8352/12*G17</f>
        <v>3964.3413333333328</v>
      </c>
    </row>
    <row r="18" spans="1:9" ht="13.5" customHeight="1">
      <c r="A18" s="27">
        <v>3</v>
      </c>
      <c r="B18" s="70" t="s">
        <v>110</v>
      </c>
      <c r="C18" s="71" t="s">
        <v>82</v>
      </c>
      <c r="D18" s="70" t="s">
        <v>158</v>
      </c>
      <c r="E18" s="72">
        <v>248.6</v>
      </c>
      <c r="F18" s="73">
        <f>SUM(E18*24/100)</f>
        <v>59.663999999999994</v>
      </c>
      <c r="G18" s="73">
        <v>661.67</v>
      </c>
      <c r="H18" s="74">
        <f t="shared" si="0"/>
        <v>39.477878879999999</v>
      </c>
      <c r="I18" s="13">
        <f>F18/12*G18</f>
        <v>3289.8232399999993</v>
      </c>
    </row>
    <row r="19" spans="1:9" hidden="1">
      <c r="A19" s="27">
        <v>4</v>
      </c>
      <c r="B19" s="70" t="s">
        <v>89</v>
      </c>
      <c r="C19" s="71" t="s">
        <v>90</v>
      </c>
      <c r="D19" s="70" t="s">
        <v>91</v>
      </c>
      <c r="E19" s="72">
        <v>18.48</v>
      </c>
      <c r="F19" s="73">
        <f>SUM(E19/10)</f>
        <v>1.8480000000000001</v>
      </c>
      <c r="G19" s="73">
        <v>223.17</v>
      </c>
      <c r="H19" s="74">
        <f t="shared" si="0"/>
        <v>0.41241815999999998</v>
      </c>
      <c r="I19" s="13">
        <f>1.848*G19</f>
        <v>412.41816</v>
      </c>
    </row>
    <row r="20" spans="1:9" ht="13.5" customHeight="1">
      <c r="A20" s="27">
        <v>4</v>
      </c>
      <c r="B20" s="70" t="s">
        <v>92</v>
      </c>
      <c r="C20" s="71" t="s">
        <v>82</v>
      </c>
      <c r="D20" s="70" t="s">
        <v>162</v>
      </c>
      <c r="E20" s="72">
        <v>10.5</v>
      </c>
      <c r="F20" s="73">
        <f>SUM(E20*12/100)</f>
        <v>1.26</v>
      </c>
      <c r="G20" s="73">
        <v>285.76</v>
      </c>
      <c r="H20" s="74">
        <f t="shared" si="0"/>
        <v>0.36005759999999998</v>
      </c>
      <c r="I20" s="13">
        <f>F20/12*G20</f>
        <v>30.004799999999999</v>
      </c>
    </row>
    <row r="21" spans="1:9" ht="18.75" customHeight="1">
      <c r="A21" s="27">
        <v>5</v>
      </c>
      <c r="B21" s="70" t="s">
        <v>93</v>
      </c>
      <c r="C21" s="71" t="s">
        <v>82</v>
      </c>
      <c r="D21" s="70" t="s">
        <v>157</v>
      </c>
      <c r="E21" s="72">
        <v>3</v>
      </c>
      <c r="F21" s="73">
        <f>SUM(E21*2/100)</f>
        <v>0.06</v>
      </c>
      <c r="G21" s="73">
        <v>283.44</v>
      </c>
      <c r="H21" s="74">
        <f t="shared" si="0"/>
        <v>1.7006399999999998E-2</v>
      </c>
      <c r="I21" s="13">
        <f>0.03*G21</f>
        <v>8.5031999999999996</v>
      </c>
    </row>
    <row r="22" spans="1:9" ht="18.75" hidden="1" customHeight="1">
      <c r="A22" s="27">
        <v>7</v>
      </c>
      <c r="B22" s="70" t="s">
        <v>94</v>
      </c>
      <c r="C22" s="71" t="s">
        <v>52</v>
      </c>
      <c r="D22" s="70" t="s">
        <v>91</v>
      </c>
      <c r="E22" s="72">
        <v>267.75</v>
      </c>
      <c r="F22" s="73">
        <f>SUM(E22/100)</f>
        <v>2.6775000000000002</v>
      </c>
      <c r="G22" s="73">
        <v>353.14</v>
      </c>
      <c r="H22" s="74">
        <f t="shared" si="0"/>
        <v>0.94553235000000002</v>
      </c>
      <c r="I22" s="13">
        <f>2.6775*G22</f>
        <v>945.53235000000006</v>
      </c>
    </row>
    <row r="23" spans="1:9" ht="19.5" hidden="1" customHeight="1">
      <c r="A23" s="27">
        <v>8</v>
      </c>
      <c r="B23" s="70" t="s">
        <v>95</v>
      </c>
      <c r="C23" s="71" t="s">
        <v>52</v>
      </c>
      <c r="D23" s="70" t="s">
        <v>91</v>
      </c>
      <c r="E23" s="75">
        <v>36.229999999999997</v>
      </c>
      <c r="F23" s="73">
        <f>SUM(E23/100)</f>
        <v>0.36229999999999996</v>
      </c>
      <c r="G23" s="73">
        <v>58.08</v>
      </c>
      <c r="H23" s="74">
        <f t="shared" si="0"/>
        <v>2.1042383999999997E-2</v>
      </c>
      <c r="I23" s="13">
        <f>0.3623*G23</f>
        <v>21.042383999999998</v>
      </c>
    </row>
    <row r="24" spans="1:9" ht="20.25" hidden="1" customHeight="1">
      <c r="A24" s="27">
        <v>9</v>
      </c>
      <c r="B24" s="70" t="s">
        <v>96</v>
      </c>
      <c r="C24" s="71" t="s">
        <v>52</v>
      </c>
      <c r="D24" s="70" t="s">
        <v>53</v>
      </c>
      <c r="E24" s="72">
        <v>15</v>
      </c>
      <c r="F24" s="73">
        <f>SUM(E24/100)</f>
        <v>0.15</v>
      </c>
      <c r="G24" s="73">
        <v>511.12</v>
      </c>
      <c r="H24" s="74">
        <f t="shared" si="0"/>
        <v>7.6667999999999986E-2</v>
      </c>
      <c r="I24" s="13">
        <f>0.15*G24</f>
        <v>76.667999999999992</v>
      </c>
    </row>
    <row r="25" spans="1:9" ht="21" hidden="1" customHeight="1">
      <c r="A25" s="27">
        <v>10</v>
      </c>
      <c r="B25" s="70" t="s">
        <v>97</v>
      </c>
      <c r="C25" s="71" t="s">
        <v>52</v>
      </c>
      <c r="D25" s="70" t="s">
        <v>53</v>
      </c>
      <c r="E25" s="72">
        <v>6.38</v>
      </c>
      <c r="F25" s="73">
        <f>SUM(E25/100)</f>
        <v>6.3799999999999996E-2</v>
      </c>
      <c r="G25" s="73">
        <v>683.05</v>
      </c>
      <c r="H25" s="74">
        <f t="shared" si="0"/>
        <v>4.3578589999999993E-2</v>
      </c>
      <c r="I25" s="13">
        <f>0.0638*G25</f>
        <v>43.578589999999991</v>
      </c>
    </row>
    <row r="26" spans="1:9" ht="21" hidden="1" customHeight="1">
      <c r="A26" s="27">
        <v>11</v>
      </c>
      <c r="B26" s="70" t="s">
        <v>116</v>
      </c>
      <c r="C26" s="71" t="s">
        <v>52</v>
      </c>
      <c r="D26" s="70" t="s">
        <v>53</v>
      </c>
      <c r="E26" s="72">
        <v>14.25</v>
      </c>
      <c r="F26" s="73">
        <v>0.14000000000000001</v>
      </c>
      <c r="G26" s="73">
        <v>283.44</v>
      </c>
      <c r="H26" s="74">
        <f>G26*F26/1000</f>
        <v>3.9681600000000004E-2</v>
      </c>
      <c r="I26" s="13">
        <f>0.14*G26</f>
        <v>39.681600000000003</v>
      </c>
    </row>
    <row r="27" spans="1:9" ht="17.25" hidden="1" customHeight="1">
      <c r="A27" s="27">
        <v>6</v>
      </c>
      <c r="B27" s="70" t="s">
        <v>195</v>
      </c>
      <c r="C27" s="71" t="s">
        <v>25</v>
      </c>
      <c r="D27" s="70" t="s">
        <v>202</v>
      </c>
      <c r="E27" s="77">
        <v>4.37</v>
      </c>
      <c r="F27" s="73">
        <f>E27*258</f>
        <v>1127.46</v>
      </c>
      <c r="G27" s="73">
        <v>10.39</v>
      </c>
      <c r="H27" s="74">
        <f>SUM(F27*G27/1000)</f>
        <v>11.714309400000001</v>
      </c>
      <c r="I27" s="13">
        <f>G27*F27/12</f>
        <v>976.19245000000012</v>
      </c>
    </row>
    <row r="28" spans="1:9">
      <c r="A28" s="185" t="s">
        <v>80</v>
      </c>
      <c r="B28" s="185"/>
      <c r="C28" s="185"/>
      <c r="D28" s="185"/>
      <c r="E28" s="185"/>
      <c r="F28" s="185"/>
      <c r="G28" s="185"/>
      <c r="H28" s="185"/>
      <c r="I28" s="185"/>
    </row>
    <row r="29" spans="1:9" ht="18.75" customHeight="1">
      <c r="A29" s="27"/>
      <c r="B29" s="101" t="s">
        <v>28</v>
      </c>
      <c r="C29" s="71"/>
      <c r="D29" s="70"/>
      <c r="E29" s="72"/>
      <c r="F29" s="73"/>
      <c r="G29" s="73"/>
      <c r="H29" s="74"/>
      <c r="I29" s="13"/>
    </row>
    <row r="30" spans="1:9" ht="15" customHeight="1">
      <c r="A30" s="27">
        <v>6</v>
      </c>
      <c r="B30" s="70" t="s">
        <v>99</v>
      </c>
      <c r="C30" s="71" t="s">
        <v>84</v>
      </c>
      <c r="D30" s="70" t="s">
        <v>186</v>
      </c>
      <c r="E30" s="73">
        <v>665</v>
      </c>
      <c r="F30" s="73">
        <f>SUM(E30*52/1000)</f>
        <v>34.58</v>
      </c>
      <c r="G30" s="73">
        <v>204.44</v>
      </c>
      <c r="H30" s="74">
        <f t="shared" ref="H30:H34" si="1">SUM(F30*G30/1000)</f>
        <v>7.0695351999999989</v>
      </c>
      <c r="I30" s="13">
        <f t="shared" ref="I30:I31" si="2">F30/6*G30</f>
        <v>1178.2558666666666</v>
      </c>
    </row>
    <row r="31" spans="1:9" ht="45.75" customHeight="1">
      <c r="A31" s="27">
        <v>7</v>
      </c>
      <c r="B31" s="70" t="s">
        <v>112</v>
      </c>
      <c r="C31" s="71" t="s">
        <v>84</v>
      </c>
      <c r="D31" s="70" t="s">
        <v>164</v>
      </c>
      <c r="E31" s="73">
        <v>81.5</v>
      </c>
      <c r="F31" s="73">
        <f>SUM(E31*78/1000)</f>
        <v>6.3570000000000002</v>
      </c>
      <c r="G31" s="73">
        <v>339.21</v>
      </c>
      <c r="H31" s="74">
        <f t="shared" si="1"/>
        <v>2.1563579700000002</v>
      </c>
      <c r="I31" s="13">
        <f t="shared" si="2"/>
        <v>359.39299500000004</v>
      </c>
    </row>
    <row r="32" spans="1:9" ht="16.5" customHeight="1">
      <c r="A32" s="27">
        <v>8</v>
      </c>
      <c r="B32" s="70" t="s">
        <v>111</v>
      </c>
      <c r="C32" s="71" t="s">
        <v>39</v>
      </c>
      <c r="D32" s="70" t="s">
        <v>190</v>
      </c>
      <c r="E32" s="73">
        <v>3</v>
      </c>
      <c r="F32" s="73">
        <f>E32*155/100</f>
        <v>4.6500000000000004</v>
      </c>
      <c r="G32" s="73">
        <v>1707.63</v>
      </c>
      <c r="H32" s="74">
        <f>G32*F32/1000</f>
        <v>7.9404795000000012</v>
      </c>
      <c r="I32" s="13">
        <f>F32/6*G32</f>
        <v>1323.4132500000001</v>
      </c>
    </row>
    <row r="33" spans="1:9" hidden="1">
      <c r="A33" s="27"/>
      <c r="B33" s="70" t="s">
        <v>63</v>
      </c>
      <c r="C33" s="71" t="s">
        <v>32</v>
      </c>
      <c r="D33" s="70" t="s">
        <v>65</v>
      </c>
      <c r="E33" s="72"/>
      <c r="F33" s="73">
        <v>1</v>
      </c>
      <c r="G33" s="73">
        <v>250.92</v>
      </c>
      <c r="H33" s="74">
        <f t="shared" si="1"/>
        <v>0.25091999999999998</v>
      </c>
      <c r="I33" s="13">
        <v>0</v>
      </c>
    </row>
    <row r="34" spans="1:9" hidden="1">
      <c r="A34" s="27"/>
      <c r="B34" s="70" t="s">
        <v>64</v>
      </c>
      <c r="C34" s="71" t="s">
        <v>31</v>
      </c>
      <c r="D34" s="70" t="s">
        <v>65</v>
      </c>
      <c r="E34" s="72"/>
      <c r="F34" s="73">
        <v>1</v>
      </c>
      <c r="G34" s="73">
        <v>1490.31</v>
      </c>
      <c r="H34" s="74">
        <f t="shared" si="1"/>
        <v>1.49031</v>
      </c>
      <c r="I34" s="13">
        <v>0</v>
      </c>
    </row>
    <row r="35" spans="1:9" hidden="1">
      <c r="A35" s="27"/>
      <c r="B35" s="101" t="s">
        <v>5</v>
      </c>
      <c r="C35" s="71"/>
      <c r="D35" s="70"/>
      <c r="E35" s="72"/>
      <c r="F35" s="73"/>
      <c r="G35" s="73"/>
      <c r="H35" s="74" t="s">
        <v>128</v>
      </c>
      <c r="I35" s="13"/>
    </row>
    <row r="36" spans="1:9" hidden="1">
      <c r="A36" s="27">
        <v>7</v>
      </c>
      <c r="B36" s="79" t="s">
        <v>26</v>
      </c>
      <c r="C36" s="71" t="s">
        <v>31</v>
      </c>
      <c r="D36" s="70"/>
      <c r="E36" s="72"/>
      <c r="F36" s="73">
        <v>5</v>
      </c>
      <c r="G36" s="73">
        <v>2003</v>
      </c>
      <c r="H36" s="74">
        <f t="shared" ref="H36:H43" si="3">SUM(F36*G36/1000)</f>
        <v>10.015000000000001</v>
      </c>
      <c r="I36" s="13">
        <f t="shared" ref="I36:I40" si="4">F36/6*G36</f>
        <v>1669.1666666666667</v>
      </c>
    </row>
    <row r="37" spans="1:9" ht="30" hidden="1">
      <c r="A37" s="27">
        <v>8</v>
      </c>
      <c r="B37" s="79" t="s">
        <v>100</v>
      </c>
      <c r="C37" s="80" t="s">
        <v>29</v>
      </c>
      <c r="D37" s="70" t="s">
        <v>117</v>
      </c>
      <c r="E37" s="72">
        <v>81.5</v>
      </c>
      <c r="F37" s="81">
        <f>E37*30/1000</f>
        <v>2.4449999999999998</v>
      </c>
      <c r="G37" s="73">
        <v>2757.78</v>
      </c>
      <c r="H37" s="74">
        <f t="shared" si="3"/>
        <v>6.7427720999999998</v>
      </c>
      <c r="I37" s="13">
        <f t="shared" si="4"/>
        <v>1123.7953500000001</v>
      </c>
    </row>
    <row r="38" spans="1:9" ht="30" hidden="1">
      <c r="A38" s="27">
        <v>9</v>
      </c>
      <c r="B38" s="70" t="s">
        <v>66</v>
      </c>
      <c r="C38" s="71" t="s">
        <v>29</v>
      </c>
      <c r="D38" s="70" t="s">
        <v>83</v>
      </c>
      <c r="E38" s="73">
        <v>81.5</v>
      </c>
      <c r="F38" s="81">
        <f>SUM(E38*155/1000)</f>
        <v>12.6325</v>
      </c>
      <c r="G38" s="73">
        <v>460.02</v>
      </c>
      <c r="H38" s="74">
        <f t="shared" si="3"/>
        <v>5.8112026500000002</v>
      </c>
      <c r="I38" s="13">
        <f t="shared" si="4"/>
        <v>968.53377499999999</v>
      </c>
    </row>
    <row r="39" spans="1:9" hidden="1">
      <c r="A39" s="27"/>
      <c r="B39" s="70" t="s">
        <v>113</v>
      </c>
      <c r="C39" s="71" t="s">
        <v>114</v>
      </c>
      <c r="D39" s="70" t="s">
        <v>65</v>
      </c>
      <c r="E39" s="72"/>
      <c r="F39" s="81">
        <v>26</v>
      </c>
      <c r="G39" s="73">
        <v>314</v>
      </c>
      <c r="H39" s="74">
        <f t="shared" si="3"/>
        <v>8.1639999999999997</v>
      </c>
      <c r="I39" s="13">
        <v>0</v>
      </c>
    </row>
    <row r="40" spans="1:9" ht="60" hidden="1">
      <c r="A40" s="27">
        <v>10</v>
      </c>
      <c r="B40" s="70" t="s">
        <v>78</v>
      </c>
      <c r="C40" s="71" t="s">
        <v>84</v>
      </c>
      <c r="D40" s="70" t="s">
        <v>118</v>
      </c>
      <c r="E40" s="73">
        <v>81.5</v>
      </c>
      <c r="F40" s="81">
        <f>SUM(E40*35/1000)</f>
        <v>2.8525</v>
      </c>
      <c r="G40" s="73">
        <v>7611.16</v>
      </c>
      <c r="H40" s="74">
        <f t="shared" si="3"/>
        <v>21.710833900000001</v>
      </c>
      <c r="I40" s="13">
        <f t="shared" si="4"/>
        <v>3618.4723166666663</v>
      </c>
    </row>
    <row r="41" spans="1:9" hidden="1">
      <c r="A41" s="27">
        <v>11</v>
      </c>
      <c r="B41" s="70" t="s">
        <v>85</v>
      </c>
      <c r="C41" s="71" t="s">
        <v>84</v>
      </c>
      <c r="D41" s="70" t="s">
        <v>67</v>
      </c>
      <c r="E41" s="73">
        <v>81.5</v>
      </c>
      <c r="F41" s="81">
        <f>SUM(E41*45/1000)</f>
        <v>3.6675</v>
      </c>
      <c r="G41" s="73">
        <v>562.25</v>
      </c>
      <c r="H41" s="74">
        <f t="shared" si="3"/>
        <v>2.0620518750000003</v>
      </c>
      <c r="I41" s="13">
        <f>(F41/7.5*1.5)*G41</f>
        <v>412.41037500000004</v>
      </c>
    </row>
    <row r="42" spans="1:9" hidden="1">
      <c r="A42" s="27">
        <v>12</v>
      </c>
      <c r="B42" s="79" t="s">
        <v>68</v>
      </c>
      <c r="C42" s="80" t="s">
        <v>32</v>
      </c>
      <c r="D42" s="79"/>
      <c r="E42" s="77"/>
      <c r="F42" s="81">
        <v>0.9</v>
      </c>
      <c r="G42" s="81">
        <v>974.83</v>
      </c>
      <c r="H42" s="74">
        <f t="shared" si="3"/>
        <v>0.8773470000000001</v>
      </c>
      <c r="I42" s="13">
        <f>(F42/7.5*1.5)*G42</f>
        <v>175.46940000000004</v>
      </c>
    </row>
    <row r="43" spans="1:9" ht="30" hidden="1">
      <c r="A43" s="27">
        <v>13</v>
      </c>
      <c r="B43" s="44" t="s">
        <v>139</v>
      </c>
      <c r="C43" s="45" t="s">
        <v>29</v>
      </c>
      <c r="D43" s="79" t="s">
        <v>140</v>
      </c>
      <c r="E43" s="77">
        <v>2.4</v>
      </c>
      <c r="F43" s="81">
        <f>SUM(E43*12/1000)</f>
        <v>2.8799999999999996E-2</v>
      </c>
      <c r="G43" s="81">
        <v>260.2</v>
      </c>
      <c r="H43" s="74">
        <f t="shared" si="3"/>
        <v>7.4937599999999986E-3</v>
      </c>
      <c r="I43" s="13">
        <f>F43/6*G43</f>
        <v>1.2489599999999998</v>
      </c>
    </row>
    <row r="44" spans="1:9">
      <c r="A44" s="186" t="s">
        <v>122</v>
      </c>
      <c r="B44" s="187"/>
      <c r="C44" s="187"/>
      <c r="D44" s="187"/>
      <c r="E44" s="187"/>
      <c r="F44" s="187"/>
      <c r="G44" s="187"/>
      <c r="H44" s="187"/>
      <c r="I44" s="188"/>
    </row>
    <row r="45" spans="1:9" ht="17.25" customHeight="1">
      <c r="A45" s="27">
        <v>9</v>
      </c>
      <c r="B45" s="70" t="s">
        <v>119</v>
      </c>
      <c r="C45" s="71" t="s">
        <v>84</v>
      </c>
      <c r="D45" s="70" t="s">
        <v>157</v>
      </c>
      <c r="E45" s="72">
        <v>1080</v>
      </c>
      <c r="F45" s="73">
        <f>SUM(E45*2/1000)</f>
        <v>2.16</v>
      </c>
      <c r="G45" s="31">
        <v>1172.4100000000001</v>
      </c>
      <c r="H45" s="74">
        <f t="shared" ref="H45:H53" si="5">SUM(F45*G45/1000)</f>
        <v>2.5324056000000006</v>
      </c>
      <c r="I45" s="13">
        <f t="shared" ref="I45:I48" si="6">F45/2*G45</f>
        <v>1266.2028000000003</v>
      </c>
    </row>
    <row r="46" spans="1:9" ht="18.75" customHeight="1">
      <c r="A46" s="27">
        <v>10</v>
      </c>
      <c r="B46" s="70" t="s">
        <v>34</v>
      </c>
      <c r="C46" s="71" t="s">
        <v>84</v>
      </c>
      <c r="D46" s="70" t="s">
        <v>157</v>
      </c>
      <c r="E46" s="72">
        <v>39</v>
      </c>
      <c r="F46" s="73">
        <f>SUM(E46*2/1000)</f>
        <v>7.8E-2</v>
      </c>
      <c r="G46" s="31">
        <v>4419.05</v>
      </c>
      <c r="H46" s="74">
        <f t="shared" si="5"/>
        <v>0.34468589999999999</v>
      </c>
      <c r="I46" s="13">
        <f t="shared" si="6"/>
        <v>172.34295</v>
      </c>
    </row>
    <row r="47" spans="1:9" ht="19.5" customHeight="1">
      <c r="A47" s="27">
        <v>11</v>
      </c>
      <c r="B47" s="70" t="s">
        <v>35</v>
      </c>
      <c r="C47" s="71" t="s">
        <v>84</v>
      </c>
      <c r="D47" s="70" t="s">
        <v>163</v>
      </c>
      <c r="E47" s="72">
        <v>1037</v>
      </c>
      <c r="F47" s="73">
        <f>SUM(E47*2/1000)</f>
        <v>2.0739999999999998</v>
      </c>
      <c r="G47" s="31">
        <v>1803.69</v>
      </c>
      <c r="H47" s="74">
        <f t="shared" si="5"/>
        <v>3.7408530600000001</v>
      </c>
      <c r="I47" s="13">
        <f t="shared" si="6"/>
        <v>1870.42653</v>
      </c>
    </row>
    <row r="48" spans="1:9" ht="15.75" customHeight="1">
      <c r="A48" s="27">
        <v>12</v>
      </c>
      <c r="B48" s="70" t="s">
        <v>36</v>
      </c>
      <c r="C48" s="71" t="s">
        <v>84</v>
      </c>
      <c r="D48" s="70" t="s">
        <v>157</v>
      </c>
      <c r="E48" s="72">
        <v>2274</v>
      </c>
      <c r="F48" s="73">
        <f>SUM(E48*2/1000)</f>
        <v>4.548</v>
      </c>
      <c r="G48" s="31">
        <v>1243.43</v>
      </c>
      <c r="H48" s="74">
        <f t="shared" si="5"/>
        <v>5.6551196399999997</v>
      </c>
      <c r="I48" s="13">
        <f t="shared" si="6"/>
        <v>2827.5598199999999</v>
      </c>
    </row>
    <row r="49" spans="1:9" ht="18" customHeight="1">
      <c r="A49" s="27">
        <v>13</v>
      </c>
      <c r="B49" s="70" t="s">
        <v>33</v>
      </c>
      <c r="C49" s="71" t="s">
        <v>52</v>
      </c>
      <c r="D49" s="70" t="s">
        <v>157</v>
      </c>
      <c r="E49" s="72">
        <v>83.04</v>
      </c>
      <c r="F49" s="73">
        <v>1.66</v>
      </c>
      <c r="G49" s="31">
        <v>1352.76</v>
      </c>
      <c r="H49" s="74">
        <f>SUM(F49*G49/1000)</f>
        <v>2.2455816</v>
      </c>
      <c r="I49" s="13">
        <f>F49/2*G49</f>
        <v>1122.7908</v>
      </c>
    </row>
    <row r="50" spans="1:9" ht="15" customHeight="1">
      <c r="A50" s="27">
        <v>14</v>
      </c>
      <c r="B50" s="70" t="s">
        <v>176</v>
      </c>
      <c r="C50" s="71" t="s">
        <v>84</v>
      </c>
      <c r="D50" s="70" t="s">
        <v>157</v>
      </c>
      <c r="E50" s="72">
        <v>2626.5</v>
      </c>
      <c r="F50" s="73">
        <f>SUM(E50*5/1000)</f>
        <v>13.1325</v>
      </c>
      <c r="G50" s="31">
        <v>1803.69</v>
      </c>
      <c r="H50" s="74">
        <f t="shared" ref="H50:H52" si="7">SUM(F50*G50/1000)</f>
        <v>23.686958925000003</v>
      </c>
      <c r="I50" s="13">
        <f>F50/5*G50</f>
        <v>4737.3917849999998</v>
      </c>
    </row>
    <row r="51" spans="1:9" ht="44.25" customHeight="1">
      <c r="A51" s="27">
        <v>15</v>
      </c>
      <c r="B51" s="70" t="s">
        <v>86</v>
      </c>
      <c r="C51" s="71" t="s">
        <v>84</v>
      </c>
      <c r="D51" s="70" t="s">
        <v>157</v>
      </c>
      <c r="E51" s="72">
        <v>2626.5</v>
      </c>
      <c r="F51" s="73">
        <f>SUM(E51*2/1000)</f>
        <v>5.2530000000000001</v>
      </c>
      <c r="G51" s="31">
        <v>1591.6</v>
      </c>
      <c r="H51" s="74">
        <f t="shared" si="7"/>
        <v>8.3606747999999982</v>
      </c>
      <c r="I51" s="13">
        <f>F51/2*G51</f>
        <v>4180.3373999999994</v>
      </c>
    </row>
    <row r="52" spans="1:9" ht="30" customHeight="1">
      <c r="A52" s="27">
        <v>16</v>
      </c>
      <c r="B52" s="70" t="s">
        <v>87</v>
      </c>
      <c r="C52" s="71" t="s">
        <v>37</v>
      </c>
      <c r="D52" s="70" t="s">
        <v>157</v>
      </c>
      <c r="E52" s="72">
        <v>15</v>
      </c>
      <c r="F52" s="73">
        <f>SUM(E52*2/100)</f>
        <v>0.3</v>
      </c>
      <c r="G52" s="31">
        <v>4058.32</v>
      </c>
      <c r="H52" s="74">
        <f t="shared" si="7"/>
        <v>1.2174960000000001</v>
      </c>
      <c r="I52" s="13">
        <f t="shared" ref="I52:I53" si="8">F52/2*G52</f>
        <v>608.74800000000005</v>
      </c>
    </row>
    <row r="53" spans="1:9" ht="16.5" customHeight="1">
      <c r="A53" s="27">
        <v>17</v>
      </c>
      <c r="B53" s="70" t="s">
        <v>38</v>
      </c>
      <c r="C53" s="71" t="s">
        <v>39</v>
      </c>
      <c r="D53" s="70" t="s">
        <v>157</v>
      </c>
      <c r="E53" s="72">
        <v>1</v>
      </c>
      <c r="F53" s="73">
        <v>0.02</v>
      </c>
      <c r="G53" s="31">
        <v>7412.92</v>
      </c>
      <c r="H53" s="74">
        <f t="shared" si="5"/>
        <v>0.14825839999999998</v>
      </c>
      <c r="I53" s="13">
        <f t="shared" si="8"/>
        <v>74.129199999999997</v>
      </c>
    </row>
    <row r="54" spans="1:9">
      <c r="A54" s="27">
        <v>18</v>
      </c>
      <c r="B54" s="70" t="s">
        <v>40</v>
      </c>
      <c r="C54" s="71" t="s">
        <v>101</v>
      </c>
      <c r="D54" s="151">
        <v>44440</v>
      </c>
      <c r="E54" s="72">
        <v>90</v>
      </c>
      <c r="F54" s="73">
        <f>SUM(E54)*3</f>
        <v>270</v>
      </c>
      <c r="G54" s="69">
        <v>86.15</v>
      </c>
      <c r="H54" s="74">
        <f>SUM(F54*G54/1000)</f>
        <v>23.2605</v>
      </c>
      <c r="I54" s="13">
        <f>F54/3*G54</f>
        <v>7753.5000000000009</v>
      </c>
    </row>
    <row r="55" spans="1:9">
      <c r="A55" s="186" t="s">
        <v>123</v>
      </c>
      <c r="B55" s="187"/>
      <c r="C55" s="187"/>
      <c r="D55" s="187"/>
      <c r="E55" s="187"/>
      <c r="F55" s="187"/>
      <c r="G55" s="187"/>
      <c r="H55" s="187"/>
      <c r="I55" s="188"/>
    </row>
    <row r="56" spans="1:9" hidden="1">
      <c r="A56" s="27"/>
      <c r="B56" s="101" t="s">
        <v>42</v>
      </c>
      <c r="C56" s="71"/>
      <c r="D56" s="70"/>
      <c r="E56" s="72"/>
      <c r="F56" s="73"/>
      <c r="G56" s="73"/>
      <c r="H56" s="74"/>
      <c r="I56" s="13"/>
    </row>
    <row r="57" spans="1:9" ht="30" hidden="1">
      <c r="A57" s="27">
        <v>15</v>
      </c>
      <c r="B57" s="70" t="s">
        <v>154</v>
      </c>
      <c r="C57" s="71" t="s">
        <v>82</v>
      </c>
      <c r="D57" s="70" t="s">
        <v>102</v>
      </c>
      <c r="E57" s="72">
        <v>111</v>
      </c>
      <c r="F57" s="73">
        <f>SUM(E57*6/100)</f>
        <v>6.66</v>
      </c>
      <c r="G57" s="31">
        <v>2029.3</v>
      </c>
      <c r="H57" s="74">
        <f>SUM(F57*G57/1000)</f>
        <v>13.515138</v>
      </c>
      <c r="I57" s="13">
        <f>G57*0.76</f>
        <v>1542.268</v>
      </c>
    </row>
    <row r="58" spans="1:9" hidden="1">
      <c r="A58" s="27">
        <v>20</v>
      </c>
      <c r="B58" s="70" t="s">
        <v>160</v>
      </c>
      <c r="C58" s="71" t="s">
        <v>142</v>
      </c>
      <c r="D58" s="70" t="s">
        <v>199</v>
      </c>
      <c r="E58" s="72"/>
      <c r="F58" s="73">
        <v>3</v>
      </c>
      <c r="G58" s="31">
        <v>1582.05</v>
      </c>
      <c r="H58" s="74">
        <f>SUM(F58*G58/1000)</f>
        <v>4.7461499999999992</v>
      </c>
      <c r="I58" s="13">
        <f>G58*1</f>
        <v>1582.05</v>
      </c>
    </row>
    <row r="59" spans="1:9" ht="14.25" customHeight="1">
      <c r="A59" s="27"/>
      <c r="B59" s="102" t="s">
        <v>43</v>
      </c>
      <c r="C59" s="82"/>
      <c r="D59" s="83"/>
      <c r="E59" s="84"/>
      <c r="F59" s="85"/>
      <c r="G59" s="31"/>
      <c r="H59" s="86"/>
      <c r="I59" s="13"/>
    </row>
    <row r="60" spans="1:9" hidden="1">
      <c r="A60" s="27"/>
      <c r="B60" s="83" t="s">
        <v>44</v>
      </c>
      <c r="C60" s="82" t="s">
        <v>52</v>
      </c>
      <c r="D60" s="83" t="s">
        <v>53</v>
      </c>
      <c r="E60" s="84">
        <v>130</v>
      </c>
      <c r="F60" s="85">
        <f>E60/100</f>
        <v>1.3</v>
      </c>
      <c r="G60" s="31">
        <v>1040.8399999999999</v>
      </c>
      <c r="H60" s="86">
        <f>F60*G60/1000</f>
        <v>1.353092</v>
      </c>
      <c r="I60" s="13">
        <v>0</v>
      </c>
    </row>
    <row r="61" spans="1:9">
      <c r="A61" s="27">
        <v>19</v>
      </c>
      <c r="B61" s="83" t="s">
        <v>115</v>
      </c>
      <c r="C61" s="82" t="s">
        <v>25</v>
      </c>
      <c r="D61" s="83" t="s">
        <v>156</v>
      </c>
      <c r="E61" s="84">
        <v>130</v>
      </c>
      <c r="F61" s="87">
        <f>E61*12</f>
        <v>1560</v>
      </c>
      <c r="G61" s="88">
        <v>1.4</v>
      </c>
      <c r="H61" s="85">
        <f>F61*G61/1000</f>
        <v>2.1840000000000002</v>
      </c>
      <c r="I61" s="13">
        <f t="shared" ref="I61" si="9">F61/12*G61</f>
        <v>182</v>
      </c>
    </row>
    <row r="62" spans="1:9" ht="15.75" customHeight="1">
      <c r="A62" s="27"/>
      <c r="B62" s="103" t="s">
        <v>45</v>
      </c>
      <c r="C62" s="82"/>
      <c r="D62" s="83"/>
      <c r="E62" s="84"/>
      <c r="F62" s="87"/>
      <c r="G62" s="87"/>
      <c r="H62" s="85" t="s">
        <v>128</v>
      </c>
      <c r="I62" s="13"/>
    </row>
    <row r="63" spans="1:9" hidden="1">
      <c r="A63" s="27">
        <v>22</v>
      </c>
      <c r="B63" s="89" t="s">
        <v>46</v>
      </c>
      <c r="C63" s="90" t="s">
        <v>101</v>
      </c>
      <c r="D63" s="70" t="s">
        <v>198</v>
      </c>
      <c r="E63" s="15">
        <v>9</v>
      </c>
      <c r="F63" s="69">
        <f>SUM(E63)</f>
        <v>9</v>
      </c>
      <c r="G63" s="31">
        <v>291.68</v>
      </c>
      <c r="H63" s="63">
        <f t="shared" ref="H63:H81" si="10">SUM(F63*G63/1000)</f>
        <v>2.6251199999999999</v>
      </c>
      <c r="I63" s="13">
        <f>G63*3</f>
        <v>875.04</v>
      </c>
    </row>
    <row r="64" spans="1:9">
      <c r="A64" s="27">
        <v>20</v>
      </c>
      <c r="B64" s="89" t="s">
        <v>47</v>
      </c>
      <c r="C64" s="90" t="s">
        <v>101</v>
      </c>
      <c r="D64" s="70" t="s">
        <v>158</v>
      </c>
      <c r="E64" s="15">
        <v>4</v>
      </c>
      <c r="F64" s="69">
        <f>SUM(E64)</f>
        <v>4</v>
      </c>
      <c r="G64" s="31">
        <v>100.01</v>
      </c>
      <c r="H64" s="63">
        <f t="shared" si="10"/>
        <v>0.40004000000000001</v>
      </c>
      <c r="I64" s="13">
        <f>G64*2</f>
        <v>200.02</v>
      </c>
    </row>
    <row r="65" spans="1:9" hidden="1">
      <c r="A65" s="27">
        <v>29</v>
      </c>
      <c r="B65" s="89" t="s">
        <v>48</v>
      </c>
      <c r="C65" s="91" t="s">
        <v>103</v>
      </c>
      <c r="D65" s="33" t="s">
        <v>156</v>
      </c>
      <c r="E65" s="72">
        <v>13287</v>
      </c>
      <c r="F65" s="69">
        <f>SUM(E65/100)</f>
        <v>132.87</v>
      </c>
      <c r="G65" s="31">
        <v>278.24</v>
      </c>
      <c r="H65" s="63">
        <f t="shared" si="10"/>
        <v>36.969748799999998</v>
      </c>
      <c r="I65" s="13">
        <f>132.87*G65</f>
        <v>36969.748800000001</v>
      </c>
    </row>
    <row r="66" spans="1:9" hidden="1">
      <c r="A66" s="27">
        <v>30</v>
      </c>
      <c r="B66" s="89" t="s">
        <v>49</v>
      </c>
      <c r="C66" s="90" t="s">
        <v>104</v>
      </c>
      <c r="D66" s="33" t="s">
        <v>156</v>
      </c>
      <c r="E66" s="72">
        <v>13287</v>
      </c>
      <c r="F66" s="31">
        <f>SUM(E66/1000)</f>
        <v>13.287000000000001</v>
      </c>
      <c r="G66" s="31">
        <v>216.68</v>
      </c>
      <c r="H66" s="63">
        <f t="shared" si="10"/>
        <v>2.8790271600000001</v>
      </c>
      <c r="I66" s="13">
        <f>13.287*G66</f>
        <v>2879.0271600000001</v>
      </c>
    </row>
    <row r="67" spans="1:9" hidden="1">
      <c r="A67" s="27">
        <v>31</v>
      </c>
      <c r="B67" s="89" t="s">
        <v>50</v>
      </c>
      <c r="C67" s="90" t="s">
        <v>74</v>
      </c>
      <c r="D67" s="33" t="s">
        <v>156</v>
      </c>
      <c r="E67" s="72">
        <v>2110</v>
      </c>
      <c r="F67" s="31">
        <f>SUM(E67/100)</f>
        <v>21.1</v>
      </c>
      <c r="G67" s="31">
        <v>2720.94</v>
      </c>
      <c r="H67" s="63">
        <f>SUM(F67*G67/1000)</f>
        <v>57.411834000000006</v>
      </c>
      <c r="I67" s="13">
        <f>21.1*G67</f>
        <v>57411.834000000003</v>
      </c>
    </row>
    <row r="68" spans="1:9" hidden="1">
      <c r="A68" s="27">
        <v>32</v>
      </c>
      <c r="B68" s="92" t="s">
        <v>105</v>
      </c>
      <c r="C68" s="90" t="s">
        <v>32</v>
      </c>
      <c r="D68" s="33"/>
      <c r="E68" s="72">
        <v>8.6</v>
      </c>
      <c r="F68" s="31">
        <f>SUM(E68)</f>
        <v>8.6</v>
      </c>
      <c r="G68" s="31">
        <v>42.61</v>
      </c>
      <c r="H68" s="63">
        <f t="shared" si="10"/>
        <v>0.36644599999999999</v>
      </c>
      <c r="I68" s="13">
        <f>8.6*G68</f>
        <v>366.44599999999997</v>
      </c>
    </row>
    <row r="69" spans="1:9" hidden="1">
      <c r="A69" s="27">
        <v>33</v>
      </c>
      <c r="B69" s="92" t="s">
        <v>106</v>
      </c>
      <c r="C69" s="90" t="s">
        <v>32</v>
      </c>
      <c r="D69" s="33"/>
      <c r="E69" s="72">
        <v>8.6</v>
      </c>
      <c r="F69" s="31">
        <f>SUM(E69)</f>
        <v>8.6</v>
      </c>
      <c r="G69" s="31">
        <v>46.04</v>
      </c>
      <c r="H69" s="63">
        <f t="shared" si="10"/>
        <v>0.39594399999999996</v>
      </c>
      <c r="I69" s="13">
        <f>8.6*G69</f>
        <v>395.94399999999996</v>
      </c>
    </row>
    <row r="70" spans="1:9" ht="17.25" customHeight="1">
      <c r="A70" s="27">
        <v>21</v>
      </c>
      <c r="B70" s="33" t="s">
        <v>56</v>
      </c>
      <c r="C70" s="90" t="s">
        <v>57</v>
      </c>
      <c r="D70" s="33" t="s">
        <v>157</v>
      </c>
      <c r="E70" s="15">
        <v>3</v>
      </c>
      <c r="F70" s="31">
        <f>SUM(E70)</f>
        <v>3</v>
      </c>
      <c r="G70" s="31">
        <v>65.42</v>
      </c>
      <c r="H70" s="63">
        <f t="shared" si="10"/>
        <v>0.19625999999999999</v>
      </c>
      <c r="I70" s="13">
        <f>3*G70</f>
        <v>196.26</v>
      </c>
    </row>
    <row r="71" spans="1:9" ht="15" customHeight="1">
      <c r="A71" s="27"/>
      <c r="B71" s="104" t="s">
        <v>70</v>
      </c>
      <c r="C71" s="90"/>
      <c r="D71" s="33"/>
      <c r="E71" s="15"/>
      <c r="F71" s="31"/>
      <c r="G71" s="31"/>
      <c r="H71" s="63" t="s">
        <v>128</v>
      </c>
      <c r="I71" s="13"/>
    </row>
    <row r="72" spans="1:9" ht="30" hidden="1">
      <c r="A72" s="27"/>
      <c r="B72" s="33" t="s">
        <v>143</v>
      </c>
      <c r="C72" s="90" t="s">
        <v>101</v>
      </c>
      <c r="D72" s="70" t="s">
        <v>65</v>
      </c>
      <c r="E72" s="15">
        <v>1</v>
      </c>
      <c r="F72" s="31">
        <v>1</v>
      </c>
      <c r="G72" s="31">
        <v>1543.4</v>
      </c>
      <c r="H72" s="63">
        <f t="shared" ref="H72:H74" si="11">SUM(F72*G72/1000)</f>
        <v>1.5434000000000001</v>
      </c>
      <c r="I72" s="13">
        <v>0</v>
      </c>
    </row>
    <row r="73" spans="1:9" hidden="1">
      <c r="A73" s="27">
        <v>17</v>
      </c>
      <c r="B73" s="33" t="s">
        <v>71</v>
      </c>
      <c r="C73" s="90" t="s">
        <v>72</v>
      </c>
      <c r="D73" s="70" t="s">
        <v>65</v>
      </c>
      <c r="E73" s="15">
        <v>3</v>
      </c>
      <c r="F73" s="31">
        <f>E73/10</f>
        <v>0.3</v>
      </c>
      <c r="G73" s="31">
        <v>657.87</v>
      </c>
      <c r="H73" s="63">
        <f t="shared" si="11"/>
        <v>0.19736099999999998</v>
      </c>
      <c r="I73" s="13">
        <f>G73*0.9</f>
        <v>592.08299999999997</v>
      </c>
    </row>
    <row r="74" spans="1:9" hidden="1">
      <c r="A74" s="27"/>
      <c r="B74" s="33" t="s">
        <v>144</v>
      </c>
      <c r="C74" s="90" t="s">
        <v>101</v>
      </c>
      <c r="D74" s="70" t="s">
        <v>65</v>
      </c>
      <c r="E74" s="15">
        <v>2</v>
      </c>
      <c r="F74" s="73">
        <f>SUM(E74)</f>
        <v>2</v>
      </c>
      <c r="G74" s="31">
        <v>1118.72</v>
      </c>
      <c r="H74" s="63">
        <f t="shared" si="11"/>
        <v>2.2374399999999999</v>
      </c>
      <c r="I74" s="13">
        <v>0</v>
      </c>
    </row>
    <row r="75" spans="1:9" hidden="1">
      <c r="A75" s="27"/>
      <c r="B75" s="44" t="s">
        <v>145</v>
      </c>
      <c r="C75" s="45" t="s">
        <v>101</v>
      </c>
      <c r="D75" s="70" t="s">
        <v>65</v>
      </c>
      <c r="E75" s="15">
        <v>1</v>
      </c>
      <c r="F75" s="88">
        <v>1</v>
      </c>
      <c r="G75" s="31">
        <v>1605.83</v>
      </c>
      <c r="H75" s="63">
        <f>SUM(F75*G75/1000)</f>
        <v>1.6058299999999999</v>
      </c>
      <c r="I75" s="13">
        <v>0</v>
      </c>
    </row>
    <row r="76" spans="1:9" ht="31.5" customHeight="1">
      <c r="A76" s="27">
        <v>22</v>
      </c>
      <c r="B76" s="44" t="s">
        <v>146</v>
      </c>
      <c r="C76" s="45" t="s">
        <v>101</v>
      </c>
      <c r="D76" s="33" t="s">
        <v>156</v>
      </c>
      <c r="E76" s="93">
        <v>2</v>
      </c>
      <c r="F76" s="87">
        <f>E76*12</f>
        <v>24</v>
      </c>
      <c r="G76" s="94">
        <v>53.42</v>
      </c>
      <c r="H76" s="63">
        <f t="shared" ref="H76:H77" si="12">SUM(F76*G76/1000)</f>
        <v>1.2820799999999999</v>
      </c>
      <c r="I76" s="13">
        <f t="shared" ref="I76:I79" si="13">F76/12*G76</f>
        <v>106.84</v>
      </c>
    </row>
    <row r="77" spans="1:9" ht="17.25" customHeight="1">
      <c r="A77" s="27">
        <v>23</v>
      </c>
      <c r="B77" s="52" t="s">
        <v>147</v>
      </c>
      <c r="C77" s="90"/>
      <c r="D77" s="33" t="s">
        <v>156</v>
      </c>
      <c r="E77" s="15">
        <v>1</v>
      </c>
      <c r="F77" s="31">
        <v>12</v>
      </c>
      <c r="G77" s="31">
        <v>1194</v>
      </c>
      <c r="H77" s="63">
        <f t="shared" si="12"/>
        <v>14.327999999999999</v>
      </c>
      <c r="I77" s="13">
        <f t="shared" si="13"/>
        <v>1194</v>
      </c>
    </row>
    <row r="78" spans="1:9" ht="15" customHeight="1">
      <c r="A78" s="27"/>
      <c r="B78" s="105" t="s">
        <v>148</v>
      </c>
      <c r="C78" s="45"/>
      <c r="D78" s="33"/>
      <c r="E78" s="15"/>
      <c r="F78" s="31"/>
      <c r="G78" s="31"/>
      <c r="H78" s="63"/>
      <c r="I78" s="13"/>
    </row>
    <row r="79" spans="1:9" ht="16.5" customHeight="1">
      <c r="A79" s="27">
        <v>24</v>
      </c>
      <c r="B79" s="33" t="s">
        <v>149</v>
      </c>
      <c r="C79" s="95" t="s">
        <v>150</v>
      </c>
      <c r="D79" s="70" t="s">
        <v>157</v>
      </c>
      <c r="E79" s="15">
        <v>2626.5</v>
      </c>
      <c r="F79" s="31">
        <f>SUM(E79*12)</f>
        <v>31518</v>
      </c>
      <c r="G79" s="31">
        <v>2.2799999999999998</v>
      </c>
      <c r="H79" s="63">
        <f t="shared" ref="H79" si="14">SUM(F79*G79/1000)</f>
        <v>71.861039999999988</v>
      </c>
      <c r="I79" s="13">
        <f t="shared" si="13"/>
        <v>5988.4199999999992</v>
      </c>
    </row>
    <row r="80" spans="1:9" hidden="1">
      <c r="A80" s="27"/>
      <c r="B80" s="106" t="s">
        <v>73</v>
      </c>
      <c r="C80" s="90"/>
      <c r="D80" s="33"/>
      <c r="E80" s="15"/>
      <c r="F80" s="31"/>
      <c r="G80" s="31" t="s">
        <v>128</v>
      </c>
      <c r="H80" s="63" t="s">
        <v>128</v>
      </c>
      <c r="I80" s="13"/>
    </row>
    <row r="81" spans="1:9" hidden="1">
      <c r="A81" s="27"/>
      <c r="B81" s="96" t="s">
        <v>120</v>
      </c>
      <c r="C81" s="91" t="s">
        <v>74</v>
      </c>
      <c r="D81" s="89"/>
      <c r="E81" s="97"/>
      <c r="F81" s="69">
        <v>0.5</v>
      </c>
      <c r="G81" s="69">
        <v>3619.09</v>
      </c>
      <c r="H81" s="63">
        <f t="shared" si="10"/>
        <v>1.8095450000000002</v>
      </c>
      <c r="I81" s="13"/>
    </row>
    <row r="82" spans="1:9" ht="28.5" hidden="1">
      <c r="A82" s="27"/>
      <c r="B82" s="57" t="s">
        <v>88</v>
      </c>
      <c r="C82" s="13"/>
      <c r="D82" s="13"/>
      <c r="E82" s="13"/>
      <c r="F82" s="13"/>
      <c r="G82" s="13"/>
      <c r="H82" s="13"/>
      <c r="I82" s="13"/>
    </row>
    <row r="83" spans="1:9" hidden="1">
      <c r="A83" s="27"/>
      <c r="B83" s="70" t="s">
        <v>107</v>
      </c>
      <c r="C83" s="98"/>
      <c r="D83" s="99"/>
      <c r="E83" s="100"/>
      <c r="F83" s="32">
        <v>1</v>
      </c>
      <c r="G83" s="32">
        <v>8275.7000000000007</v>
      </c>
      <c r="H83" s="63">
        <f>G83*F83/1000</f>
        <v>8.2757000000000005</v>
      </c>
      <c r="I83" s="13"/>
    </row>
    <row r="84" spans="1:9">
      <c r="A84" s="174" t="s">
        <v>124</v>
      </c>
      <c r="B84" s="175"/>
      <c r="C84" s="175"/>
      <c r="D84" s="175"/>
      <c r="E84" s="175"/>
      <c r="F84" s="175"/>
      <c r="G84" s="175"/>
      <c r="H84" s="175"/>
      <c r="I84" s="176"/>
    </row>
    <row r="85" spans="1:9" ht="17.25" customHeight="1">
      <c r="A85" s="27">
        <v>25</v>
      </c>
      <c r="B85" s="70" t="s">
        <v>108</v>
      </c>
      <c r="C85" s="90" t="s">
        <v>54</v>
      </c>
      <c r="D85" s="56"/>
      <c r="E85" s="31">
        <v>2626.5</v>
      </c>
      <c r="F85" s="31">
        <f>SUM(E85*12)</f>
        <v>31518</v>
      </c>
      <c r="G85" s="31">
        <v>3.1</v>
      </c>
      <c r="H85" s="63">
        <f>SUM(F85*G85/1000)</f>
        <v>97.705799999999996</v>
      </c>
      <c r="I85" s="13">
        <f t="shared" ref="I85:I86" si="15">F85/12*G85</f>
        <v>8142.1500000000005</v>
      </c>
    </row>
    <row r="86" spans="1:9" ht="31.5" customHeight="1">
      <c r="A86" s="27">
        <v>26</v>
      </c>
      <c r="B86" s="33" t="s">
        <v>75</v>
      </c>
      <c r="C86" s="90"/>
      <c r="D86" s="56"/>
      <c r="E86" s="72">
        <f>E85</f>
        <v>2626.5</v>
      </c>
      <c r="F86" s="31">
        <f>E86*12</f>
        <v>31518</v>
      </c>
      <c r="G86" s="31">
        <v>3.5</v>
      </c>
      <c r="H86" s="63">
        <f>F86*G86/1000</f>
        <v>110.313</v>
      </c>
      <c r="I86" s="13">
        <f t="shared" si="15"/>
        <v>9192.75</v>
      </c>
    </row>
    <row r="87" spans="1:9">
      <c r="A87" s="27"/>
      <c r="B87" s="34" t="s">
        <v>77</v>
      </c>
      <c r="C87" s="54"/>
      <c r="D87" s="53"/>
      <c r="E87" s="50"/>
      <c r="F87" s="50"/>
      <c r="G87" s="50"/>
      <c r="H87" s="55">
        <f>H77</f>
        <v>14.327999999999999</v>
      </c>
      <c r="I87" s="50">
        <f>I86+I85+I79+I77+I76+I70+I64+I61+I54+I53+I52+I51+I50+I49+I48+I47+I46+I45+I32+I31+I30+I21+I20+I18+I17+I16</f>
        <v>61456.231969999993</v>
      </c>
    </row>
    <row r="88" spans="1:9">
      <c r="A88" s="163" t="s">
        <v>59</v>
      </c>
      <c r="B88" s="164"/>
      <c r="C88" s="164"/>
      <c r="D88" s="164"/>
      <c r="E88" s="164"/>
      <c r="F88" s="164"/>
      <c r="G88" s="164"/>
      <c r="H88" s="164"/>
      <c r="I88" s="165"/>
    </row>
    <row r="89" spans="1:9" ht="17.25" customHeight="1">
      <c r="A89" s="27">
        <v>27</v>
      </c>
      <c r="B89" s="44" t="s">
        <v>295</v>
      </c>
      <c r="C89" s="156" t="s">
        <v>179</v>
      </c>
      <c r="D89" s="152"/>
      <c r="E89" s="31"/>
      <c r="F89" s="31">
        <v>0.06</v>
      </c>
      <c r="G89" s="31">
        <v>4113.16</v>
      </c>
      <c r="H89" s="51"/>
      <c r="I89" s="13">
        <f>G89*0.06</f>
        <v>246.78959999999998</v>
      </c>
    </row>
    <row r="90" spans="1:9" ht="30">
      <c r="A90" s="27">
        <v>28</v>
      </c>
      <c r="B90" s="44" t="s">
        <v>197</v>
      </c>
      <c r="C90" s="45" t="s">
        <v>185</v>
      </c>
      <c r="D90" s="152" t="s">
        <v>268</v>
      </c>
      <c r="E90" s="31"/>
      <c r="F90" s="31">
        <v>15.5</v>
      </c>
      <c r="G90" s="31">
        <v>1584.54</v>
      </c>
      <c r="H90" s="63"/>
      <c r="I90" s="13">
        <f>G90*1</f>
        <v>1584.54</v>
      </c>
    </row>
    <row r="91" spans="1:9">
      <c r="A91" s="27">
        <v>29</v>
      </c>
      <c r="B91" s="44" t="s">
        <v>206</v>
      </c>
      <c r="C91" s="45" t="s">
        <v>39</v>
      </c>
      <c r="D91" s="152" t="s">
        <v>157</v>
      </c>
      <c r="E91" s="31"/>
      <c r="F91" s="31">
        <v>0.04</v>
      </c>
      <c r="G91" s="31">
        <v>28224.75</v>
      </c>
      <c r="H91" s="63"/>
      <c r="I91" s="13">
        <v>0</v>
      </c>
    </row>
    <row r="92" spans="1:9" ht="30">
      <c r="A92" s="27">
        <v>30</v>
      </c>
      <c r="B92" s="44" t="s">
        <v>208</v>
      </c>
      <c r="C92" s="45" t="s">
        <v>209</v>
      </c>
      <c r="D92" s="152" t="s">
        <v>274</v>
      </c>
      <c r="E92" s="31"/>
      <c r="F92" s="31">
        <v>1</v>
      </c>
      <c r="G92" s="31">
        <v>64.040000000000006</v>
      </c>
      <c r="H92" s="63"/>
      <c r="I92" s="13">
        <v>0</v>
      </c>
    </row>
    <row r="93" spans="1:9">
      <c r="A93" s="27">
        <v>31</v>
      </c>
      <c r="B93" s="44" t="s">
        <v>184</v>
      </c>
      <c r="C93" s="45" t="s">
        <v>185</v>
      </c>
      <c r="D93" s="152" t="s">
        <v>296</v>
      </c>
      <c r="E93" s="31"/>
      <c r="F93" s="31">
        <v>16</v>
      </c>
      <c r="G93" s="31">
        <v>295.36</v>
      </c>
      <c r="H93" s="63"/>
      <c r="I93" s="13">
        <v>0</v>
      </c>
    </row>
    <row r="94" spans="1:9" ht="30">
      <c r="A94" s="27">
        <v>32</v>
      </c>
      <c r="B94" s="44" t="s">
        <v>259</v>
      </c>
      <c r="C94" s="45" t="s">
        <v>29</v>
      </c>
      <c r="D94" s="152"/>
      <c r="E94" s="31"/>
      <c r="F94" s="31">
        <f>0.72+0.72+0.72+0.72</f>
        <v>2.88</v>
      </c>
      <c r="G94" s="31">
        <v>241.69</v>
      </c>
      <c r="H94" s="63"/>
      <c r="I94" s="13">
        <f>G94*0.72</f>
        <v>174.01679999999999</v>
      </c>
    </row>
    <row r="95" spans="1:9" ht="16.5" customHeight="1">
      <c r="A95" s="27"/>
      <c r="B95" s="39" t="s">
        <v>51</v>
      </c>
      <c r="C95" s="35"/>
      <c r="D95" s="42"/>
      <c r="E95" s="35">
        <v>1</v>
      </c>
      <c r="F95" s="35"/>
      <c r="G95" s="35"/>
      <c r="H95" s="35"/>
      <c r="I95" s="29">
        <f>SUM(I89:I94)</f>
        <v>2005.3463999999999</v>
      </c>
    </row>
    <row r="96" spans="1:9">
      <c r="A96" s="27"/>
      <c r="B96" s="41" t="s">
        <v>76</v>
      </c>
      <c r="C96" s="14"/>
      <c r="D96" s="14"/>
      <c r="E96" s="36"/>
      <c r="F96" s="36"/>
      <c r="G96" s="37"/>
      <c r="H96" s="37"/>
      <c r="I96" s="15">
        <v>0</v>
      </c>
    </row>
    <row r="97" spans="1:9">
      <c r="A97" s="43"/>
      <c r="B97" s="40" t="s">
        <v>134</v>
      </c>
      <c r="C97" s="30"/>
      <c r="D97" s="30"/>
      <c r="E97" s="30"/>
      <c r="F97" s="30"/>
      <c r="G97" s="30"/>
      <c r="H97" s="30"/>
      <c r="I97" s="38">
        <f>I87+I95</f>
        <v>63461.578369999996</v>
      </c>
    </row>
    <row r="98" spans="1:9" ht="15.75">
      <c r="A98" s="166" t="s">
        <v>297</v>
      </c>
      <c r="B98" s="166"/>
      <c r="C98" s="166"/>
      <c r="D98" s="166"/>
      <c r="E98" s="166"/>
      <c r="F98" s="166"/>
      <c r="G98" s="166"/>
      <c r="H98" s="166"/>
      <c r="I98" s="166"/>
    </row>
    <row r="99" spans="1:9" ht="15.75">
      <c r="A99" s="46"/>
      <c r="B99" s="167" t="s">
        <v>298</v>
      </c>
      <c r="C99" s="167"/>
      <c r="D99" s="167"/>
      <c r="E99" s="167"/>
      <c r="F99" s="167"/>
      <c r="G99" s="167"/>
      <c r="H99" s="49"/>
      <c r="I99" s="3"/>
    </row>
    <row r="100" spans="1:9">
      <c r="A100" s="141"/>
      <c r="B100" s="168" t="s">
        <v>6</v>
      </c>
      <c r="C100" s="168"/>
      <c r="D100" s="168"/>
      <c r="E100" s="168"/>
      <c r="F100" s="168"/>
      <c r="G100" s="168"/>
      <c r="H100" s="22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169" t="s">
        <v>7</v>
      </c>
      <c r="B102" s="169"/>
      <c r="C102" s="169"/>
      <c r="D102" s="169"/>
      <c r="E102" s="169"/>
      <c r="F102" s="169"/>
      <c r="G102" s="169"/>
      <c r="H102" s="169"/>
      <c r="I102" s="169"/>
    </row>
    <row r="103" spans="1:9" ht="15.75">
      <c r="A103" s="169" t="s">
        <v>8</v>
      </c>
      <c r="B103" s="169"/>
      <c r="C103" s="169"/>
      <c r="D103" s="169"/>
      <c r="E103" s="169"/>
      <c r="F103" s="169"/>
      <c r="G103" s="169"/>
      <c r="H103" s="169"/>
      <c r="I103" s="169"/>
    </row>
    <row r="104" spans="1:9" ht="15.75">
      <c r="A104" s="170" t="s">
        <v>60</v>
      </c>
      <c r="B104" s="170"/>
      <c r="C104" s="170"/>
      <c r="D104" s="170"/>
      <c r="E104" s="170"/>
      <c r="F104" s="170"/>
      <c r="G104" s="170"/>
      <c r="H104" s="170"/>
      <c r="I104" s="170"/>
    </row>
    <row r="105" spans="1:9" ht="15.75">
      <c r="A105" s="11"/>
    </row>
    <row r="106" spans="1:9" ht="15.75">
      <c r="A106" s="171" t="s">
        <v>9</v>
      </c>
      <c r="B106" s="171"/>
      <c r="C106" s="171"/>
      <c r="D106" s="171"/>
      <c r="E106" s="171"/>
      <c r="F106" s="171"/>
      <c r="G106" s="171"/>
      <c r="H106" s="171"/>
      <c r="I106" s="171"/>
    </row>
    <row r="107" spans="1:9" ht="15.75">
      <c r="A107" s="4"/>
    </row>
    <row r="108" spans="1:9" ht="15.75">
      <c r="B108" s="143" t="s">
        <v>10</v>
      </c>
      <c r="C108" s="172" t="s">
        <v>217</v>
      </c>
      <c r="D108" s="172"/>
      <c r="E108" s="172"/>
      <c r="F108" s="47"/>
      <c r="I108" s="144"/>
    </row>
    <row r="109" spans="1:9">
      <c r="A109" s="141"/>
      <c r="C109" s="168" t="s">
        <v>11</v>
      </c>
      <c r="D109" s="168"/>
      <c r="E109" s="168"/>
      <c r="F109" s="22"/>
      <c r="I109" s="142" t="s">
        <v>12</v>
      </c>
    </row>
    <row r="110" spans="1:9" ht="15.75">
      <c r="A110" s="23"/>
      <c r="C110" s="12"/>
      <c r="D110" s="12"/>
      <c r="G110" s="12"/>
      <c r="H110" s="12"/>
    </row>
    <row r="111" spans="1:9" ht="15.75">
      <c r="B111" s="143" t="s">
        <v>13</v>
      </c>
      <c r="C111" s="173"/>
      <c r="D111" s="173"/>
      <c r="E111" s="173"/>
      <c r="F111" s="48"/>
      <c r="I111" s="144"/>
    </row>
    <row r="112" spans="1:9">
      <c r="A112" s="141"/>
      <c r="C112" s="162" t="s">
        <v>11</v>
      </c>
      <c r="D112" s="162"/>
      <c r="E112" s="162"/>
      <c r="F112" s="141"/>
      <c r="I112" s="142" t="s">
        <v>12</v>
      </c>
    </row>
    <row r="113" spans="1:9" ht="15.75">
      <c r="A113" s="4" t="s">
        <v>14</v>
      </c>
    </row>
    <row r="114" spans="1:9">
      <c r="A114" s="189" t="s">
        <v>15</v>
      </c>
      <c r="B114" s="189"/>
      <c r="C114" s="189"/>
      <c r="D114" s="189"/>
      <c r="E114" s="189"/>
      <c r="F114" s="189"/>
      <c r="G114" s="189"/>
      <c r="H114" s="189"/>
      <c r="I114" s="189"/>
    </row>
    <row r="115" spans="1:9" ht="48" customHeight="1">
      <c r="A115" s="190" t="s">
        <v>16</v>
      </c>
      <c r="B115" s="190"/>
      <c r="C115" s="190"/>
      <c r="D115" s="190"/>
      <c r="E115" s="190"/>
      <c r="F115" s="190"/>
      <c r="G115" s="190"/>
      <c r="H115" s="190"/>
      <c r="I115" s="190"/>
    </row>
    <row r="116" spans="1:9" ht="37.5" customHeight="1">
      <c r="A116" s="190" t="s">
        <v>17</v>
      </c>
      <c r="B116" s="190"/>
      <c r="C116" s="190"/>
      <c r="D116" s="190"/>
      <c r="E116" s="190"/>
      <c r="F116" s="190"/>
      <c r="G116" s="190"/>
      <c r="H116" s="190"/>
      <c r="I116" s="190"/>
    </row>
    <row r="117" spans="1:9" ht="34.5" customHeight="1">
      <c r="A117" s="190" t="s">
        <v>21</v>
      </c>
      <c r="B117" s="190"/>
      <c r="C117" s="190"/>
      <c r="D117" s="190"/>
      <c r="E117" s="190"/>
      <c r="F117" s="190"/>
      <c r="G117" s="190"/>
      <c r="H117" s="190"/>
      <c r="I117" s="190"/>
    </row>
    <row r="118" spans="1:9" ht="15.75">
      <c r="A118" s="190" t="s">
        <v>20</v>
      </c>
      <c r="B118" s="190"/>
      <c r="C118" s="190"/>
      <c r="D118" s="190"/>
      <c r="E118" s="190"/>
      <c r="F118" s="190"/>
      <c r="G118" s="190"/>
      <c r="H118" s="190"/>
      <c r="I118" s="190"/>
    </row>
  </sheetData>
  <mergeCells count="28">
    <mergeCell ref="A117:I117"/>
    <mergeCell ref="A104:I104"/>
    <mergeCell ref="A106:I106"/>
    <mergeCell ref="C108:E108"/>
    <mergeCell ref="C109:E109"/>
    <mergeCell ref="C111:E111"/>
    <mergeCell ref="A118:I118"/>
    <mergeCell ref="A103:I103"/>
    <mergeCell ref="A15:I15"/>
    <mergeCell ref="A28:I28"/>
    <mergeCell ref="A44:I44"/>
    <mergeCell ref="A55:I55"/>
    <mergeCell ref="A84:I84"/>
    <mergeCell ref="A88:I88"/>
    <mergeCell ref="A98:I98"/>
    <mergeCell ref="B99:G99"/>
    <mergeCell ref="B100:G100"/>
    <mergeCell ref="A102:I102"/>
    <mergeCell ref="C112:E112"/>
    <mergeCell ref="A114:I114"/>
    <mergeCell ref="A115:I115"/>
    <mergeCell ref="A116:I116"/>
    <mergeCell ref="A14:I14"/>
    <mergeCell ref="A3:I3"/>
    <mergeCell ref="A4:I4"/>
    <mergeCell ref="A5:I5"/>
    <mergeCell ref="A8:I8"/>
    <mergeCell ref="A10:I10"/>
  </mergeCells>
  <pageMargins left="0.70866141732283472" right="0.11811023622047245" top="0.74803149606299213" bottom="0.74803149606299213" header="0.31496062992125984" footer="0.31496062992125984"/>
  <pageSetup paperSize="9" scale="6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8</vt:i4>
      </vt:variant>
    </vt:vector>
  </HeadingPairs>
  <TitlesOfParts>
    <vt:vector size="20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'03.21'!Область_печати</vt:lpstr>
      <vt:lpstr>'04.21'!Область_печати</vt:lpstr>
      <vt:lpstr>'05.21'!Область_печати</vt:lpstr>
      <vt:lpstr>'08.21'!Область_печати</vt:lpstr>
      <vt:lpstr>'11.21'!Область_печати</vt:lpstr>
      <vt:lpstr>'12.21'!Область_печати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2022-01-27T12:37:43Z</cp:lastPrinted>
  <dcterms:created xsi:type="dcterms:W3CDTF">2016-03-25T08:33:47Z</dcterms:created>
  <dcterms:modified xsi:type="dcterms:W3CDTF">2022-01-27T12:38:20Z</dcterms:modified>
</cp:coreProperties>
</file>