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 47" sheetId="1" r:id="rId1"/>
  </sheets>
  <definedNames>
    <definedName name="_xlnm.Print_Area" localSheetId="0">'Окт. 47'!$A$1:$U$110</definedName>
  </definedNames>
  <calcPr calcId="124519"/>
</workbook>
</file>

<file path=xl/calcChain.xml><?xml version="1.0" encoding="utf-8"?>
<calcChain xmlns="http://schemas.openxmlformats.org/spreadsheetml/2006/main">
  <c r="J47" i="1"/>
  <c r="H68"/>
  <c r="H69"/>
  <c r="C108"/>
  <c r="C105"/>
  <c r="T97"/>
  <c r="U97" s="1"/>
  <c r="H97"/>
  <c r="F96"/>
  <c r="T96" s="1"/>
  <c r="U96" s="1"/>
  <c r="T95"/>
  <c r="U95" s="1"/>
  <c r="F95"/>
  <c r="H95" s="1"/>
  <c r="U93"/>
  <c r="U56"/>
  <c r="U59"/>
  <c r="U68"/>
  <c r="U69"/>
  <c r="U70"/>
  <c r="U72"/>
  <c r="U29"/>
  <c r="U30"/>
  <c r="S93"/>
  <c r="S92"/>
  <c r="U92" s="1"/>
  <c r="H92"/>
  <c r="R58"/>
  <c r="S88"/>
  <c r="S67"/>
  <c r="U67" s="1"/>
  <c r="S94"/>
  <c r="U94" s="1"/>
  <c r="H94"/>
  <c r="H96" l="1"/>
  <c r="R91"/>
  <c r="U91" s="1"/>
  <c r="H91"/>
  <c r="R90" l="1"/>
  <c r="U90" s="1"/>
  <c r="Q89"/>
  <c r="U89" s="1"/>
  <c r="H89"/>
  <c r="P58" l="1"/>
  <c r="O88" l="1"/>
  <c r="U88" s="1"/>
  <c r="N87" l="1"/>
  <c r="U87" s="1"/>
  <c r="H87"/>
  <c r="M86" l="1"/>
  <c r="U86" s="1"/>
  <c r="H86"/>
  <c r="L50"/>
  <c r="I51"/>
  <c r="K85"/>
  <c r="U85" s="1"/>
  <c r="J84"/>
  <c r="H84"/>
  <c r="I58"/>
  <c r="U58" s="1"/>
  <c r="Q74"/>
  <c r="U74" s="1"/>
  <c r="U84" l="1"/>
  <c r="U98" s="1"/>
  <c r="H88"/>
  <c r="H90"/>
  <c r="T39"/>
  <c r="S39"/>
  <c r="T35"/>
  <c r="S35"/>
  <c r="T34"/>
  <c r="S34"/>
  <c r="Q65"/>
  <c r="U65" s="1"/>
  <c r="P51"/>
  <c r="O51"/>
  <c r="O50"/>
  <c r="U50" s="1"/>
  <c r="P16"/>
  <c r="L51"/>
  <c r="U51" s="1"/>
  <c r="F27"/>
  <c r="R27" s="1"/>
  <c r="L39"/>
  <c r="L35"/>
  <c r="L34"/>
  <c r="H85"/>
  <c r="K39"/>
  <c r="K35"/>
  <c r="K34"/>
  <c r="H74"/>
  <c r="N27" l="1"/>
  <c r="O27"/>
  <c r="Q27"/>
  <c r="M27"/>
  <c r="U27" s="1"/>
  <c r="P27"/>
  <c r="J39"/>
  <c r="J35"/>
  <c r="J34"/>
  <c r="I39"/>
  <c r="I35"/>
  <c r="U35" s="1"/>
  <c r="I34"/>
  <c r="U34" l="1"/>
  <c r="U39"/>
  <c r="H93"/>
  <c r="H98" s="1"/>
  <c r="H70"/>
  <c r="F37"/>
  <c r="F20"/>
  <c r="H20" s="1"/>
  <c r="F16"/>
  <c r="F15"/>
  <c r="F46"/>
  <c r="M46" s="1"/>
  <c r="Q16" l="1"/>
  <c r="S16"/>
  <c r="O16"/>
  <c r="M16"/>
  <c r="M20"/>
  <c r="U20" s="1"/>
  <c r="K16"/>
  <c r="H46"/>
  <c r="Q46"/>
  <c r="U46" s="1"/>
  <c r="I16"/>
  <c r="U16" s="1"/>
  <c r="I15"/>
  <c r="S15"/>
  <c r="Q15"/>
  <c r="N15"/>
  <c r="M15"/>
  <c r="L15"/>
  <c r="K15"/>
  <c r="T15"/>
  <c r="R15"/>
  <c r="P15"/>
  <c r="O15"/>
  <c r="J15"/>
  <c r="I37"/>
  <c r="S37"/>
  <c r="L37"/>
  <c r="K37"/>
  <c r="T37"/>
  <c r="J37"/>
  <c r="F51"/>
  <c r="U37" l="1"/>
  <c r="U15"/>
  <c r="H35"/>
  <c r="F14"/>
  <c r="M14" s="1"/>
  <c r="U14" s="1"/>
  <c r="F17"/>
  <c r="F18"/>
  <c r="F19"/>
  <c r="M18" l="1"/>
  <c r="U18" s="1"/>
  <c r="M19"/>
  <c r="U19" s="1"/>
  <c r="M17"/>
  <c r="U17" s="1"/>
  <c r="H56"/>
  <c r="F101" l="1"/>
  <c r="E77"/>
  <c r="H80" s="1"/>
  <c r="F75"/>
  <c r="H72"/>
  <c r="H67"/>
  <c r="H65"/>
  <c r="F64"/>
  <c r="F63"/>
  <c r="F62"/>
  <c r="F61"/>
  <c r="F60"/>
  <c r="H59"/>
  <c r="H58"/>
  <c r="F54"/>
  <c r="H51"/>
  <c r="H50"/>
  <c r="F49"/>
  <c r="L49" s="1"/>
  <c r="F48"/>
  <c r="L48" s="1"/>
  <c r="F47"/>
  <c r="F45"/>
  <c r="M45" s="1"/>
  <c r="F44"/>
  <c r="M44" s="1"/>
  <c r="F43"/>
  <c r="M43" s="1"/>
  <c r="F42"/>
  <c r="M42" s="1"/>
  <c r="H39"/>
  <c r="F38"/>
  <c r="H37"/>
  <c r="F36"/>
  <c r="H34"/>
  <c r="F31"/>
  <c r="H30"/>
  <c r="H29"/>
  <c r="F28"/>
  <c r="H27"/>
  <c r="F26"/>
  <c r="F25"/>
  <c r="F24"/>
  <c r="F21"/>
  <c r="M21" s="1"/>
  <c r="U21" s="1"/>
  <c r="H18"/>
  <c r="H17"/>
  <c r="H14"/>
  <c r="E13"/>
  <c r="F13" s="1"/>
  <c r="F12"/>
  <c r="F11"/>
  <c r="I11" l="1"/>
  <c r="S11"/>
  <c r="R11"/>
  <c r="P11"/>
  <c r="K11"/>
  <c r="T11"/>
  <c r="Q11"/>
  <c r="O11"/>
  <c r="M11"/>
  <c r="N11"/>
  <c r="L11"/>
  <c r="J11"/>
  <c r="I12"/>
  <c r="S12"/>
  <c r="Q12"/>
  <c r="O12"/>
  <c r="M12"/>
  <c r="L12"/>
  <c r="K12"/>
  <c r="T12"/>
  <c r="R12"/>
  <c r="P12"/>
  <c r="N12"/>
  <c r="J12"/>
  <c r="H24"/>
  <c r="R24"/>
  <c r="P24"/>
  <c r="N24"/>
  <c r="Q24"/>
  <c r="O24"/>
  <c r="M24"/>
  <c r="H26"/>
  <c r="M26"/>
  <c r="U26" s="1"/>
  <c r="I28"/>
  <c r="S28"/>
  <c r="Q28"/>
  <c r="O28"/>
  <c r="M28"/>
  <c r="T28"/>
  <c r="R28"/>
  <c r="P28"/>
  <c r="N28"/>
  <c r="L28"/>
  <c r="K28"/>
  <c r="J28"/>
  <c r="H43"/>
  <c r="Q43"/>
  <c r="U43" s="1"/>
  <c r="H45"/>
  <c r="Q45"/>
  <c r="U45" s="1"/>
  <c r="H48"/>
  <c r="S48"/>
  <c r="U48" s="1"/>
  <c r="T54"/>
  <c r="L54"/>
  <c r="S54"/>
  <c r="K54"/>
  <c r="J54"/>
  <c r="H61"/>
  <c r="M61"/>
  <c r="U61" s="1"/>
  <c r="H63"/>
  <c r="M63"/>
  <c r="U63" s="1"/>
  <c r="I75"/>
  <c r="T75"/>
  <c r="Q75"/>
  <c r="O75"/>
  <c r="K75"/>
  <c r="S75"/>
  <c r="R75"/>
  <c r="P75"/>
  <c r="N75"/>
  <c r="M75"/>
  <c r="L75"/>
  <c r="J75"/>
  <c r="I13"/>
  <c r="S13"/>
  <c r="R13"/>
  <c r="P13"/>
  <c r="N13"/>
  <c r="T13"/>
  <c r="Q13"/>
  <c r="O13"/>
  <c r="M13"/>
  <c r="L13"/>
  <c r="K13"/>
  <c r="J13"/>
  <c r="H21"/>
  <c r="H25"/>
  <c r="Q25"/>
  <c r="O25"/>
  <c r="M25"/>
  <c r="R25"/>
  <c r="P25"/>
  <c r="N25"/>
  <c r="S31"/>
  <c r="R31"/>
  <c r="P31"/>
  <c r="N31"/>
  <c r="L31"/>
  <c r="K31"/>
  <c r="T31"/>
  <c r="Q31"/>
  <c r="O31"/>
  <c r="M31"/>
  <c r="J31"/>
  <c r="S36"/>
  <c r="T36"/>
  <c r="L36"/>
  <c r="K36"/>
  <c r="J36"/>
  <c r="I38"/>
  <c r="S38"/>
  <c r="T38"/>
  <c r="L38"/>
  <c r="K38"/>
  <c r="J38"/>
  <c r="H42"/>
  <c r="Q42"/>
  <c r="U42" s="1"/>
  <c r="H44"/>
  <c r="Q44"/>
  <c r="U44" s="1"/>
  <c r="I47"/>
  <c r="T47"/>
  <c r="Q47"/>
  <c r="M47"/>
  <c r="H49"/>
  <c r="S49"/>
  <c r="U49" s="1"/>
  <c r="H60"/>
  <c r="M60"/>
  <c r="U60" s="1"/>
  <c r="H62"/>
  <c r="M62"/>
  <c r="U62" s="1"/>
  <c r="H64"/>
  <c r="M64"/>
  <c r="U64" s="1"/>
  <c r="H31"/>
  <c r="I31"/>
  <c r="U31" s="1"/>
  <c r="H36"/>
  <c r="I36"/>
  <c r="U36" s="1"/>
  <c r="H54"/>
  <c r="I54"/>
  <c r="U54" s="1"/>
  <c r="H38"/>
  <c r="H75"/>
  <c r="H28"/>
  <c r="H47"/>
  <c r="H52" s="1"/>
  <c r="H11"/>
  <c r="H12"/>
  <c r="H16"/>
  <c r="H13"/>
  <c r="H15"/>
  <c r="H76"/>
  <c r="F77"/>
  <c r="T77" s="1"/>
  <c r="H19"/>
  <c r="H40"/>
  <c r="H73"/>
  <c r="H32" l="1"/>
  <c r="U47"/>
  <c r="U38"/>
  <c r="U40" s="1"/>
  <c r="U25"/>
  <c r="U13"/>
  <c r="U75"/>
  <c r="U24"/>
  <c r="U32" s="1"/>
  <c r="U12"/>
  <c r="U11"/>
  <c r="U28"/>
  <c r="I77"/>
  <c r="R77"/>
  <c r="P77"/>
  <c r="P101" s="1"/>
  <c r="N77"/>
  <c r="M77"/>
  <c r="L77"/>
  <c r="S77"/>
  <c r="Q77"/>
  <c r="O77"/>
  <c r="O101" s="1"/>
  <c r="K77"/>
  <c r="J77"/>
  <c r="J101" s="1"/>
  <c r="U73"/>
  <c r="U52"/>
  <c r="L101"/>
  <c r="M101"/>
  <c r="Q101"/>
  <c r="K101"/>
  <c r="R101"/>
  <c r="U76"/>
  <c r="N101"/>
  <c r="T101"/>
  <c r="S101"/>
  <c r="H77"/>
  <c r="H78" s="1"/>
  <c r="C107"/>
  <c r="H22"/>
  <c r="U77" l="1"/>
  <c r="U78" s="1"/>
  <c r="U22"/>
  <c r="I101"/>
  <c r="H79"/>
  <c r="H81" s="1"/>
  <c r="U79" l="1"/>
  <c r="U101" s="1"/>
  <c r="C110" s="1"/>
  <c r="C106" l="1"/>
  <c r="H100"/>
  <c r="G101" s="1"/>
  <c r="H101" s="1"/>
</calcChain>
</file>

<file path=xl/sharedStrings.xml><?xml version="1.0" encoding="utf-8"?>
<sst xmlns="http://schemas.openxmlformats.org/spreadsheetml/2006/main" count="295" uniqueCount="224">
  <si>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</si>
  <si>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</si>
  <si>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</si>
  <si>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</si>
  <si>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</si>
  <si>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</si>
  <si>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</si>
  <si>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</si>
  <si>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</si>
  <si>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</si>
  <si>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</si>
  <si>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</si>
  <si>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</si>
  <si>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</si>
  <si>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</si>
  <si>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</si>
  <si>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</si>
  <si>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</si>
  <si>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</si>
  <si>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</si>
  <si>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</si>
  <si>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</si>
  <si>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</si>
  <si>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</si>
  <si>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</si>
  <si>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</si>
  <si>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</si>
  <si>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</si>
  <si>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</si>
  <si>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</si>
  <si>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</si>
  <si>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</si>
  <si>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</si>
  <si>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</si>
  <si>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</si>
  <si>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</si>
  <si>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</si>
  <si>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</si>
  <si>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</si>
  <si>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</si>
  <si>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</si>
  <si>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</si>
  <si>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</si>
  <si>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</si>
  <si>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</si>
  <si>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</si>
  <si>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</si>
  <si>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</si>
  <si>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</si>
  <si>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</si>
  <si>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</si>
  <si>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</si>
  <si>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</si>
  <si>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</si>
  <si>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</si>
  <si>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</si>
  <si>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</si>
  <si>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</si>
  <si>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</si>
  <si>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</si>
  <si>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</si>
  <si>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</si>
  <si>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</si>
  <si>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</si>
  <si>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</si>
  <si>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</si>
  <si>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</si>
  <si>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</si>
  <si>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</si>
  <si>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</si>
  <si>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</si>
  <si>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</si>
  <si>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</si>
  <si>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</si>
  <si>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</si>
  <si>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</si>
  <si>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</si>
  <si>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</si>
  <si>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</si>
  <si>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</si>
  <si>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</si>
  <si>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</si>
  <si>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</si>
  <si>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</si>
  <si>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</si>
  <si>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</si>
  <si>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</si>
  <si>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</si>
  <si>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</si>
  <si>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</si>
  <si>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</si>
  <si>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</si>
  <si>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</si>
  <si>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</si>
  <si>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</si>
  <si>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</si>
  <si>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</si>
  <si>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</si>
  <si>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</si>
  <si>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</si>
  <si>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</si>
  <si>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</si>
  <si>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</si>
  <si>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</si>
  <si>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</si>
  <si>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</si>
  <si>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</si>
  <si>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</si>
  <si>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</si>
  <si>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</si>
  <si>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1 раз в месяц</t>
  </si>
  <si>
    <t>1 раз в два месяца</t>
  </si>
  <si>
    <t>35 раз за сезон</t>
  </si>
  <si>
    <t>Замена ламп ДРЛ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</si>
  <si>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</si>
  <si>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</si>
  <si>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</si>
  <si>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</si>
  <si>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</si>
  <si>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</si>
  <si>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</si>
  <si>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</si>
  <si>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</si>
  <si>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</si>
  <si>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</si>
  <si>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</si>
  <si>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Смена арматуры - вентилей и клапанов обратных муфтовых диаметром до 20 мм</t>
  </si>
  <si>
    <t>1 шт</t>
  </si>
  <si>
    <t>Стоимость (руб.)</t>
  </si>
  <si>
    <t>3 этажа, 2 подъезда</t>
  </si>
  <si>
    <t>договор</t>
  </si>
  <si>
    <t>ТО внутридомового газ.оборудования</t>
  </si>
  <si>
    <t>Работа автовышки</t>
  </si>
  <si>
    <t>маш/час</t>
  </si>
  <si>
    <t>Баланс выполненных работ на 01.01.2016 г. ( -долг за предприятием, +долг за населением)</t>
  </si>
  <si>
    <t>Ремонт групповых щитков на лестничной клетке без ремонта автоматов</t>
  </si>
  <si>
    <t>место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</si>
  <si>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</si>
  <si>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</si>
  <si>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Начислено за содержание и текущий ремонт за 2016  г.</t>
  </si>
  <si>
    <t>Выполнено работ по содержанию за        2016 г.</t>
  </si>
  <si>
    <t>Выполнено работ по текущему ремонту за 2016 г.</t>
  </si>
  <si>
    <t>Фактически оплачено за 2016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</si>
  <si>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</si>
  <si>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калькуляция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</si>
  <si>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</si>
  <si>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</si>
  <si>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</si>
  <si>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</si>
  <si>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</si>
  <si>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</si>
  <si>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</si>
  <si>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смета</t>
  </si>
  <si>
    <t>Ремонт ограждений контейнерной площадки</t>
  </si>
  <si>
    <t>тыс.руб.</t>
  </si>
  <si>
    <t xml:space="preserve"> - Уборка газонов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</si>
  <si>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</si>
  <si>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</si>
  <si>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</si>
  <si>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Смена тройника 25*20*25</t>
  </si>
  <si>
    <t>Устройство хомута диаметром до 50 мм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</si>
  <si>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</si>
  <si>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</si>
  <si>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</si>
  <si>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</si>
  <si>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</si>
  <si>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</si>
  <si>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</si>
  <si>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</si>
  <si>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</si>
  <si>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</si>
  <si>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</si>
  <si>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</si>
  <si>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</si>
  <si>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</si>
  <si>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</si>
  <si>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</si>
  <si>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</si>
  <si>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</si>
  <si>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</si>
  <si>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</si>
  <si>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</si>
  <si>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</si>
  <si>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</si>
  <si>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</si>
  <si>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</si>
  <si>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</si>
  <si>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</si>
  <si>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</si>
  <si>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</si>
  <si>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</si>
  <si>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</si>
  <si>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</si>
  <si>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</si>
  <si>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</si>
  <si>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</si>
  <si>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</si>
  <si>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</si>
  <si>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</si>
  <si>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</si>
  <si>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</si>
  <si>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</si>
  <si>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</si>
  <si>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ТЕР 2-2-1-2-7</t>
  </si>
  <si>
    <t>пр.ТЕР 31-009</t>
  </si>
  <si>
    <t>пр.ТЕР 32-098</t>
  </si>
  <si>
    <t>Внеплановый осмотр электросетей, арматуры и электрооборудования на лестничных клетках</t>
  </si>
  <si>
    <t>ТЕР 33-030</t>
  </si>
  <si>
    <t>Смена светодиодных светильников</t>
  </si>
  <si>
    <t>1 шт.</t>
  </si>
  <si>
    <t>пр.ТЕР 33-023</t>
  </si>
  <si>
    <t>пр.ТЕР 33-046</t>
  </si>
  <si>
    <t>Смена автомата на ток до 25А (авт.выкл. ВА47-29 Iн-25А)</t>
  </si>
  <si>
    <t>Смена тройника 20*15*20</t>
  </si>
  <si>
    <t>ТЕР 32-027</t>
  </si>
  <si>
    <t>Смена дверных приборов - петли</t>
  </si>
  <si>
    <t>ТЕР 15-013</t>
  </si>
  <si>
    <t>пр.ТЕР 15-013</t>
  </si>
  <si>
    <t>Смена дверных приборов - петли (проушины)</t>
  </si>
  <si>
    <t>1 полотно</t>
  </si>
  <si>
    <t>ТЕР 20-1-134-1</t>
  </si>
  <si>
    <t>Снятие и навеска полотна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</si>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</sst>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8" xfId="0" applyFont="1" applyFill="1" applyBorder="1"/>
    <xf numFmtId="0" fontId="1" fillId="4" borderId="18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14"/>
  <sheetViews>
    <sheetView tabSelected="1" view="pageBreakPreview" zoomScaleNormal="75" zoomScaleSheetLayoutView="100" workbookViewId="0">
      <pane ySplit="7" topLeftCell="A47" activePane="bottomLeft" state="frozen"/>
      <selection activeCell="B1" sqref="B1"/>
      <selection pane="bottomLeft" activeCell="J48" sqref="J4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42"/>
    </row>
    <row r="3" spans="1:21" ht="18">
      <c r="A3" s="122"/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69"/>
      <c r="N3" s="69"/>
      <c r="O3" s="69"/>
      <c r="P3" s="69"/>
      <c r="Q3" s="69"/>
      <c r="R3" s="69"/>
      <c r="S3" s="69"/>
      <c r="T3" s="69"/>
      <c r="U3" s="69"/>
    </row>
    <row r="4" spans="1:21" ht="36.75" customHeight="1">
      <c r="A4" s="69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69"/>
      <c r="N4" s="69"/>
      <c r="O4" s="69"/>
      <c r="P4" s="69"/>
      <c r="Q4" s="69"/>
      <c r="R4" s="69"/>
      <c r="S4" s="69"/>
      <c r="T4" s="69"/>
      <c r="U4" s="69"/>
    </row>
    <row r="5" spans="1:21" ht="18">
      <c r="A5" s="69"/>
      <c r="B5" s="160" t="s">
        <v>143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69"/>
      <c r="N5" s="69"/>
      <c r="O5" s="69"/>
      <c r="P5" s="69"/>
      <c r="Q5" s="69"/>
      <c r="R5" s="69"/>
      <c r="S5" s="69"/>
      <c r="T5" s="69"/>
      <c r="U5" s="69"/>
    </row>
    <row r="6" spans="1:21" ht="14.25">
      <c r="A6" s="69"/>
      <c r="B6" s="161" t="s">
        <v>129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69"/>
      <c r="N6" s="69"/>
      <c r="O6" s="69"/>
      <c r="P6" s="69"/>
      <c r="Q6" s="69"/>
      <c r="R6" s="69"/>
      <c r="S6" s="69"/>
      <c r="T6" s="69"/>
      <c r="U6" s="69"/>
    </row>
    <row r="7" spans="1:21" ht="54.75" customHeight="1">
      <c r="A7" s="132" t="s">
        <v>2</v>
      </c>
      <c r="B7" s="133" t="s">
        <v>3</v>
      </c>
      <c r="C7" s="133" t="s">
        <v>4</v>
      </c>
      <c r="D7" s="133" t="s">
        <v>5</v>
      </c>
      <c r="E7" s="133" t="s">
        <v>6</v>
      </c>
      <c r="F7" s="133" t="s">
        <v>7</v>
      </c>
      <c r="G7" s="133" t="s">
        <v>8</v>
      </c>
      <c r="H7" s="134" t="s">
        <v>9</v>
      </c>
      <c r="I7" s="25" t="s">
        <v>114</v>
      </c>
      <c r="J7" s="25" t="s">
        <v>115</v>
      </c>
      <c r="K7" s="25" t="s">
        <v>116</v>
      </c>
      <c r="L7" s="25" t="s">
        <v>117</v>
      </c>
      <c r="M7" s="25" t="s">
        <v>118</v>
      </c>
      <c r="N7" s="25" t="s">
        <v>119</v>
      </c>
      <c r="O7" s="25" t="s">
        <v>120</v>
      </c>
      <c r="P7" s="25" t="s">
        <v>121</v>
      </c>
      <c r="Q7" s="25" t="s">
        <v>122</v>
      </c>
      <c r="R7" s="25" t="s">
        <v>123</v>
      </c>
      <c r="S7" s="25" t="s">
        <v>124</v>
      </c>
      <c r="T7" s="25" t="s">
        <v>125</v>
      </c>
      <c r="U7" s="25" t="s">
        <v>128</v>
      </c>
    </row>
    <row r="8" spans="1:21">
      <c r="A8" s="135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</row>
    <row r="9" spans="1:21" ht="38.25">
      <c r="A9" s="135"/>
      <c r="B9" s="9" t="s">
        <v>10</v>
      </c>
      <c r="C9" s="26"/>
      <c r="D9" s="10"/>
      <c r="E9" s="10"/>
      <c r="F9" s="26"/>
      <c r="G9" s="26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35"/>
      <c r="B10" s="9" t="s">
        <v>11</v>
      </c>
      <c r="C10" s="26"/>
      <c r="D10" s="10"/>
      <c r="E10" s="10"/>
      <c r="F10" s="26"/>
      <c r="G10" s="26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135" t="s">
        <v>163</v>
      </c>
      <c r="B11" s="10" t="s">
        <v>12</v>
      </c>
      <c r="C11" s="26" t="s">
        <v>13</v>
      </c>
      <c r="D11" s="10" t="s">
        <v>14</v>
      </c>
      <c r="E11" s="33">
        <v>37.6</v>
      </c>
      <c r="F11" s="34">
        <f>SUM(E11*156/100)</f>
        <v>58.656000000000006</v>
      </c>
      <c r="G11" s="34">
        <v>187.48</v>
      </c>
      <c r="H11" s="35">
        <f t="shared" ref="H11:H21" si="0">SUM(F11*G11/1000)</f>
        <v>10.99682688</v>
      </c>
      <c r="I11" s="36">
        <f>F11/12*G11</f>
        <v>916.40224000000012</v>
      </c>
      <c r="J11" s="36">
        <f>F11/12*G11</f>
        <v>916.40224000000012</v>
      </c>
      <c r="K11" s="36">
        <f>F11/12*G11</f>
        <v>916.40224000000012</v>
      </c>
      <c r="L11" s="36">
        <f>F11/12*G11</f>
        <v>916.40224000000012</v>
      </c>
      <c r="M11" s="36">
        <f>F11/12*G11</f>
        <v>916.40224000000012</v>
      </c>
      <c r="N11" s="36">
        <f>F11/12*G11</f>
        <v>916.40224000000012</v>
      </c>
      <c r="O11" s="36">
        <f>F11/12*G11</f>
        <v>916.40224000000012</v>
      </c>
      <c r="P11" s="36">
        <f>F11/12*G11</f>
        <v>916.40224000000012</v>
      </c>
      <c r="Q11" s="36">
        <f>F11/12*G11</f>
        <v>916.40224000000012</v>
      </c>
      <c r="R11" s="36">
        <f>F11/12*G11</f>
        <v>916.40224000000012</v>
      </c>
      <c r="S11" s="36">
        <f>F11/12*G11</f>
        <v>916.40224000000012</v>
      </c>
      <c r="T11" s="36">
        <f>F11/12*G11</f>
        <v>916.40224000000012</v>
      </c>
      <c r="U11" s="36">
        <f>SUM(I11:T11)</f>
        <v>10996.826880000001</v>
      </c>
    </row>
    <row r="12" spans="1:21" ht="25.5">
      <c r="A12" s="135" t="s">
        <v>163</v>
      </c>
      <c r="B12" s="10" t="s">
        <v>161</v>
      </c>
      <c r="C12" s="26" t="s">
        <v>13</v>
      </c>
      <c r="D12" s="10" t="s">
        <v>15</v>
      </c>
      <c r="E12" s="33">
        <v>75.2</v>
      </c>
      <c r="F12" s="34">
        <f>SUM(E12*104/100)</f>
        <v>78.207999999999998</v>
      </c>
      <c r="G12" s="34">
        <v>187.48</v>
      </c>
      <c r="H12" s="35">
        <f t="shared" si="0"/>
        <v>14.662435839999999</v>
      </c>
      <c r="I12" s="36">
        <f>F12/12*G12</f>
        <v>1221.8696533333332</v>
      </c>
      <c r="J12" s="36">
        <f>F12/12*G12</f>
        <v>1221.8696533333332</v>
      </c>
      <c r="K12" s="36">
        <f>F12/12*G12</f>
        <v>1221.8696533333332</v>
      </c>
      <c r="L12" s="36">
        <f>F12/12*G12</f>
        <v>1221.8696533333332</v>
      </c>
      <c r="M12" s="36">
        <f>F12/12*G12</f>
        <v>1221.8696533333332</v>
      </c>
      <c r="N12" s="36">
        <f>F12/12*G12</f>
        <v>1221.8696533333332</v>
      </c>
      <c r="O12" s="36">
        <f>F12/12*G12</f>
        <v>1221.8696533333332</v>
      </c>
      <c r="P12" s="36">
        <f>F12/12*G12</f>
        <v>1221.8696533333332</v>
      </c>
      <c r="Q12" s="36">
        <f>F12/12*G12</f>
        <v>1221.8696533333332</v>
      </c>
      <c r="R12" s="36">
        <f>F12/12*G12</f>
        <v>1221.8696533333332</v>
      </c>
      <c r="S12" s="36">
        <f>F12/12*G12</f>
        <v>1221.8696533333332</v>
      </c>
      <c r="T12" s="36">
        <f>F12/12*G12</f>
        <v>1221.8696533333332</v>
      </c>
      <c r="U12" s="36">
        <f t="shared" ref="U12:U21" si="1">SUM(I12:T12)</f>
        <v>14662.435839999998</v>
      </c>
    </row>
    <row r="13" spans="1:21" ht="25.5">
      <c r="A13" s="135" t="s">
        <v>164</v>
      </c>
      <c r="B13" s="10" t="s">
        <v>162</v>
      </c>
      <c r="C13" s="26" t="s">
        <v>13</v>
      </c>
      <c r="D13" s="10" t="s">
        <v>16</v>
      </c>
      <c r="E13" s="33">
        <f>SUM(E11+E12)</f>
        <v>112.80000000000001</v>
      </c>
      <c r="F13" s="34">
        <f>SUM(E13*24/100)</f>
        <v>27.072000000000003</v>
      </c>
      <c r="G13" s="34">
        <v>539.30999999999995</v>
      </c>
      <c r="H13" s="35">
        <f t="shared" si="0"/>
        <v>14.600200320000001</v>
      </c>
      <c r="I13" s="36">
        <f>F13/12*G13</f>
        <v>1216.68336</v>
      </c>
      <c r="J13" s="36">
        <f>F13/12*G13</f>
        <v>1216.68336</v>
      </c>
      <c r="K13" s="36">
        <f>F13/12*G13</f>
        <v>1216.68336</v>
      </c>
      <c r="L13" s="36">
        <f>F13/12*G13</f>
        <v>1216.68336</v>
      </c>
      <c r="M13" s="36">
        <f>F13/12*G13</f>
        <v>1216.68336</v>
      </c>
      <c r="N13" s="36">
        <f>F13/12*G13</f>
        <v>1216.68336</v>
      </c>
      <c r="O13" s="36">
        <f>F13/12*G13</f>
        <v>1216.68336</v>
      </c>
      <c r="P13" s="36">
        <f>F13/12*G13</f>
        <v>1216.68336</v>
      </c>
      <c r="Q13" s="36">
        <f>F13/12*G13</f>
        <v>1216.68336</v>
      </c>
      <c r="R13" s="36">
        <f>F13/12*G13</f>
        <v>1216.68336</v>
      </c>
      <c r="S13" s="36">
        <f>F13/12*G13</f>
        <v>1216.68336</v>
      </c>
      <c r="T13" s="36">
        <f>F13/12*G13</f>
        <v>1216.68336</v>
      </c>
      <c r="U13" s="36">
        <f t="shared" si="1"/>
        <v>14600.200319999996</v>
      </c>
    </row>
    <row r="14" spans="1:21">
      <c r="A14" s="135" t="s">
        <v>165</v>
      </c>
      <c r="B14" s="10" t="s">
        <v>17</v>
      </c>
      <c r="C14" s="26" t="s">
        <v>18</v>
      </c>
      <c r="D14" s="10" t="s">
        <v>98</v>
      </c>
      <c r="E14" s="33">
        <v>15</v>
      </c>
      <c r="F14" s="34">
        <f>SUM(E14/10)</f>
        <v>1.5</v>
      </c>
      <c r="G14" s="34">
        <v>160.22999999999999</v>
      </c>
      <c r="H14" s="35">
        <f t="shared" si="0"/>
        <v>0.24034499999999998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120.17249999999999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120.17249999999999</v>
      </c>
    </row>
    <row r="15" spans="1:21">
      <c r="A15" s="135" t="s">
        <v>166</v>
      </c>
      <c r="B15" s="10" t="s">
        <v>19</v>
      </c>
      <c r="C15" s="26" t="s">
        <v>13</v>
      </c>
      <c r="D15" s="10" t="s">
        <v>110</v>
      </c>
      <c r="E15" s="33">
        <v>8.76</v>
      </c>
      <c r="F15" s="34">
        <f>SUM(E15*12/100)</f>
        <v>1.0512000000000001</v>
      </c>
      <c r="G15" s="34">
        <v>205.16</v>
      </c>
      <c r="H15" s="35">
        <f t="shared" si="0"/>
        <v>0.215664192</v>
      </c>
      <c r="I15" s="36">
        <f>F15/12*G15</f>
        <v>17.972016000000004</v>
      </c>
      <c r="J15" s="36">
        <f>F15/12*G15</f>
        <v>17.972016000000004</v>
      </c>
      <c r="K15" s="36">
        <f>F15/12*G15</f>
        <v>17.972016000000004</v>
      </c>
      <c r="L15" s="36">
        <f>F15/12*G15</f>
        <v>17.972016000000004</v>
      </c>
      <c r="M15" s="36">
        <f>F15/12*G15</f>
        <v>17.972016000000004</v>
      </c>
      <c r="N15" s="36">
        <f>F15/12*G15</f>
        <v>17.972016000000004</v>
      </c>
      <c r="O15" s="36">
        <f>F15/12*G15</f>
        <v>17.972016000000004</v>
      </c>
      <c r="P15" s="36">
        <f>F15/12*G15</f>
        <v>17.972016000000004</v>
      </c>
      <c r="Q15" s="36">
        <f>F15/12*G15</f>
        <v>17.972016000000004</v>
      </c>
      <c r="R15" s="36">
        <f>F15/12*G15</f>
        <v>17.972016000000004</v>
      </c>
      <c r="S15" s="36">
        <f>F15/12*G15</f>
        <v>17.972016000000004</v>
      </c>
      <c r="T15" s="36">
        <f>F15/12*G15</f>
        <v>17.972016000000004</v>
      </c>
      <c r="U15" s="36">
        <f t="shared" si="1"/>
        <v>215.66419199999999</v>
      </c>
    </row>
    <row r="16" spans="1:21">
      <c r="A16" s="135" t="s">
        <v>167</v>
      </c>
      <c r="B16" s="10" t="s">
        <v>20</v>
      </c>
      <c r="C16" s="26" t="s">
        <v>13</v>
      </c>
      <c r="D16" s="10" t="s">
        <v>111</v>
      </c>
      <c r="E16" s="33">
        <v>1.08</v>
      </c>
      <c r="F16" s="34">
        <f>SUM(E16*6/100)</f>
        <v>6.480000000000001E-2</v>
      </c>
      <c r="G16" s="34">
        <v>203.5</v>
      </c>
      <c r="H16" s="35">
        <f t="shared" si="0"/>
        <v>1.3186800000000002E-2</v>
      </c>
      <c r="I16" s="36">
        <f>F16/6*G16</f>
        <v>2.1978000000000004</v>
      </c>
      <c r="J16" s="36">
        <v>0</v>
      </c>
      <c r="K16" s="36">
        <f>F16/6*G16</f>
        <v>2.1978000000000004</v>
      </c>
      <c r="L16" s="36">
        <v>0</v>
      </c>
      <c r="M16" s="36">
        <f>F16/6*G16</f>
        <v>2.1978000000000004</v>
      </c>
      <c r="N16" s="36">
        <v>0</v>
      </c>
      <c r="O16" s="36">
        <f>F16/6*G16</f>
        <v>2.1978000000000004</v>
      </c>
      <c r="P16" s="36">
        <f>0</f>
        <v>0</v>
      </c>
      <c r="Q16" s="36">
        <f>F16/6*G16</f>
        <v>2.1978000000000004</v>
      </c>
      <c r="R16" s="36">
        <v>0</v>
      </c>
      <c r="S16" s="36">
        <f>F16/6*G16</f>
        <v>2.1978000000000004</v>
      </c>
      <c r="T16" s="36">
        <v>0</v>
      </c>
      <c r="U16" s="36">
        <f t="shared" si="1"/>
        <v>13.186800000000003</v>
      </c>
    </row>
    <row r="17" spans="1:21">
      <c r="A17" s="135" t="s">
        <v>168</v>
      </c>
      <c r="B17" s="10" t="s">
        <v>21</v>
      </c>
      <c r="C17" s="26" t="s">
        <v>22</v>
      </c>
      <c r="D17" s="10" t="s">
        <v>98</v>
      </c>
      <c r="E17" s="33">
        <v>107.1</v>
      </c>
      <c r="F17" s="34">
        <f>SUM(E17/100)</f>
        <v>1.071</v>
      </c>
      <c r="G17" s="34">
        <v>253.54</v>
      </c>
      <c r="H17" s="35">
        <f t="shared" si="0"/>
        <v>0.27154133999999996</v>
      </c>
      <c r="I17" s="36">
        <v>0</v>
      </c>
      <c r="J17" s="36">
        <v>0</v>
      </c>
      <c r="K17" s="36">
        <v>0</v>
      </c>
      <c r="L17" s="36">
        <v>0</v>
      </c>
      <c r="M17" s="36">
        <f>F17*G17</f>
        <v>271.54133999999999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271.54133999999999</v>
      </c>
    </row>
    <row r="18" spans="1:21">
      <c r="A18" s="135" t="s">
        <v>169</v>
      </c>
      <c r="B18" s="10" t="s">
        <v>23</v>
      </c>
      <c r="C18" s="26" t="s">
        <v>22</v>
      </c>
      <c r="D18" s="10" t="s">
        <v>98</v>
      </c>
      <c r="E18" s="38">
        <v>14.5</v>
      </c>
      <c r="F18" s="34">
        <f>SUM(E18/100)</f>
        <v>0.14499999999999999</v>
      </c>
      <c r="G18" s="34">
        <v>41.7</v>
      </c>
      <c r="H18" s="35">
        <f t="shared" si="0"/>
        <v>6.0464999999999998E-3</v>
      </c>
      <c r="I18" s="36">
        <v>0</v>
      </c>
      <c r="J18" s="36">
        <v>0</v>
      </c>
      <c r="K18" s="36">
        <v>0</v>
      </c>
      <c r="L18" s="36">
        <v>0</v>
      </c>
      <c r="M18" s="36">
        <f t="shared" ref="M18:M21" si="2">F18*G18</f>
        <v>6.0465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6.0465</v>
      </c>
    </row>
    <row r="19" spans="1:21">
      <c r="A19" s="135" t="s">
        <v>170</v>
      </c>
      <c r="B19" s="10" t="s">
        <v>24</v>
      </c>
      <c r="C19" s="26" t="s">
        <v>22</v>
      </c>
      <c r="D19" s="10" t="s">
        <v>99</v>
      </c>
      <c r="E19" s="33">
        <v>6</v>
      </c>
      <c r="F19" s="34">
        <f>E19/100</f>
        <v>0.06</v>
      </c>
      <c r="G19" s="34">
        <v>366.97</v>
      </c>
      <c r="H19" s="35">
        <f t="shared" si="0"/>
        <v>2.2018200000000002E-2</v>
      </c>
      <c r="I19" s="36">
        <v>0</v>
      </c>
      <c r="J19" s="36">
        <v>0</v>
      </c>
      <c r="K19" s="36">
        <v>0</v>
      </c>
      <c r="L19" s="36">
        <v>0</v>
      </c>
      <c r="M19" s="36">
        <f t="shared" si="2"/>
        <v>22.0182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22.0182</v>
      </c>
    </row>
    <row r="20" spans="1:21" ht="25.5">
      <c r="A20" s="135" t="s">
        <v>171</v>
      </c>
      <c r="B20" s="10" t="s">
        <v>100</v>
      </c>
      <c r="C20" s="26" t="s">
        <v>22</v>
      </c>
      <c r="D20" s="10" t="s">
        <v>32</v>
      </c>
      <c r="E20" s="33">
        <v>5.7</v>
      </c>
      <c r="F20" s="34">
        <f>E20/100</f>
        <v>5.7000000000000002E-2</v>
      </c>
      <c r="G20" s="34">
        <v>203.5</v>
      </c>
      <c r="H20" s="35">
        <f t="shared" si="0"/>
        <v>1.15995E-2</v>
      </c>
      <c r="I20" s="36">
        <v>0</v>
      </c>
      <c r="J20" s="36">
        <v>0</v>
      </c>
      <c r="K20" s="36">
        <v>0</v>
      </c>
      <c r="L20" s="36">
        <v>0</v>
      </c>
      <c r="M20" s="36">
        <f t="shared" si="2"/>
        <v>11.599500000000001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f t="shared" si="1"/>
        <v>11.599500000000001</v>
      </c>
    </row>
    <row r="21" spans="1:21">
      <c r="A21" s="135" t="s">
        <v>172</v>
      </c>
      <c r="B21" s="10" t="s">
        <v>25</v>
      </c>
      <c r="C21" s="26" t="s">
        <v>22</v>
      </c>
      <c r="D21" s="10" t="s">
        <v>98</v>
      </c>
      <c r="E21" s="33">
        <v>2.5499999999999998</v>
      </c>
      <c r="F21" s="34">
        <f>SUM(E21/100)</f>
        <v>2.5499999999999998E-2</v>
      </c>
      <c r="G21" s="34">
        <v>408.4</v>
      </c>
      <c r="H21" s="35">
        <f t="shared" si="0"/>
        <v>1.0414199999999998E-2</v>
      </c>
      <c r="I21" s="36">
        <v>0</v>
      </c>
      <c r="J21" s="36">
        <v>0</v>
      </c>
      <c r="K21" s="36">
        <v>0</v>
      </c>
      <c r="L21" s="36">
        <v>0</v>
      </c>
      <c r="M21" s="36">
        <f t="shared" si="2"/>
        <v>10.414199999999999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f t="shared" si="1"/>
        <v>10.414199999999999</v>
      </c>
    </row>
    <row r="22" spans="1:21" s="19" customFormat="1">
      <c r="A22" s="136"/>
      <c r="B22" s="20" t="s">
        <v>26</v>
      </c>
      <c r="C22" s="39"/>
      <c r="D22" s="20"/>
      <c r="E22" s="40"/>
      <c r="F22" s="41"/>
      <c r="G22" s="41"/>
      <c r="H22" s="42">
        <f>SUM(H11:H21)</f>
        <v>41.050278771999992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>
        <f>SUM(U11:U21)</f>
        <v>40930.10627199999</v>
      </c>
    </row>
    <row r="23" spans="1:21">
      <c r="A23" s="135"/>
      <c r="B23" s="12" t="s">
        <v>27</v>
      </c>
      <c r="C23" s="26"/>
      <c r="D23" s="10"/>
      <c r="E23" s="33"/>
      <c r="F23" s="34"/>
      <c r="G23" s="34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5.5" customHeight="1">
      <c r="A24" s="135" t="s">
        <v>173</v>
      </c>
      <c r="B24" s="10" t="s">
        <v>155</v>
      </c>
      <c r="C24" s="26" t="s">
        <v>29</v>
      </c>
      <c r="D24" s="10" t="s">
        <v>28</v>
      </c>
      <c r="E24" s="34">
        <v>266.57</v>
      </c>
      <c r="F24" s="34">
        <f>SUM(E24*52/1000)</f>
        <v>13.86164</v>
      </c>
      <c r="G24" s="34">
        <v>146.79</v>
      </c>
      <c r="H24" s="35">
        <f t="shared" ref="H24:H31" si="3">SUM(F24*G24/1000)</f>
        <v>2.0347501356</v>
      </c>
      <c r="I24" s="36">
        <v>0</v>
      </c>
      <c r="J24" s="36">
        <v>0</v>
      </c>
      <c r="K24" s="36">
        <v>0</v>
      </c>
      <c r="L24" s="36">
        <v>0</v>
      </c>
      <c r="M24" s="36">
        <f>F24/6*G24</f>
        <v>339.12502259999997</v>
      </c>
      <c r="N24" s="36">
        <f>F24/6*G24</f>
        <v>339.12502259999997</v>
      </c>
      <c r="O24" s="36">
        <f>F24/6*G24</f>
        <v>339.12502259999997</v>
      </c>
      <c r="P24" s="36">
        <f>F24/6*G24</f>
        <v>339.12502259999997</v>
      </c>
      <c r="Q24" s="36">
        <f>F24/6*G24</f>
        <v>339.12502259999997</v>
      </c>
      <c r="R24" s="36">
        <f>F24/6*G24</f>
        <v>339.12502259999997</v>
      </c>
      <c r="S24" s="36">
        <v>0</v>
      </c>
      <c r="T24" s="36">
        <v>0</v>
      </c>
      <c r="U24" s="36">
        <f>SUM(I24:T24)</f>
        <v>2034.7501355999998</v>
      </c>
    </row>
    <row r="25" spans="1:21" ht="38.25" customHeight="1">
      <c r="A25" s="135" t="s">
        <v>174</v>
      </c>
      <c r="B25" s="10" t="s">
        <v>156</v>
      </c>
      <c r="C25" s="26" t="s">
        <v>29</v>
      </c>
      <c r="D25" s="10" t="s">
        <v>30</v>
      </c>
      <c r="E25" s="34">
        <v>48.03</v>
      </c>
      <c r="F25" s="34">
        <f>SUM(E25*78/1000)</f>
        <v>3.74634</v>
      </c>
      <c r="G25" s="34">
        <v>243.54</v>
      </c>
      <c r="H25" s="35">
        <f t="shared" si="3"/>
        <v>0.91238364360000002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152.0639406</v>
      </c>
      <c r="N25" s="36">
        <f>F25/6*G25</f>
        <v>152.0639406</v>
      </c>
      <c r="O25" s="36">
        <f>F25/6*G25</f>
        <v>152.0639406</v>
      </c>
      <c r="P25" s="36">
        <f>F25/6*G25</f>
        <v>152.0639406</v>
      </c>
      <c r="Q25" s="36">
        <f>F25/6*G25</f>
        <v>152.0639406</v>
      </c>
      <c r="R25" s="36">
        <f>F25/6*G25</f>
        <v>152.0639406</v>
      </c>
      <c r="S25" s="36">
        <v>0</v>
      </c>
      <c r="T25" s="36">
        <v>0</v>
      </c>
      <c r="U25" s="36">
        <f t="shared" ref="U25:U31" si="4">SUM(I25:T25)</f>
        <v>912.38364360000003</v>
      </c>
    </row>
    <row r="26" spans="1:21">
      <c r="A26" s="135" t="s">
        <v>175</v>
      </c>
      <c r="B26" s="10" t="s">
        <v>31</v>
      </c>
      <c r="C26" s="26" t="s">
        <v>29</v>
      </c>
      <c r="D26" s="10" t="s">
        <v>32</v>
      </c>
      <c r="E26" s="34">
        <v>266.57</v>
      </c>
      <c r="F26" s="34">
        <f>SUM(E26/1000)</f>
        <v>0.26656999999999997</v>
      </c>
      <c r="G26" s="34">
        <v>2844</v>
      </c>
      <c r="H26" s="35">
        <f t="shared" si="3"/>
        <v>0.7581250799999999</v>
      </c>
      <c r="I26" s="36">
        <v>0</v>
      </c>
      <c r="J26" s="36">
        <v>0</v>
      </c>
      <c r="K26" s="36">
        <v>0</v>
      </c>
      <c r="L26" s="36">
        <v>0</v>
      </c>
      <c r="M26" s="36">
        <f>F26*G26</f>
        <v>758.12507999999991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f t="shared" si="4"/>
        <v>758.12507999999991</v>
      </c>
    </row>
    <row r="27" spans="1:21">
      <c r="A27" s="135" t="s">
        <v>176</v>
      </c>
      <c r="B27" s="10" t="s">
        <v>33</v>
      </c>
      <c r="C27" s="26" t="s">
        <v>34</v>
      </c>
      <c r="D27" s="10" t="s">
        <v>35</v>
      </c>
      <c r="E27" s="45">
        <v>0.33333333333333331</v>
      </c>
      <c r="F27" s="34">
        <f>155/3</f>
        <v>51.666666666666664</v>
      </c>
      <c r="G27" s="34">
        <v>53.38</v>
      </c>
      <c r="H27" s="35">
        <f>SUM(G27*155/3/1000)</f>
        <v>2.7579666666666669</v>
      </c>
      <c r="I27" s="36">
        <v>0</v>
      </c>
      <c r="J27" s="36">
        <v>0</v>
      </c>
      <c r="K27" s="36">
        <v>0</v>
      </c>
      <c r="L27" s="36">
        <v>0</v>
      </c>
      <c r="M27" s="36">
        <f>F27/6*G27</f>
        <v>459.6611111111111</v>
      </c>
      <c r="N27" s="36">
        <f>F27/6*G27</f>
        <v>459.6611111111111</v>
      </c>
      <c r="O27" s="36">
        <f>F27/6*G27</f>
        <v>459.6611111111111</v>
      </c>
      <c r="P27" s="36">
        <f>F27/6*G27</f>
        <v>459.6611111111111</v>
      </c>
      <c r="Q27" s="36">
        <f>F27/6*G27</f>
        <v>459.6611111111111</v>
      </c>
      <c r="R27" s="36">
        <f>F27/6*G27</f>
        <v>459.6611111111111</v>
      </c>
      <c r="S27" s="36">
        <v>0</v>
      </c>
      <c r="T27" s="36">
        <v>0</v>
      </c>
      <c r="U27" s="36">
        <f t="shared" si="4"/>
        <v>2757.9666666666667</v>
      </c>
    </row>
    <row r="28" spans="1:21" ht="12.75" customHeight="1">
      <c r="A28" s="135" t="s">
        <v>177</v>
      </c>
      <c r="B28" s="10" t="s">
        <v>36</v>
      </c>
      <c r="C28" s="26" t="s">
        <v>37</v>
      </c>
      <c r="D28" s="10" t="s">
        <v>38</v>
      </c>
      <c r="E28" s="46">
        <v>0.1</v>
      </c>
      <c r="F28" s="34">
        <f>SUM(E28*365)</f>
        <v>36.5</v>
      </c>
      <c r="G28" s="34">
        <v>138.44999999999999</v>
      </c>
      <c r="H28" s="35">
        <f t="shared" si="3"/>
        <v>5.0534249999999989</v>
      </c>
      <c r="I28" s="36">
        <f>F28/12*G28</f>
        <v>421.11874999999992</v>
      </c>
      <c r="J28" s="36">
        <f>F28/12*G28</f>
        <v>421.11874999999992</v>
      </c>
      <c r="K28" s="36">
        <f>F28/12*G28</f>
        <v>421.11874999999992</v>
      </c>
      <c r="L28" s="36">
        <f>F28/12*G28</f>
        <v>421.11874999999992</v>
      </c>
      <c r="M28" s="36">
        <f>F28/12*G28</f>
        <v>421.11874999999992</v>
      </c>
      <c r="N28" s="36">
        <f>F28/12*G28</f>
        <v>421.11874999999992</v>
      </c>
      <c r="O28" s="36">
        <f>F28/12*G28</f>
        <v>421.11874999999992</v>
      </c>
      <c r="P28" s="36">
        <f>F28/12*G28</f>
        <v>421.11874999999992</v>
      </c>
      <c r="Q28" s="36">
        <f>F28/12*G28</f>
        <v>421.11874999999992</v>
      </c>
      <c r="R28" s="36">
        <f>F28/12*G28</f>
        <v>421.11874999999992</v>
      </c>
      <c r="S28" s="36">
        <f>F28/12*G28</f>
        <v>421.11874999999992</v>
      </c>
      <c r="T28" s="36">
        <f>F28/12*G28</f>
        <v>421.11874999999992</v>
      </c>
      <c r="U28" s="36">
        <f t="shared" si="4"/>
        <v>5053.4249999999993</v>
      </c>
    </row>
    <row r="29" spans="1:21" ht="12.75" customHeight="1">
      <c r="A29" s="135" t="s">
        <v>178</v>
      </c>
      <c r="B29" s="10" t="s">
        <v>145</v>
      </c>
      <c r="C29" s="26" t="s">
        <v>37</v>
      </c>
      <c r="D29" s="10" t="s">
        <v>39</v>
      </c>
      <c r="E29" s="33"/>
      <c r="F29" s="34">
        <v>1</v>
      </c>
      <c r="G29" s="34">
        <v>180.15</v>
      </c>
      <c r="H29" s="35">
        <f t="shared" si="3"/>
        <v>0.18015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4"/>
        <v>0</v>
      </c>
    </row>
    <row r="30" spans="1:21" ht="12.75" customHeight="1">
      <c r="A30" s="135" t="s">
        <v>144</v>
      </c>
      <c r="B30" s="10" t="s">
        <v>157</v>
      </c>
      <c r="C30" s="26" t="s">
        <v>40</v>
      </c>
      <c r="D30" s="10" t="s">
        <v>39</v>
      </c>
      <c r="E30" s="33"/>
      <c r="F30" s="34">
        <v>1</v>
      </c>
      <c r="G30" s="34">
        <v>1214.74</v>
      </c>
      <c r="H30" s="35">
        <f t="shared" si="3"/>
        <v>1.2147399999999999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f t="shared" si="4"/>
        <v>0</v>
      </c>
    </row>
    <row r="31" spans="1:21">
      <c r="A31" s="135"/>
      <c r="B31" s="47" t="s">
        <v>41</v>
      </c>
      <c r="C31" s="26" t="s">
        <v>42</v>
      </c>
      <c r="D31" s="47" t="s">
        <v>43</v>
      </c>
      <c r="E31" s="33">
        <v>1042.5999999999999</v>
      </c>
      <c r="F31" s="34">
        <f>SUM(E31*12)</f>
        <v>12511.199999999999</v>
      </c>
      <c r="G31" s="34">
        <v>6.15</v>
      </c>
      <c r="H31" s="35">
        <f t="shared" si="3"/>
        <v>76.943880000000007</v>
      </c>
      <c r="I31" s="36">
        <f>F31/12*G31</f>
        <v>6411.99</v>
      </c>
      <c r="J31" s="36">
        <f>F31/12*G31</f>
        <v>6411.99</v>
      </c>
      <c r="K31" s="36">
        <f>F31/12*G31</f>
        <v>6411.99</v>
      </c>
      <c r="L31" s="36">
        <f>F31/12*G31</f>
        <v>6411.99</v>
      </c>
      <c r="M31" s="36">
        <f>F31/12*G31</f>
        <v>6411.99</v>
      </c>
      <c r="N31" s="36">
        <f>F31/12*G31</f>
        <v>6411.99</v>
      </c>
      <c r="O31" s="36">
        <f>F31/12*G31</f>
        <v>6411.99</v>
      </c>
      <c r="P31" s="36">
        <f>F31/12*G31</f>
        <v>6411.99</v>
      </c>
      <c r="Q31" s="36">
        <f>F31/12*G31</f>
        <v>6411.99</v>
      </c>
      <c r="R31" s="36">
        <f>F31/12*G31</f>
        <v>6411.99</v>
      </c>
      <c r="S31" s="36">
        <f>F31/12*G31</f>
        <v>6411.99</v>
      </c>
      <c r="T31" s="36">
        <f>F31/12*G31</f>
        <v>6411.99</v>
      </c>
      <c r="U31" s="36">
        <f t="shared" si="4"/>
        <v>76943.87999999999</v>
      </c>
    </row>
    <row r="32" spans="1:21" s="19" customFormat="1">
      <c r="A32" s="136"/>
      <c r="B32" s="20" t="s">
        <v>26</v>
      </c>
      <c r="C32" s="39"/>
      <c r="D32" s="20"/>
      <c r="E32" s="40"/>
      <c r="F32" s="41"/>
      <c r="G32" s="41"/>
      <c r="H32" s="48">
        <f>SUM(H24:H31)</f>
        <v>89.855420525866677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>
        <f>SUM(U24:U31)</f>
        <v>88460.530525866663</v>
      </c>
    </row>
    <row r="33" spans="1:21">
      <c r="A33" s="135"/>
      <c r="B33" s="12" t="s">
        <v>44</v>
      </c>
      <c r="C33" s="26"/>
      <c r="D33" s="10"/>
      <c r="E33" s="33"/>
      <c r="F33" s="34"/>
      <c r="G33" s="34"/>
      <c r="H33" s="35" t="s">
        <v>43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ht="12.75" customHeight="1">
      <c r="A34" s="135" t="s">
        <v>144</v>
      </c>
      <c r="B34" s="13" t="s">
        <v>45</v>
      </c>
      <c r="C34" s="26" t="s">
        <v>40</v>
      </c>
      <c r="D34" s="10"/>
      <c r="E34" s="33"/>
      <c r="F34" s="34">
        <v>3</v>
      </c>
      <c r="G34" s="34">
        <v>1632.6</v>
      </c>
      <c r="H34" s="35">
        <f t="shared" ref="H34:H39" si="5">SUM(F34*G34/1000)</f>
        <v>4.8977999999999993</v>
      </c>
      <c r="I34" s="36">
        <f t="shared" ref="I34:I39" si="6">F34/6*G34</f>
        <v>816.3</v>
      </c>
      <c r="J34" s="36">
        <f t="shared" ref="J34:J39" si="7">F34/6*G34</f>
        <v>816.3</v>
      </c>
      <c r="K34" s="36">
        <f t="shared" ref="K34:K39" si="8">F34/6*G34</f>
        <v>816.3</v>
      </c>
      <c r="L34" s="36">
        <f t="shared" ref="L34:L39" si="9">F34/6*G34</f>
        <v>816.3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 t="shared" ref="S34:S39" si="10">F34/6*G34</f>
        <v>816.3</v>
      </c>
      <c r="T34" s="36">
        <f t="shared" ref="T34:T39" si="11">F34/6*G34</f>
        <v>816.3</v>
      </c>
      <c r="U34" s="36">
        <f>SUM(I34:T34)</f>
        <v>4897.8</v>
      </c>
    </row>
    <row r="35" spans="1:21" ht="25.5">
      <c r="A35" s="137" t="s">
        <v>179</v>
      </c>
      <c r="B35" s="13" t="s">
        <v>146</v>
      </c>
      <c r="C35" s="50" t="s">
        <v>46</v>
      </c>
      <c r="D35" s="10" t="s">
        <v>103</v>
      </c>
      <c r="E35" s="33">
        <v>48.03</v>
      </c>
      <c r="F35" s="49">
        <v>1.44</v>
      </c>
      <c r="G35" s="34">
        <v>1979.95</v>
      </c>
      <c r="H35" s="35">
        <f>G35*F35/1000</f>
        <v>2.8511280000000001</v>
      </c>
      <c r="I35" s="36">
        <f t="shared" si="6"/>
        <v>475.18799999999999</v>
      </c>
      <c r="J35" s="36">
        <f t="shared" si="7"/>
        <v>475.18799999999999</v>
      </c>
      <c r="K35" s="36">
        <f t="shared" si="8"/>
        <v>475.18799999999999</v>
      </c>
      <c r="L35" s="36">
        <f t="shared" si="9"/>
        <v>475.18799999999999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 t="shared" si="10"/>
        <v>475.18799999999999</v>
      </c>
      <c r="T35" s="36">
        <f t="shared" si="11"/>
        <v>475.18799999999999</v>
      </c>
      <c r="U35" s="36">
        <f t="shared" ref="U35:U39" si="12">SUM(I35:T35)</f>
        <v>2851.1280000000002</v>
      </c>
    </row>
    <row r="36" spans="1:21" ht="24.75" customHeight="1">
      <c r="A36" s="135" t="s">
        <v>180</v>
      </c>
      <c r="B36" s="10" t="s">
        <v>147</v>
      </c>
      <c r="C36" s="26" t="s">
        <v>46</v>
      </c>
      <c r="D36" s="10" t="s">
        <v>47</v>
      </c>
      <c r="E36" s="34">
        <v>48.03</v>
      </c>
      <c r="F36" s="49">
        <f>SUM(E36*155/1000)</f>
        <v>7.4446500000000002</v>
      </c>
      <c r="G36" s="34">
        <v>330.27</v>
      </c>
      <c r="H36" s="35">
        <f t="shared" si="5"/>
        <v>2.4587445555</v>
      </c>
      <c r="I36" s="36">
        <f t="shared" si="6"/>
        <v>409.79075924999995</v>
      </c>
      <c r="J36" s="36">
        <f t="shared" si="7"/>
        <v>409.79075924999995</v>
      </c>
      <c r="K36" s="36">
        <f t="shared" si="8"/>
        <v>409.79075924999995</v>
      </c>
      <c r="L36" s="36">
        <f t="shared" si="9"/>
        <v>409.79075924999995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f t="shared" si="10"/>
        <v>409.79075924999995</v>
      </c>
      <c r="T36" s="36">
        <f t="shared" si="11"/>
        <v>409.79075924999995</v>
      </c>
      <c r="U36" s="36">
        <f t="shared" si="12"/>
        <v>2458.7445554999999</v>
      </c>
    </row>
    <row r="37" spans="1:21" ht="51" customHeight="1">
      <c r="A37" s="135" t="s">
        <v>181</v>
      </c>
      <c r="B37" s="10" t="s">
        <v>148</v>
      </c>
      <c r="C37" s="26" t="s">
        <v>29</v>
      </c>
      <c r="D37" s="10" t="s">
        <v>112</v>
      </c>
      <c r="E37" s="34">
        <v>48.03</v>
      </c>
      <c r="F37" s="49">
        <f>SUM(E37*35/1000)</f>
        <v>1.6810499999999999</v>
      </c>
      <c r="G37" s="34">
        <v>5464.48</v>
      </c>
      <c r="H37" s="35">
        <f t="shared" si="5"/>
        <v>9.1860641039999997</v>
      </c>
      <c r="I37" s="36">
        <f t="shared" si="6"/>
        <v>1531.0106839999999</v>
      </c>
      <c r="J37" s="36">
        <f t="shared" si="7"/>
        <v>1531.0106839999999</v>
      </c>
      <c r="K37" s="36">
        <f t="shared" si="8"/>
        <v>1531.0106839999999</v>
      </c>
      <c r="L37" s="36">
        <f t="shared" si="9"/>
        <v>1531.0106839999999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f t="shared" si="10"/>
        <v>1531.0106839999999</v>
      </c>
      <c r="T37" s="36">
        <f t="shared" si="11"/>
        <v>1531.0106839999999</v>
      </c>
      <c r="U37" s="36">
        <f t="shared" si="12"/>
        <v>9186.0641039999991</v>
      </c>
    </row>
    <row r="38" spans="1:21" ht="12.75" customHeight="1">
      <c r="A38" s="135" t="s">
        <v>182</v>
      </c>
      <c r="B38" s="10" t="s">
        <v>149</v>
      </c>
      <c r="C38" s="26" t="s">
        <v>29</v>
      </c>
      <c r="D38" s="10" t="s">
        <v>48</v>
      </c>
      <c r="E38" s="34">
        <v>48.03</v>
      </c>
      <c r="F38" s="49">
        <f>SUM(E38*45/1000)</f>
        <v>2.1613500000000001</v>
      </c>
      <c r="G38" s="34">
        <v>403.67</v>
      </c>
      <c r="H38" s="35">
        <f t="shared" si="5"/>
        <v>0.87247215450000015</v>
      </c>
      <c r="I38" s="36">
        <f t="shared" si="6"/>
        <v>145.41202575000003</v>
      </c>
      <c r="J38" s="36">
        <f t="shared" si="7"/>
        <v>145.41202575000003</v>
      </c>
      <c r="K38" s="36">
        <f t="shared" si="8"/>
        <v>145.41202575000003</v>
      </c>
      <c r="L38" s="36">
        <f t="shared" si="9"/>
        <v>145.41202575000003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 t="shared" si="10"/>
        <v>145.41202575000003</v>
      </c>
      <c r="T38" s="36">
        <f t="shared" si="11"/>
        <v>145.41202575000003</v>
      </c>
      <c r="U38" s="36">
        <f t="shared" si="12"/>
        <v>872.4721545000001</v>
      </c>
    </row>
    <row r="39" spans="1:21" s="1" customFormat="1">
      <c r="A39" s="137"/>
      <c r="B39" s="13" t="s">
        <v>150</v>
      </c>
      <c r="C39" s="50" t="s">
        <v>37</v>
      </c>
      <c r="D39" s="13"/>
      <c r="E39" s="46"/>
      <c r="F39" s="49">
        <v>0.53</v>
      </c>
      <c r="G39" s="49">
        <v>750.34</v>
      </c>
      <c r="H39" s="35">
        <f t="shared" si="5"/>
        <v>0.39768020000000004</v>
      </c>
      <c r="I39" s="51">
        <f t="shared" si="6"/>
        <v>66.280033333333336</v>
      </c>
      <c r="J39" s="51">
        <f t="shared" si="7"/>
        <v>66.280033333333336</v>
      </c>
      <c r="K39" s="51">
        <f t="shared" si="8"/>
        <v>66.280033333333336</v>
      </c>
      <c r="L39" s="51">
        <f t="shared" si="9"/>
        <v>66.280033333333336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f t="shared" si="10"/>
        <v>66.280033333333336</v>
      </c>
      <c r="T39" s="51">
        <f t="shared" si="11"/>
        <v>66.280033333333336</v>
      </c>
      <c r="U39" s="36">
        <f t="shared" si="12"/>
        <v>397.68020000000001</v>
      </c>
    </row>
    <row r="40" spans="1:21" s="19" customFormat="1">
      <c r="A40" s="136"/>
      <c r="B40" s="20" t="s">
        <v>26</v>
      </c>
      <c r="C40" s="39"/>
      <c r="D40" s="20"/>
      <c r="E40" s="40"/>
      <c r="F40" s="41" t="s">
        <v>43</v>
      </c>
      <c r="G40" s="41"/>
      <c r="H40" s="48">
        <f>SUM(H34:H39)</f>
        <v>20.663889013999999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>
        <f>SUM(U34:U39)</f>
        <v>20663.889013999997</v>
      </c>
    </row>
    <row r="41" spans="1:21">
      <c r="A41" s="135"/>
      <c r="B41" s="14" t="s">
        <v>49</v>
      </c>
      <c r="C41" s="26"/>
      <c r="D41" s="10"/>
      <c r="E41" s="33"/>
      <c r="F41" s="34"/>
      <c r="G41" s="34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>
      <c r="A42" s="135" t="s">
        <v>183</v>
      </c>
      <c r="B42" s="10" t="s">
        <v>158</v>
      </c>
      <c r="C42" s="26" t="s">
        <v>29</v>
      </c>
      <c r="D42" s="10" t="s">
        <v>50</v>
      </c>
      <c r="E42" s="33">
        <v>636.25</v>
      </c>
      <c r="F42" s="34">
        <f>SUM(E42*2/1000)</f>
        <v>1.2725</v>
      </c>
      <c r="G42" s="52">
        <v>762.53</v>
      </c>
      <c r="H42" s="35">
        <f t="shared" ref="H42:H51" si="13">SUM(F42*G42/1000)</f>
        <v>0.9703194249999999</v>
      </c>
      <c r="I42" s="36">
        <v>0</v>
      </c>
      <c r="J42" s="36">
        <v>0</v>
      </c>
      <c r="K42" s="36">
        <v>0</v>
      </c>
      <c r="L42" s="36">
        <v>0</v>
      </c>
      <c r="M42" s="36">
        <f>F42/2*G42</f>
        <v>485.15971249999996</v>
      </c>
      <c r="N42" s="36">
        <v>0</v>
      </c>
      <c r="O42" s="36">
        <v>0</v>
      </c>
      <c r="P42" s="36">
        <v>0</v>
      </c>
      <c r="Q42" s="36">
        <f>F42/2*G42</f>
        <v>485.15971249999996</v>
      </c>
      <c r="R42" s="36">
        <v>0</v>
      </c>
      <c r="S42" s="36">
        <v>0</v>
      </c>
      <c r="T42" s="36">
        <v>0</v>
      </c>
      <c r="U42" s="36">
        <f>SUM(I42:T42)</f>
        <v>970.31942499999991</v>
      </c>
    </row>
    <row r="43" spans="1:21">
      <c r="A43" s="135" t="s">
        <v>184</v>
      </c>
      <c r="B43" s="10" t="s">
        <v>51</v>
      </c>
      <c r="C43" s="26" t="s">
        <v>29</v>
      </c>
      <c r="D43" s="10" t="s">
        <v>50</v>
      </c>
      <c r="E43" s="33">
        <v>26</v>
      </c>
      <c r="F43" s="34">
        <f>SUM(E43*2/1000)</f>
        <v>5.1999999999999998E-2</v>
      </c>
      <c r="G43" s="52">
        <v>545.65</v>
      </c>
      <c r="H43" s="35">
        <f t="shared" si="13"/>
        <v>2.8373799999999998E-2</v>
      </c>
      <c r="I43" s="36">
        <v>0</v>
      </c>
      <c r="J43" s="36">
        <v>0</v>
      </c>
      <c r="K43" s="36">
        <v>0</v>
      </c>
      <c r="L43" s="36">
        <v>0</v>
      </c>
      <c r="M43" s="36">
        <f t="shared" ref="M43:M46" si="14">F43/2*G43</f>
        <v>14.1869</v>
      </c>
      <c r="N43" s="36">
        <v>0</v>
      </c>
      <c r="O43" s="36">
        <v>0</v>
      </c>
      <c r="P43" s="36">
        <v>0</v>
      </c>
      <c r="Q43" s="36">
        <f>F43/2*G43</f>
        <v>14.1869</v>
      </c>
      <c r="R43" s="36">
        <v>0</v>
      </c>
      <c r="S43" s="36">
        <v>0</v>
      </c>
      <c r="T43" s="36">
        <v>0</v>
      </c>
      <c r="U43" s="36">
        <f t="shared" ref="U43:U51" si="15">SUM(I43:T43)</f>
        <v>28.373799999999999</v>
      </c>
    </row>
    <row r="44" spans="1:21" ht="12.75" customHeight="1">
      <c r="A44" s="135" t="s">
        <v>185</v>
      </c>
      <c r="B44" s="10" t="s">
        <v>52</v>
      </c>
      <c r="C44" s="26" t="s">
        <v>29</v>
      </c>
      <c r="D44" s="10" t="s">
        <v>50</v>
      </c>
      <c r="E44" s="33">
        <v>579</v>
      </c>
      <c r="F44" s="34">
        <f>SUM(E44*2/1000)</f>
        <v>1.1579999999999999</v>
      </c>
      <c r="G44" s="52">
        <v>545.65</v>
      </c>
      <c r="H44" s="35">
        <f t="shared" si="13"/>
        <v>0.63186269999999989</v>
      </c>
      <c r="I44" s="36">
        <v>0</v>
      </c>
      <c r="J44" s="36">
        <v>0</v>
      </c>
      <c r="K44" s="36">
        <v>0</v>
      </c>
      <c r="L44" s="36">
        <v>0</v>
      </c>
      <c r="M44" s="36">
        <f t="shared" si="14"/>
        <v>315.93134999999995</v>
      </c>
      <c r="N44" s="36">
        <v>0</v>
      </c>
      <c r="O44" s="36">
        <v>0</v>
      </c>
      <c r="P44" s="36">
        <v>0</v>
      </c>
      <c r="Q44" s="36">
        <f>F44/2*G44</f>
        <v>315.93134999999995</v>
      </c>
      <c r="R44" s="36">
        <v>0</v>
      </c>
      <c r="S44" s="36">
        <v>0</v>
      </c>
      <c r="T44" s="36">
        <v>0</v>
      </c>
      <c r="U44" s="36">
        <f t="shared" si="15"/>
        <v>631.8626999999999</v>
      </c>
    </row>
    <row r="45" spans="1:21">
      <c r="A45" s="135" t="s">
        <v>186</v>
      </c>
      <c r="B45" s="10" t="s">
        <v>53</v>
      </c>
      <c r="C45" s="26" t="s">
        <v>29</v>
      </c>
      <c r="D45" s="10" t="s">
        <v>50</v>
      </c>
      <c r="E45" s="33">
        <v>683.33</v>
      </c>
      <c r="F45" s="34">
        <f>SUM(E45*2/1000)</f>
        <v>1.36666</v>
      </c>
      <c r="G45" s="52">
        <v>571.35</v>
      </c>
      <c r="H45" s="35">
        <f t="shared" si="13"/>
        <v>0.78084119099999993</v>
      </c>
      <c r="I45" s="36">
        <v>0</v>
      </c>
      <c r="J45" s="36">
        <v>0</v>
      </c>
      <c r="K45" s="36">
        <v>0</v>
      </c>
      <c r="L45" s="36">
        <v>0</v>
      </c>
      <c r="M45" s="36">
        <f t="shared" si="14"/>
        <v>390.42059549999999</v>
      </c>
      <c r="N45" s="36">
        <v>0</v>
      </c>
      <c r="O45" s="36">
        <v>0</v>
      </c>
      <c r="P45" s="36">
        <v>0</v>
      </c>
      <c r="Q45" s="36">
        <f>F45/2*G45</f>
        <v>390.42059549999999</v>
      </c>
      <c r="R45" s="36">
        <v>0</v>
      </c>
      <c r="S45" s="36">
        <v>0</v>
      </c>
      <c r="T45" s="36">
        <v>0</v>
      </c>
      <c r="U45" s="36">
        <f t="shared" si="15"/>
        <v>780.84119099999998</v>
      </c>
    </row>
    <row r="46" spans="1:21">
      <c r="A46" s="135" t="s">
        <v>187</v>
      </c>
      <c r="B46" s="10" t="s">
        <v>108</v>
      </c>
      <c r="C46" s="26" t="s">
        <v>109</v>
      </c>
      <c r="D46" s="10" t="s">
        <v>50</v>
      </c>
      <c r="E46" s="33">
        <v>44.11</v>
      </c>
      <c r="F46" s="34">
        <f>SUM(E46*2/100)</f>
        <v>0.88219999999999998</v>
      </c>
      <c r="G46" s="52">
        <v>68.56</v>
      </c>
      <c r="H46" s="35">
        <f t="shared" si="13"/>
        <v>6.0483632000000002E-2</v>
      </c>
      <c r="I46" s="36">
        <v>0</v>
      </c>
      <c r="J46" s="36">
        <v>0</v>
      </c>
      <c r="K46" s="36">
        <v>0</v>
      </c>
      <c r="L46" s="36">
        <v>0</v>
      </c>
      <c r="M46" s="36">
        <f t="shared" si="14"/>
        <v>30.241816</v>
      </c>
      <c r="N46" s="36">
        <v>0</v>
      </c>
      <c r="O46" s="36">
        <v>0</v>
      </c>
      <c r="P46" s="36">
        <v>0</v>
      </c>
      <c r="Q46" s="36">
        <f>F46/2*G46</f>
        <v>30.241816</v>
      </c>
      <c r="R46" s="36">
        <v>0</v>
      </c>
      <c r="S46" s="36">
        <v>0</v>
      </c>
      <c r="T46" s="36">
        <v>0</v>
      </c>
      <c r="U46" s="36">
        <f t="shared" si="15"/>
        <v>60.483632</v>
      </c>
    </row>
    <row r="47" spans="1:21" ht="25.5">
      <c r="A47" s="135" t="s">
        <v>188</v>
      </c>
      <c r="B47" s="10" t="s">
        <v>54</v>
      </c>
      <c r="C47" s="26" t="s">
        <v>29</v>
      </c>
      <c r="D47" s="10" t="s">
        <v>55</v>
      </c>
      <c r="E47" s="33">
        <v>1140</v>
      </c>
      <c r="F47" s="34">
        <f>SUM(E47*5/1000)</f>
        <v>5.7</v>
      </c>
      <c r="G47" s="52">
        <v>1142.7</v>
      </c>
      <c r="H47" s="35">
        <f t="shared" si="13"/>
        <v>6.5133900000000002</v>
      </c>
      <c r="I47" s="36">
        <f>F47/5*G47</f>
        <v>1302.6780000000001</v>
      </c>
      <c r="J47" s="36">
        <f>F47/5*G47</f>
        <v>1302.6780000000001</v>
      </c>
      <c r="K47" s="36">
        <v>0</v>
      </c>
      <c r="L47" s="36">
        <v>0</v>
      </c>
      <c r="M47" s="36">
        <f>F47/5*G47</f>
        <v>1302.6780000000001</v>
      </c>
      <c r="N47" s="36">
        <v>0</v>
      </c>
      <c r="O47" s="36">
        <v>0</v>
      </c>
      <c r="P47" s="36">
        <v>0</v>
      </c>
      <c r="Q47" s="36">
        <f>F47/5*G47</f>
        <v>1302.6780000000001</v>
      </c>
      <c r="R47" s="36">
        <v>0</v>
      </c>
      <c r="S47" s="36">
        <v>0</v>
      </c>
      <c r="T47" s="36">
        <f>F47/5*G47</f>
        <v>1302.6780000000001</v>
      </c>
      <c r="U47" s="36">
        <f t="shared" si="15"/>
        <v>6513.39</v>
      </c>
    </row>
    <row r="48" spans="1:21" ht="38.25" customHeight="1">
      <c r="A48" s="135" t="s">
        <v>189</v>
      </c>
      <c r="B48" s="10" t="s">
        <v>56</v>
      </c>
      <c r="C48" s="26" t="s">
        <v>29</v>
      </c>
      <c r="D48" s="10" t="s">
        <v>50</v>
      </c>
      <c r="E48" s="33">
        <v>1140</v>
      </c>
      <c r="F48" s="34">
        <f>SUM(E48*2/1000)</f>
        <v>2.2799999999999998</v>
      </c>
      <c r="G48" s="52">
        <v>1142.7</v>
      </c>
      <c r="H48" s="35">
        <f t="shared" si="13"/>
        <v>2.6053559999999996</v>
      </c>
      <c r="I48" s="36">
        <v>0</v>
      </c>
      <c r="J48" s="36">
        <v>0</v>
      </c>
      <c r="K48" s="36">
        <v>0</v>
      </c>
      <c r="L48" s="36">
        <f>F48/2*G48</f>
        <v>1302.6779999999999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f>F48/2*G48</f>
        <v>1302.6779999999999</v>
      </c>
      <c r="T48" s="36">
        <v>0</v>
      </c>
      <c r="U48" s="36">
        <f t="shared" si="15"/>
        <v>2605.3559999999998</v>
      </c>
    </row>
    <row r="49" spans="1:21" ht="25.5" customHeight="1">
      <c r="A49" s="135" t="s">
        <v>190</v>
      </c>
      <c r="B49" s="10" t="s">
        <v>57</v>
      </c>
      <c r="C49" s="26" t="s">
        <v>58</v>
      </c>
      <c r="D49" s="10" t="s">
        <v>50</v>
      </c>
      <c r="E49" s="33">
        <v>9</v>
      </c>
      <c r="F49" s="34">
        <f>SUM(E49*2/100)</f>
        <v>0.18</v>
      </c>
      <c r="G49" s="52">
        <v>2571.08</v>
      </c>
      <c r="H49" s="35">
        <f t="shared" si="13"/>
        <v>0.46279439999999999</v>
      </c>
      <c r="I49" s="36">
        <v>0</v>
      </c>
      <c r="J49" s="36">
        <v>0</v>
      </c>
      <c r="K49" s="36">
        <v>0</v>
      </c>
      <c r="L49" s="36">
        <f t="shared" ref="L49:L50" si="16">F49/2*G49</f>
        <v>231.3972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f>F49/2*G49</f>
        <v>231.3972</v>
      </c>
      <c r="T49" s="36">
        <v>0</v>
      </c>
      <c r="U49" s="36">
        <f t="shared" si="15"/>
        <v>462.7944</v>
      </c>
    </row>
    <row r="50" spans="1:21">
      <c r="A50" s="135" t="s">
        <v>191</v>
      </c>
      <c r="B50" s="10" t="s">
        <v>59</v>
      </c>
      <c r="C50" s="26" t="s">
        <v>60</v>
      </c>
      <c r="D50" s="10" t="s">
        <v>50</v>
      </c>
      <c r="E50" s="33">
        <v>1</v>
      </c>
      <c r="F50" s="34">
        <v>0.02</v>
      </c>
      <c r="G50" s="52">
        <v>5322.15</v>
      </c>
      <c r="H50" s="35">
        <f t="shared" si="13"/>
        <v>0.106443</v>
      </c>
      <c r="I50" s="36">
        <v>0</v>
      </c>
      <c r="J50" s="36">
        <v>0</v>
      </c>
      <c r="K50" s="36">
        <v>0</v>
      </c>
      <c r="L50" s="36">
        <f t="shared" si="16"/>
        <v>53.221499999999999</v>
      </c>
      <c r="M50" s="36">
        <v>0</v>
      </c>
      <c r="N50" s="36">
        <v>0</v>
      </c>
      <c r="O50" s="36">
        <f>F50/2*G50</f>
        <v>53.221499999999999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f t="shared" si="15"/>
        <v>106.443</v>
      </c>
    </row>
    <row r="51" spans="1:21" ht="13.5" customHeight="1">
      <c r="A51" s="135" t="s">
        <v>62</v>
      </c>
      <c r="B51" s="10" t="s">
        <v>63</v>
      </c>
      <c r="C51" s="26" t="s">
        <v>61</v>
      </c>
      <c r="D51" s="10" t="s">
        <v>101</v>
      </c>
      <c r="E51" s="33">
        <v>36</v>
      </c>
      <c r="F51" s="34">
        <f>SUM(E51)*3</f>
        <v>108</v>
      </c>
      <c r="G51" s="53">
        <v>61.84</v>
      </c>
      <c r="H51" s="35">
        <f t="shared" si="13"/>
        <v>6.6787200000000002</v>
      </c>
      <c r="I51" s="36">
        <f>E51*G51</f>
        <v>2226.2400000000002</v>
      </c>
      <c r="J51" s="36">
        <v>0</v>
      </c>
      <c r="K51" s="36">
        <v>0</v>
      </c>
      <c r="L51" s="36">
        <f>E51*G51</f>
        <v>2226.2400000000002</v>
      </c>
      <c r="M51" s="36">
        <v>0</v>
      </c>
      <c r="N51" s="36">
        <v>0</v>
      </c>
      <c r="O51" s="36">
        <f>0</f>
        <v>0</v>
      </c>
      <c r="P51" s="36">
        <f>E51*G51</f>
        <v>2226.2400000000002</v>
      </c>
      <c r="Q51" s="36">
        <v>0</v>
      </c>
      <c r="R51" s="36">
        <v>0</v>
      </c>
      <c r="S51" s="36">
        <v>0</v>
      </c>
      <c r="T51" s="36">
        <v>0</v>
      </c>
      <c r="U51" s="36">
        <f t="shared" si="15"/>
        <v>6678.7200000000012</v>
      </c>
    </row>
    <row r="52" spans="1:21" s="21" customFormat="1">
      <c r="A52" s="136"/>
      <c r="B52" s="20" t="s">
        <v>26</v>
      </c>
      <c r="C52" s="54"/>
      <c r="D52" s="20"/>
      <c r="E52" s="55"/>
      <c r="F52" s="56"/>
      <c r="G52" s="56"/>
      <c r="H52" s="48">
        <f>SUM(H42:H51)</f>
        <v>18.838584147999999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>
        <f>SUM(U42:U51)</f>
        <v>18838.584148000002</v>
      </c>
    </row>
    <row r="53" spans="1:21">
      <c r="A53" s="135"/>
      <c r="B53" s="12" t="s">
        <v>64</v>
      </c>
      <c r="C53" s="26"/>
      <c r="D53" s="10"/>
      <c r="E53" s="33"/>
      <c r="F53" s="34"/>
      <c r="G53" s="34"/>
      <c r="H53" s="3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ht="38.25" customHeight="1">
      <c r="A54" s="135" t="s">
        <v>192</v>
      </c>
      <c r="B54" s="10" t="s">
        <v>151</v>
      </c>
      <c r="C54" s="26" t="s">
        <v>13</v>
      </c>
      <c r="D54" s="10" t="s">
        <v>65</v>
      </c>
      <c r="E54" s="33">
        <v>72.33</v>
      </c>
      <c r="F54" s="34">
        <f>SUM(E54*6/100)</f>
        <v>4.3398000000000003</v>
      </c>
      <c r="G54" s="52">
        <v>1456.95</v>
      </c>
      <c r="H54" s="35">
        <f>SUM(F54*G54/1000)</f>
        <v>6.3228716100000009</v>
      </c>
      <c r="I54" s="36">
        <f>F54/6*G54</f>
        <v>1053.8119350000002</v>
      </c>
      <c r="J54" s="36">
        <f>F54/6*G54</f>
        <v>1053.8119350000002</v>
      </c>
      <c r="K54" s="36">
        <f>F54/6*G54</f>
        <v>1053.8119350000002</v>
      </c>
      <c r="L54" s="36">
        <f>F54/6*G54</f>
        <v>1053.8119350000002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f>F54/6*G54</f>
        <v>1053.8119350000002</v>
      </c>
      <c r="T54" s="36">
        <f>F54/6*G54</f>
        <v>1053.8119350000002</v>
      </c>
      <c r="U54" s="36">
        <f>SUM(I54:T54)</f>
        <v>6322.8716100000001</v>
      </c>
    </row>
    <row r="55" spans="1:21">
      <c r="A55" s="135"/>
      <c r="B55" s="11" t="s">
        <v>66</v>
      </c>
      <c r="C55" s="26"/>
      <c r="D55" s="10"/>
      <c r="E55" s="33"/>
      <c r="F55" s="34"/>
      <c r="G55" s="58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>
      <c r="A56" s="135" t="s">
        <v>193</v>
      </c>
      <c r="B56" s="10" t="s">
        <v>102</v>
      </c>
      <c r="C56" s="26"/>
      <c r="D56" s="10" t="s">
        <v>32</v>
      </c>
      <c r="E56" s="33">
        <v>952</v>
      </c>
      <c r="F56" s="35">
        <v>9.52</v>
      </c>
      <c r="G56" s="52">
        <v>848.37</v>
      </c>
      <c r="H56" s="59">
        <f>F56*G56/1000</f>
        <v>8.0764823999999997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f t="shared" ref="U56:U72" si="17">SUM(I56:T56)</f>
        <v>0</v>
      </c>
    </row>
    <row r="57" spans="1:21">
      <c r="A57" s="143"/>
      <c r="B57" s="15" t="s">
        <v>67</v>
      </c>
      <c r="C57" s="60"/>
      <c r="D57" s="61"/>
      <c r="E57" s="62"/>
      <c r="F57" s="63"/>
      <c r="G57" s="63"/>
      <c r="H57" s="64" t="s">
        <v>43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2.75" customHeight="1">
      <c r="A58" s="65" t="s">
        <v>194</v>
      </c>
      <c r="B58" s="16" t="s">
        <v>68</v>
      </c>
      <c r="C58" s="65" t="s">
        <v>61</v>
      </c>
      <c r="D58" s="8" t="s">
        <v>39</v>
      </c>
      <c r="E58" s="66">
        <v>5</v>
      </c>
      <c r="F58" s="34">
        <v>5</v>
      </c>
      <c r="G58" s="52">
        <v>237.74</v>
      </c>
      <c r="H58" s="67">
        <f t="shared" ref="H58:H72" si="18">SUM(F58*G58/1000)</f>
        <v>1.1887000000000001</v>
      </c>
      <c r="I58" s="36">
        <f>G58</f>
        <v>237.74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f>G58*2</f>
        <v>475.48</v>
      </c>
      <c r="Q58" s="36">
        <v>0</v>
      </c>
      <c r="R58" s="36">
        <f>G58</f>
        <v>237.74</v>
      </c>
      <c r="S58" s="36">
        <v>0</v>
      </c>
      <c r="T58" s="36">
        <v>0</v>
      </c>
      <c r="U58" s="36">
        <f t="shared" si="17"/>
        <v>950.96</v>
      </c>
    </row>
    <row r="59" spans="1:21" ht="12.75" customHeight="1">
      <c r="A59" s="65" t="s">
        <v>195</v>
      </c>
      <c r="B59" s="16" t="s">
        <v>69</v>
      </c>
      <c r="C59" s="65" t="s">
        <v>61</v>
      </c>
      <c r="D59" s="8" t="s">
        <v>39</v>
      </c>
      <c r="E59" s="66">
        <v>2</v>
      </c>
      <c r="F59" s="34">
        <v>2</v>
      </c>
      <c r="G59" s="52">
        <v>81.510000000000005</v>
      </c>
      <c r="H59" s="67">
        <f t="shared" si="18"/>
        <v>0.16302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f t="shared" si="17"/>
        <v>0</v>
      </c>
    </row>
    <row r="60" spans="1:21" s="1" customFormat="1">
      <c r="A60" s="68" t="s">
        <v>196</v>
      </c>
      <c r="B60" s="16" t="s">
        <v>70</v>
      </c>
      <c r="C60" s="68" t="s">
        <v>71</v>
      </c>
      <c r="D60" s="8" t="s">
        <v>32</v>
      </c>
      <c r="E60" s="33">
        <v>4292</v>
      </c>
      <c r="F60" s="53">
        <f>SUM(E60/100)</f>
        <v>42.92</v>
      </c>
      <c r="G60" s="52">
        <v>226.79</v>
      </c>
      <c r="H60" s="67">
        <f t="shared" si="18"/>
        <v>9.733826800000001</v>
      </c>
      <c r="I60" s="51">
        <v>0</v>
      </c>
      <c r="J60" s="51">
        <v>0</v>
      </c>
      <c r="K60" s="51">
        <v>0</v>
      </c>
      <c r="L60" s="51">
        <v>0</v>
      </c>
      <c r="M60" s="51">
        <f>F60*G60</f>
        <v>9733.8268000000007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36">
        <f t="shared" si="17"/>
        <v>9733.8268000000007</v>
      </c>
    </row>
    <row r="61" spans="1:21" ht="12.75" customHeight="1">
      <c r="A61" s="65" t="s">
        <v>197</v>
      </c>
      <c r="B61" s="16" t="s">
        <v>72</v>
      </c>
      <c r="C61" s="65" t="s">
        <v>73</v>
      </c>
      <c r="D61" s="8"/>
      <c r="E61" s="33">
        <v>4292</v>
      </c>
      <c r="F61" s="52">
        <f>SUM(E61/1000)</f>
        <v>4.2919999999999998</v>
      </c>
      <c r="G61" s="52">
        <v>176.61</v>
      </c>
      <c r="H61" s="67">
        <f t="shared" si="18"/>
        <v>0.75801012000000001</v>
      </c>
      <c r="I61" s="36">
        <v>0</v>
      </c>
      <c r="J61" s="36">
        <v>0</v>
      </c>
      <c r="K61" s="36">
        <v>0</v>
      </c>
      <c r="L61" s="36">
        <v>0</v>
      </c>
      <c r="M61" s="36">
        <f>F61*G61</f>
        <v>758.01012000000003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f t="shared" si="17"/>
        <v>758.01012000000003</v>
      </c>
    </row>
    <row r="62" spans="1:21">
      <c r="A62" s="65" t="s">
        <v>198</v>
      </c>
      <c r="B62" s="16" t="s">
        <v>74</v>
      </c>
      <c r="C62" s="65" t="s">
        <v>75</v>
      </c>
      <c r="D62" s="8" t="s">
        <v>32</v>
      </c>
      <c r="E62" s="33">
        <v>510</v>
      </c>
      <c r="F62" s="52">
        <f>SUM(E62/100)</f>
        <v>5.0999999999999996</v>
      </c>
      <c r="G62" s="52">
        <v>2217.7800000000002</v>
      </c>
      <c r="H62" s="67">
        <f t="shared" si="18"/>
        <v>11.310677999999999</v>
      </c>
      <c r="I62" s="36">
        <v>0</v>
      </c>
      <c r="J62" s="36">
        <v>0</v>
      </c>
      <c r="K62" s="36">
        <v>0</v>
      </c>
      <c r="L62" s="36">
        <v>0</v>
      </c>
      <c r="M62" s="36">
        <f>F62*G62</f>
        <v>11310.678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f t="shared" si="17"/>
        <v>11310.678</v>
      </c>
    </row>
    <row r="63" spans="1:21">
      <c r="A63" s="65"/>
      <c r="B63" s="17" t="s">
        <v>104</v>
      </c>
      <c r="C63" s="65" t="s">
        <v>37</v>
      </c>
      <c r="D63" s="8"/>
      <c r="E63" s="33">
        <v>4.5999999999999996</v>
      </c>
      <c r="F63" s="52">
        <f>SUM(E63)</f>
        <v>4.5999999999999996</v>
      </c>
      <c r="G63" s="52">
        <v>42.67</v>
      </c>
      <c r="H63" s="67">
        <f t="shared" si="18"/>
        <v>0.19628199999999998</v>
      </c>
      <c r="I63" s="36">
        <v>0</v>
      </c>
      <c r="J63" s="36">
        <v>0</v>
      </c>
      <c r="K63" s="36">
        <v>0</v>
      </c>
      <c r="L63" s="36">
        <v>0</v>
      </c>
      <c r="M63" s="36">
        <f>F63*G63</f>
        <v>196.28199999999998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17"/>
        <v>196.28199999999998</v>
      </c>
    </row>
    <row r="64" spans="1:21" ht="12.75" customHeight="1">
      <c r="A64" s="138"/>
      <c r="B64" s="17" t="s">
        <v>105</v>
      </c>
      <c r="C64" s="65" t="s">
        <v>37</v>
      </c>
      <c r="D64" s="8"/>
      <c r="E64" s="33">
        <v>4.5999999999999996</v>
      </c>
      <c r="F64" s="52">
        <f>SUM(E64)</f>
        <v>4.5999999999999996</v>
      </c>
      <c r="G64" s="52">
        <v>39.81</v>
      </c>
      <c r="H64" s="67">
        <f t="shared" si="18"/>
        <v>0.18312600000000001</v>
      </c>
      <c r="I64" s="36">
        <v>0</v>
      </c>
      <c r="J64" s="36">
        <v>0</v>
      </c>
      <c r="K64" s="36">
        <v>0</v>
      </c>
      <c r="L64" s="36">
        <v>0</v>
      </c>
      <c r="M64" s="36">
        <f>F64*G64</f>
        <v>183.126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7"/>
        <v>183.126</v>
      </c>
    </row>
    <row r="65" spans="1:21">
      <c r="A65" s="65" t="s">
        <v>199</v>
      </c>
      <c r="B65" s="8" t="s">
        <v>76</v>
      </c>
      <c r="C65" s="65" t="s">
        <v>77</v>
      </c>
      <c r="D65" s="8" t="s">
        <v>32</v>
      </c>
      <c r="E65" s="66">
        <v>3</v>
      </c>
      <c r="F65" s="34">
        <v>3</v>
      </c>
      <c r="G65" s="52">
        <v>53.32</v>
      </c>
      <c r="H65" s="67">
        <f t="shared" si="18"/>
        <v>0.15996000000000002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f>F65*G65</f>
        <v>159.96</v>
      </c>
      <c r="R65" s="36">
        <v>0</v>
      </c>
      <c r="S65" s="36">
        <v>0</v>
      </c>
      <c r="T65" s="36">
        <v>0</v>
      </c>
      <c r="U65" s="36">
        <f t="shared" si="17"/>
        <v>159.96</v>
      </c>
    </row>
    <row r="66" spans="1:21">
      <c r="A66" s="138"/>
      <c r="B66" s="18" t="s">
        <v>78</v>
      </c>
      <c r="C66" s="65"/>
      <c r="D66" s="8"/>
      <c r="E66" s="66"/>
      <c r="F66" s="52"/>
      <c r="G66" s="52"/>
      <c r="H66" s="67" t="s">
        <v>43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>
      <c r="A67" s="65" t="s">
        <v>200</v>
      </c>
      <c r="B67" s="8" t="s">
        <v>79</v>
      </c>
      <c r="C67" s="65" t="s">
        <v>80</v>
      </c>
      <c r="D67" s="8"/>
      <c r="E67" s="66">
        <v>2</v>
      </c>
      <c r="F67" s="52">
        <v>0.2</v>
      </c>
      <c r="G67" s="52">
        <v>536.23</v>
      </c>
      <c r="H67" s="67">
        <f t="shared" si="18"/>
        <v>0.10724600000000001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f>G67*(0.3+0.3)</f>
        <v>321.738</v>
      </c>
      <c r="T67" s="36">
        <v>0</v>
      </c>
      <c r="U67" s="36">
        <f t="shared" si="17"/>
        <v>321.738</v>
      </c>
    </row>
    <row r="68" spans="1:21">
      <c r="A68" s="65" t="s">
        <v>202</v>
      </c>
      <c r="B68" s="8" t="s">
        <v>106</v>
      </c>
      <c r="C68" s="65" t="s">
        <v>34</v>
      </c>
      <c r="D68" s="8"/>
      <c r="E68" s="66">
        <v>1</v>
      </c>
      <c r="F68" s="58">
        <v>1</v>
      </c>
      <c r="G68" s="52">
        <v>911.85</v>
      </c>
      <c r="H68" s="67">
        <f t="shared" si="18"/>
        <v>0.91185000000000005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f t="shared" si="17"/>
        <v>0</v>
      </c>
    </row>
    <row r="69" spans="1:21" hidden="1">
      <c r="A69" s="65"/>
      <c r="B69" s="8" t="s">
        <v>81</v>
      </c>
      <c r="C69" s="65" t="s">
        <v>82</v>
      </c>
      <c r="D69" s="8"/>
      <c r="E69" s="66"/>
      <c r="F69" s="52"/>
      <c r="G69" s="52">
        <v>31.54</v>
      </c>
      <c r="H69" s="67">
        <f t="shared" si="18"/>
        <v>0</v>
      </c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>
        <f t="shared" si="17"/>
        <v>0</v>
      </c>
    </row>
    <row r="70" spans="1:21">
      <c r="A70" s="65" t="s">
        <v>201</v>
      </c>
      <c r="B70" s="8" t="s">
        <v>113</v>
      </c>
      <c r="C70" s="65" t="s">
        <v>34</v>
      </c>
      <c r="D70" s="8"/>
      <c r="E70" s="66">
        <v>1</v>
      </c>
      <c r="F70" s="52">
        <v>1</v>
      </c>
      <c r="G70" s="52">
        <v>383.25</v>
      </c>
      <c r="H70" s="67">
        <f>G70*F70/1000</f>
        <v>0.38324999999999998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f t="shared" si="17"/>
        <v>0</v>
      </c>
    </row>
    <row r="71" spans="1:21">
      <c r="A71" s="138"/>
      <c r="B71" s="70" t="s">
        <v>83</v>
      </c>
      <c r="C71" s="65"/>
      <c r="D71" s="8"/>
      <c r="E71" s="66"/>
      <c r="F71" s="52"/>
      <c r="G71" s="52" t="s">
        <v>43</v>
      </c>
      <c r="H71" s="67" t="s">
        <v>43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s="1" customFormat="1">
      <c r="A72" s="68" t="s">
        <v>84</v>
      </c>
      <c r="B72" s="71" t="s">
        <v>85</v>
      </c>
      <c r="C72" s="68" t="s">
        <v>75</v>
      </c>
      <c r="D72" s="16"/>
      <c r="E72" s="72"/>
      <c r="F72" s="53">
        <v>0.1</v>
      </c>
      <c r="G72" s="53">
        <v>2949.85</v>
      </c>
      <c r="H72" s="67">
        <f t="shared" si="18"/>
        <v>0.294985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36">
        <f t="shared" si="17"/>
        <v>0</v>
      </c>
    </row>
    <row r="73" spans="1:21" s="21" customFormat="1">
      <c r="A73" s="139"/>
      <c r="B73" s="20" t="s">
        <v>26</v>
      </c>
      <c r="C73" s="73"/>
      <c r="D73" s="74"/>
      <c r="E73" s="75"/>
      <c r="F73" s="57"/>
      <c r="G73" s="57"/>
      <c r="H73" s="76">
        <f>SUM(H54:H72)</f>
        <v>39.790287929999998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>
        <f>SUM(U54:U72)</f>
        <v>29937.452529999999</v>
      </c>
    </row>
    <row r="74" spans="1:21">
      <c r="A74" s="140" t="s">
        <v>130</v>
      </c>
      <c r="B74" s="10" t="s">
        <v>131</v>
      </c>
      <c r="C74" s="77"/>
      <c r="D74" s="78"/>
      <c r="E74" s="123"/>
      <c r="F74" s="79">
        <v>1</v>
      </c>
      <c r="G74" s="80">
        <v>3124.9</v>
      </c>
      <c r="H74" s="67">
        <f>G74*F74/1000</f>
        <v>3.1249000000000002</v>
      </c>
      <c r="I74" s="36">
        <v>0</v>
      </c>
      <c r="J74" s="36">
        <v>0</v>
      </c>
      <c r="K74" s="36">
        <v>0</v>
      </c>
      <c r="L74" s="36">
        <v>0</v>
      </c>
      <c r="M74" s="37">
        <v>0</v>
      </c>
      <c r="N74" s="36">
        <v>0</v>
      </c>
      <c r="O74" s="36">
        <v>0</v>
      </c>
      <c r="P74" s="36">
        <v>0</v>
      </c>
      <c r="Q74" s="36">
        <f>G74</f>
        <v>3124.9</v>
      </c>
      <c r="R74" s="36">
        <v>0</v>
      </c>
      <c r="S74" s="36">
        <v>0</v>
      </c>
      <c r="T74" s="36">
        <v>0</v>
      </c>
      <c r="U74" s="36">
        <f>SUM(I74:T74)</f>
        <v>3124.9</v>
      </c>
    </row>
    <row r="75" spans="1:21" ht="12.75" customHeight="1">
      <c r="A75" s="65"/>
      <c r="B75" s="11" t="s">
        <v>86</v>
      </c>
      <c r="C75" s="65" t="s">
        <v>87</v>
      </c>
      <c r="D75" s="81"/>
      <c r="E75" s="52">
        <v>1042.5999999999999</v>
      </c>
      <c r="F75" s="52">
        <f>SUM(E75*12)</f>
        <v>12511.199999999999</v>
      </c>
      <c r="G75" s="82">
        <v>2.2400000000000002</v>
      </c>
      <c r="H75" s="67">
        <f>SUM(F75*G75/1000)</f>
        <v>28.025088</v>
      </c>
      <c r="I75" s="36">
        <f>F75/12*G75</f>
        <v>2335.424</v>
      </c>
      <c r="J75" s="36">
        <f>F75/12*G75</f>
        <v>2335.424</v>
      </c>
      <c r="K75" s="36">
        <f>F75/12*G75</f>
        <v>2335.424</v>
      </c>
      <c r="L75" s="36">
        <f>F75/12*G75</f>
        <v>2335.424</v>
      </c>
      <c r="M75" s="36">
        <f>F75/12*G75</f>
        <v>2335.424</v>
      </c>
      <c r="N75" s="36">
        <f>F75/12*G75</f>
        <v>2335.424</v>
      </c>
      <c r="O75" s="36">
        <f>F75/12*G75</f>
        <v>2335.424</v>
      </c>
      <c r="P75" s="36">
        <f>F75/12*G75</f>
        <v>2335.424</v>
      </c>
      <c r="Q75" s="36">
        <f>F75/12*G75</f>
        <v>2335.424</v>
      </c>
      <c r="R75" s="36">
        <f>F75/12*G75</f>
        <v>2335.424</v>
      </c>
      <c r="S75" s="36">
        <f>F75/12*G75</f>
        <v>2335.424</v>
      </c>
      <c r="T75" s="36">
        <f>F75/12*G75</f>
        <v>2335.424</v>
      </c>
      <c r="U75" s="36">
        <f>SUM(I75:T75)</f>
        <v>28025.087999999992</v>
      </c>
    </row>
    <row r="76" spans="1:21" s="19" customFormat="1">
      <c r="A76" s="83"/>
      <c r="B76" s="20" t="s">
        <v>26</v>
      </c>
      <c r="C76" s="84"/>
      <c r="D76" s="85"/>
      <c r="E76" s="86"/>
      <c r="F76" s="43"/>
      <c r="G76" s="87"/>
      <c r="H76" s="44">
        <f>SUM(H74:H75)</f>
        <v>31.149988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>
        <f>SUM(U74:U75)</f>
        <v>31149.987999999994</v>
      </c>
    </row>
    <row r="77" spans="1:21" ht="25.5" customHeight="1">
      <c r="A77" s="138"/>
      <c r="B77" s="8" t="s">
        <v>88</v>
      </c>
      <c r="C77" s="65"/>
      <c r="D77" s="24"/>
      <c r="E77" s="33">
        <f>E75</f>
        <v>1042.5999999999999</v>
      </c>
      <c r="F77" s="52">
        <f>E77*12</f>
        <v>12511.199999999999</v>
      </c>
      <c r="G77" s="52">
        <v>1.74</v>
      </c>
      <c r="H77" s="67">
        <f>F77*G77/1000</f>
        <v>21.769487999999999</v>
      </c>
      <c r="I77" s="36">
        <f>F77/12*G77</f>
        <v>1814.1239999999998</v>
      </c>
      <c r="J77" s="36">
        <f>F77/12*G77</f>
        <v>1814.1239999999998</v>
      </c>
      <c r="K77" s="36">
        <f>F77/12*G77</f>
        <v>1814.1239999999998</v>
      </c>
      <c r="L77" s="36">
        <f>F77/12*G77</f>
        <v>1814.1239999999998</v>
      </c>
      <c r="M77" s="36">
        <f>F77/12*G77</f>
        <v>1814.1239999999998</v>
      </c>
      <c r="N77" s="36">
        <f>F77/12*G77</f>
        <v>1814.1239999999998</v>
      </c>
      <c r="O77" s="36">
        <f>F77/12*G77</f>
        <v>1814.1239999999998</v>
      </c>
      <c r="P77" s="36">
        <f>F77/12*G77</f>
        <v>1814.1239999999998</v>
      </c>
      <c r="Q77" s="36">
        <f>F77/12*G77</f>
        <v>1814.1239999999998</v>
      </c>
      <c r="R77" s="36">
        <f>F77/12*G77</f>
        <v>1814.1239999999998</v>
      </c>
      <c r="S77" s="36">
        <f>F77/12*G77</f>
        <v>1814.1239999999998</v>
      </c>
      <c r="T77" s="36">
        <f t="shared" ref="T77" si="19">F77/12*G77</f>
        <v>1814.1239999999998</v>
      </c>
      <c r="U77" s="36">
        <f>SUM(I77:T77)</f>
        <v>21769.487999999998</v>
      </c>
    </row>
    <row r="78" spans="1:21" s="19" customFormat="1">
      <c r="A78" s="83"/>
      <c r="B78" s="88" t="s">
        <v>89</v>
      </c>
      <c r="C78" s="89"/>
      <c r="D78" s="88"/>
      <c r="E78" s="43"/>
      <c r="F78" s="43"/>
      <c r="G78" s="43"/>
      <c r="H78" s="76">
        <f>H77</f>
        <v>21.769487999999999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118">
        <f>U77</f>
        <v>21769.487999999998</v>
      </c>
    </row>
    <row r="79" spans="1:21" s="19" customFormat="1">
      <c r="A79" s="83"/>
      <c r="B79" s="88" t="s">
        <v>90</v>
      </c>
      <c r="C79" s="90"/>
      <c r="D79" s="91"/>
      <c r="E79" s="92"/>
      <c r="F79" s="92"/>
      <c r="G79" s="92"/>
      <c r="H79" s="76">
        <f>SUM(H78+H76+H73+H52+H40+H32+H22)</f>
        <v>263.11793638986671</v>
      </c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118">
        <f>SUM(U78+U76+U73+U52+U40+U32+U22)</f>
        <v>251750.03848986665</v>
      </c>
    </row>
    <row r="80" spans="1:21">
      <c r="A80" s="138"/>
      <c r="B80" s="24" t="s">
        <v>91</v>
      </c>
      <c r="C80" s="65"/>
      <c r="D80" s="24"/>
      <c r="E80" s="52"/>
      <c r="F80" s="52"/>
      <c r="G80" s="52" t="s">
        <v>92</v>
      </c>
      <c r="H80" s="93">
        <f>E77</f>
        <v>1042.5999999999999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s="19" customFormat="1">
      <c r="A81" s="83"/>
      <c r="B81" s="91" t="s">
        <v>93</v>
      </c>
      <c r="C81" s="90"/>
      <c r="D81" s="91"/>
      <c r="E81" s="92"/>
      <c r="F81" s="92"/>
      <c r="G81" s="92"/>
      <c r="H81" s="94">
        <f>SUM(H79/H80/12*1000)</f>
        <v>21.03059150120426</v>
      </c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119"/>
    </row>
    <row r="82" spans="1:21">
      <c r="A82" s="95"/>
      <c r="B82" s="24"/>
      <c r="C82" s="65"/>
      <c r="D82" s="24"/>
      <c r="E82" s="52"/>
      <c r="F82" s="52"/>
      <c r="G82" s="52"/>
      <c r="H82" s="9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120"/>
    </row>
    <row r="83" spans="1:21">
      <c r="A83" s="138"/>
      <c r="B83" s="70" t="s">
        <v>94</v>
      </c>
      <c r="C83" s="65"/>
      <c r="D83" s="24"/>
      <c r="E83" s="52"/>
      <c r="F83" s="52"/>
      <c r="G83" s="52"/>
      <c r="H83" s="52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s="130" customFormat="1" ht="38.25" customHeight="1">
      <c r="A84" s="125" t="s">
        <v>203</v>
      </c>
      <c r="B84" s="126" t="s">
        <v>137</v>
      </c>
      <c r="C84" s="125" t="s">
        <v>138</v>
      </c>
      <c r="D84" s="127"/>
      <c r="E84" s="128"/>
      <c r="F84" s="128">
        <v>1</v>
      </c>
      <c r="G84" s="128">
        <v>51.39</v>
      </c>
      <c r="H84" s="129">
        <f t="shared" ref="H84" si="20">G84*F84/1000</f>
        <v>5.1389999999999998E-2</v>
      </c>
      <c r="I84" s="36">
        <v>0</v>
      </c>
      <c r="J84" s="36">
        <f>G84</f>
        <v>51.39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f>SUM(I84:T84)</f>
        <v>51.39</v>
      </c>
    </row>
    <row r="85" spans="1:21" s="124" customFormat="1">
      <c r="A85" s="131" t="s">
        <v>144</v>
      </c>
      <c r="B85" s="126" t="s">
        <v>132</v>
      </c>
      <c r="C85" s="125" t="s">
        <v>133</v>
      </c>
      <c r="D85" s="127"/>
      <c r="E85" s="128"/>
      <c r="F85" s="128">
        <v>5</v>
      </c>
      <c r="G85" s="128">
        <v>1501</v>
      </c>
      <c r="H85" s="129">
        <f t="shared" ref="H85:H95" si="21">G85*F85/1000</f>
        <v>7.5049999999999999</v>
      </c>
      <c r="I85" s="36">
        <v>0</v>
      </c>
      <c r="J85" s="36">
        <v>0</v>
      </c>
      <c r="K85" s="36">
        <f>G85*5</f>
        <v>7505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f t="shared" ref="U85:U97" si="22">SUM(I85:T85)</f>
        <v>7505</v>
      </c>
    </row>
    <row r="86" spans="1:21" s="124" customFormat="1">
      <c r="A86" s="131" t="s">
        <v>152</v>
      </c>
      <c r="B86" s="126" t="s">
        <v>153</v>
      </c>
      <c r="C86" s="125" t="s">
        <v>154</v>
      </c>
      <c r="D86" s="127"/>
      <c r="E86" s="128"/>
      <c r="F86" s="128">
        <v>1</v>
      </c>
      <c r="G86" s="128">
        <v>1646</v>
      </c>
      <c r="H86" s="129">
        <f t="shared" si="21"/>
        <v>1.6459999999999999</v>
      </c>
      <c r="I86" s="36">
        <v>0</v>
      </c>
      <c r="J86" s="36">
        <v>0</v>
      </c>
      <c r="K86" s="36">
        <v>0</v>
      </c>
      <c r="L86" s="36">
        <v>0</v>
      </c>
      <c r="M86" s="36">
        <f>G86</f>
        <v>1646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f t="shared" si="22"/>
        <v>1646</v>
      </c>
    </row>
    <row r="87" spans="1:21" s="124" customFormat="1">
      <c r="A87" s="125" t="s">
        <v>204</v>
      </c>
      <c r="B87" s="126" t="s">
        <v>159</v>
      </c>
      <c r="C87" s="125" t="s">
        <v>127</v>
      </c>
      <c r="D87" s="127"/>
      <c r="E87" s="128"/>
      <c r="F87" s="128">
        <v>1</v>
      </c>
      <c r="G87" s="128">
        <v>182.63</v>
      </c>
      <c r="H87" s="129">
        <f t="shared" si="21"/>
        <v>0.18262999999999999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f>G87</f>
        <v>182.63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f t="shared" si="22"/>
        <v>182.63</v>
      </c>
    </row>
    <row r="88" spans="1:21" s="124" customFormat="1">
      <c r="A88" s="125" t="s">
        <v>205</v>
      </c>
      <c r="B88" s="126" t="s">
        <v>160</v>
      </c>
      <c r="C88" s="125" t="s">
        <v>136</v>
      </c>
      <c r="D88" s="127"/>
      <c r="E88" s="128"/>
      <c r="F88" s="128">
        <v>2</v>
      </c>
      <c r="G88" s="128">
        <v>185.81</v>
      </c>
      <c r="H88" s="129">
        <f t="shared" si="21"/>
        <v>0.37162000000000001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f>G88</f>
        <v>185.81</v>
      </c>
      <c r="P88" s="36">
        <v>0</v>
      </c>
      <c r="Q88" s="36">
        <v>0</v>
      </c>
      <c r="R88" s="36">
        <v>0</v>
      </c>
      <c r="S88" s="36">
        <f>G88</f>
        <v>185.81</v>
      </c>
      <c r="T88" s="36">
        <v>0</v>
      </c>
      <c r="U88" s="36">
        <f t="shared" si="22"/>
        <v>371.62</v>
      </c>
    </row>
    <row r="89" spans="1:21" s="124" customFormat="1" ht="25.5">
      <c r="A89" s="125" t="s">
        <v>190</v>
      </c>
      <c r="B89" s="126" t="s">
        <v>206</v>
      </c>
      <c r="C89" s="144" t="s">
        <v>58</v>
      </c>
      <c r="D89" s="24"/>
      <c r="E89" s="52"/>
      <c r="F89" s="52">
        <v>0.01</v>
      </c>
      <c r="G89" s="52">
        <v>3397.65</v>
      </c>
      <c r="H89" s="67">
        <f t="shared" si="21"/>
        <v>3.39765E-2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f>G89*0.01</f>
        <v>33.976500000000001</v>
      </c>
      <c r="R89" s="36">
        <v>0</v>
      </c>
      <c r="S89" s="36">
        <v>0</v>
      </c>
      <c r="T89" s="36">
        <v>0</v>
      </c>
      <c r="U89" s="36">
        <f t="shared" si="22"/>
        <v>33.976500000000001</v>
      </c>
    </row>
    <row r="90" spans="1:21" s="124" customFormat="1" ht="25.5">
      <c r="A90" s="131" t="s">
        <v>207</v>
      </c>
      <c r="B90" s="126" t="s">
        <v>135</v>
      </c>
      <c r="C90" s="125" t="s">
        <v>61</v>
      </c>
      <c r="D90" s="127"/>
      <c r="E90" s="128"/>
      <c r="F90" s="128">
        <v>1</v>
      </c>
      <c r="G90" s="128">
        <v>79.09</v>
      </c>
      <c r="H90" s="129">
        <f t="shared" si="21"/>
        <v>7.9090000000000008E-2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f>G90</f>
        <v>79.09</v>
      </c>
      <c r="S90" s="36">
        <v>0</v>
      </c>
      <c r="T90" s="36">
        <v>0</v>
      </c>
      <c r="U90" s="36">
        <f t="shared" si="22"/>
        <v>79.09</v>
      </c>
    </row>
    <row r="91" spans="1:21" s="124" customFormat="1">
      <c r="A91" s="131" t="s">
        <v>210</v>
      </c>
      <c r="B91" s="126" t="s">
        <v>208</v>
      </c>
      <c r="C91" s="125" t="s">
        <v>209</v>
      </c>
      <c r="D91" s="127"/>
      <c r="E91" s="128"/>
      <c r="F91" s="128">
        <v>1</v>
      </c>
      <c r="G91" s="128">
        <v>1072.21</v>
      </c>
      <c r="H91" s="129">
        <f t="shared" si="21"/>
        <v>1.0722100000000001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f>G91</f>
        <v>1072.21</v>
      </c>
      <c r="S91" s="36">
        <v>0</v>
      </c>
      <c r="T91" s="36">
        <v>0</v>
      </c>
      <c r="U91" s="36">
        <f t="shared" si="22"/>
        <v>1072.21</v>
      </c>
    </row>
    <row r="92" spans="1:21" s="124" customFormat="1">
      <c r="A92" s="125" t="s">
        <v>204</v>
      </c>
      <c r="B92" s="126" t="s">
        <v>213</v>
      </c>
      <c r="C92" s="125" t="s">
        <v>127</v>
      </c>
      <c r="D92" s="127"/>
      <c r="E92" s="128"/>
      <c r="F92" s="128">
        <v>1</v>
      </c>
      <c r="G92" s="52">
        <v>291.43</v>
      </c>
      <c r="H92" s="129">
        <f t="shared" ref="H92" si="23">G92*F92/1000</f>
        <v>0.29143000000000002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f>G92</f>
        <v>291.43</v>
      </c>
      <c r="T92" s="36">
        <v>0</v>
      </c>
      <c r="U92" s="36">
        <f t="shared" si="22"/>
        <v>291.43</v>
      </c>
    </row>
    <row r="93" spans="1:21" s="124" customFormat="1" ht="25.5">
      <c r="A93" s="131" t="s">
        <v>214</v>
      </c>
      <c r="B93" s="126" t="s">
        <v>126</v>
      </c>
      <c r="C93" s="125" t="s">
        <v>127</v>
      </c>
      <c r="D93" s="127"/>
      <c r="E93" s="128"/>
      <c r="F93" s="128">
        <v>2</v>
      </c>
      <c r="G93" s="128">
        <v>559.62</v>
      </c>
      <c r="H93" s="129">
        <f>G93*F93/1000</f>
        <v>1.11924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f>G93*2</f>
        <v>1119.24</v>
      </c>
      <c r="T93" s="36">
        <v>0</v>
      </c>
      <c r="U93" s="36">
        <f t="shared" si="22"/>
        <v>1119.24</v>
      </c>
    </row>
    <row r="94" spans="1:21" s="124" customFormat="1" ht="25.5">
      <c r="A94" s="144" t="s">
        <v>211</v>
      </c>
      <c r="B94" s="145" t="s">
        <v>212</v>
      </c>
      <c r="C94" s="144" t="s">
        <v>61</v>
      </c>
      <c r="D94" s="127"/>
      <c r="E94" s="128"/>
      <c r="F94" s="128">
        <v>1</v>
      </c>
      <c r="G94" s="128">
        <v>634.4</v>
      </c>
      <c r="H94" s="129">
        <f t="shared" si="21"/>
        <v>0.63439999999999996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f>G94</f>
        <v>634.4</v>
      </c>
      <c r="T94" s="36">
        <v>0</v>
      </c>
      <c r="U94" s="36">
        <f t="shared" si="22"/>
        <v>634.4</v>
      </c>
    </row>
    <row r="95" spans="1:21" s="124" customFormat="1">
      <c r="A95" s="146" t="s">
        <v>216</v>
      </c>
      <c r="B95" s="147" t="s">
        <v>215</v>
      </c>
      <c r="C95" s="148" t="s">
        <v>80</v>
      </c>
      <c r="D95" s="127"/>
      <c r="E95" s="128"/>
      <c r="F95" s="128">
        <f>2/10</f>
        <v>0.2</v>
      </c>
      <c r="G95" s="128">
        <v>3800</v>
      </c>
      <c r="H95" s="129">
        <f t="shared" si="21"/>
        <v>0.76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f>G95*0.2</f>
        <v>760</v>
      </c>
      <c r="U95" s="36">
        <f t="shared" si="22"/>
        <v>760</v>
      </c>
    </row>
    <row r="96" spans="1:21" s="124" customFormat="1">
      <c r="A96" s="146" t="s">
        <v>217</v>
      </c>
      <c r="B96" s="147" t="s">
        <v>218</v>
      </c>
      <c r="C96" s="148" t="s">
        <v>80</v>
      </c>
      <c r="D96" s="127"/>
      <c r="E96" s="128"/>
      <c r="F96" s="128">
        <f>2/10</f>
        <v>0.2</v>
      </c>
      <c r="G96" s="128">
        <v>3800</v>
      </c>
      <c r="H96" s="129">
        <f t="shared" ref="H96:H97" si="24">G96*F96/1000</f>
        <v>0.76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f>G96*F96</f>
        <v>760</v>
      </c>
      <c r="U96" s="36">
        <f t="shared" si="22"/>
        <v>760</v>
      </c>
    </row>
    <row r="97" spans="1:21" s="124" customFormat="1" ht="12.75" customHeight="1">
      <c r="A97" s="125" t="s">
        <v>220</v>
      </c>
      <c r="B97" s="126" t="s">
        <v>221</v>
      </c>
      <c r="C97" s="125" t="s">
        <v>219</v>
      </c>
      <c r="D97" s="127"/>
      <c r="E97" s="128"/>
      <c r="F97" s="128">
        <v>1</v>
      </c>
      <c r="G97" s="128">
        <v>92.24</v>
      </c>
      <c r="H97" s="129">
        <f t="shared" si="24"/>
        <v>9.2239999999999989E-2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f>G97</f>
        <v>92.24</v>
      </c>
      <c r="U97" s="36">
        <f t="shared" si="22"/>
        <v>92.24</v>
      </c>
    </row>
    <row r="98" spans="1:21" s="19" customFormat="1">
      <c r="A98" s="97"/>
      <c r="B98" s="98" t="s">
        <v>95</v>
      </c>
      <c r="C98" s="97"/>
      <c r="D98" s="97"/>
      <c r="E98" s="92"/>
      <c r="F98" s="92"/>
      <c r="G98" s="92"/>
      <c r="H98" s="44">
        <f>SUM(H84:H97)</f>
        <v>14.599226499999999</v>
      </c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43">
        <f>SUM(U84:U97)</f>
        <v>14599.226499999999</v>
      </c>
    </row>
    <row r="99" spans="1:21">
      <c r="A99" s="95"/>
      <c r="B99" s="99"/>
      <c r="C99" s="100"/>
      <c r="D99" s="100"/>
      <c r="E99" s="52"/>
      <c r="F99" s="52"/>
      <c r="G99" s="52"/>
      <c r="H99" s="10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121"/>
    </row>
    <row r="100" spans="1:21" ht="12" customHeight="1">
      <c r="A100" s="138"/>
      <c r="B100" s="18" t="s">
        <v>96</v>
      </c>
      <c r="C100" s="65"/>
      <c r="D100" s="24"/>
      <c r="E100" s="52"/>
      <c r="F100" s="52"/>
      <c r="G100" s="52"/>
      <c r="H100" s="102">
        <f>H98/E101/12*1000</f>
        <v>1.1668925842445168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121"/>
    </row>
    <row r="101" spans="1:21" s="19" customFormat="1">
      <c r="A101" s="83"/>
      <c r="B101" s="103" t="s">
        <v>97</v>
      </c>
      <c r="C101" s="104"/>
      <c r="D101" s="103"/>
      <c r="E101" s="141">
        <v>1042.5999999999999</v>
      </c>
      <c r="F101" s="105">
        <f>SUM(E101*12)</f>
        <v>12511.199999999999</v>
      </c>
      <c r="G101" s="106">
        <f>H81+H100</f>
        <v>22.197484085448778</v>
      </c>
      <c r="H101" s="107">
        <f>SUM(F101*G101/1000)</f>
        <v>277.71716288986676</v>
      </c>
      <c r="I101" s="92">
        <f>SUM(I11:I100)</f>
        <v>22622.23325666667</v>
      </c>
      <c r="J101" s="92">
        <f>SUM(J11:J100)</f>
        <v>20207.445456666665</v>
      </c>
      <c r="K101" s="92">
        <f t="shared" ref="K101:R101" si="25">SUM(K11:K100)</f>
        <v>26360.575256666667</v>
      </c>
      <c r="L101" s="92">
        <f t="shared" si="25"/>
        <v>22666.914156666666</v>
      </c>
      <c r="M101" s="92">
        <f t="shared" si="25"/>
        <v>42875.090507644432</v>
      </c>
      <c r="N101" s="92">
        <f t="shared" si="25"/>
        <v>15489.064093644442</v>
      </c>
      <c r="O101" s="92">
        <f t="shared" si="25"/>
        <v>15547.663393644443</v>
      </c>
      <c r="P101" s="92">
        <f t="shared" si="25"/>
        <v>18008.154093644443</v>
      </c>
      <c r="Q101" s="92">
        <f t="shared" si="25"/>
        <v>21166.086767644447</v>
      </c>
      <c r="R101" s="92">
        <f t="shared" si="25"/>
        <v>16695.474093644443</v>
      </c>
      <c r="S101" s="92">
        <f>SUM(S11:S100)</f>
        <v>22942.268456666668</v>
      </c>
      <c r="T101" s="92">
        <f>SUM(T11:T100)</f>
        <v>21768.295456666667</v>
      </c>
      <c r="U101" s="43">
        <f>U79+U98</f>
        <v>266349.26498986664</v>
      </c>
    </row>
    <row r="102" spans="1:21">
      <c r="A102" s="69"/>
      <c r="B102" s="69"/>
      <c r="C102" s="69"/>
      <c r="D102" s="69"/>
      <c r="E102" s="108"/>
      <c r="F102" s="108"/>
      <c r="G102" s="108"/>
      <c r="H102" s="108"/>
      <c r="I102" s="108"/>
      <c r="J102" s="108"/>
      <c r="K102" s="108"/>
      <c r="L102" s="108"/>
      <c r="M102" s="69"/>
      <c r="N102" s="108"/>
      <c r="O102" s="69"/>
      <c r="P102" s="69"/>
      <c r="Q102" s="69"/>
      <c r="R102" s="69"/>
      <c r="S102" s="69"/>
      <c r="T102" s="69"/>
      <c r="U102" s="69"/>
    </row>
    <row r="103" spans="1:21">
      <c r="A103" s="69"/>
      <c r="B103" s="69"/>
      <c r="C103" s="69"/>
      <c r="D103" s="69"/>
      <c r="E103" s="108"/>
      <c r="F103" s="108"/>
      <c r="G103" s="108"/>
      <c r="H103" s="108"/>
      <c r="I103" s="108"/>
      <c r="J103" s="109"/>
      <c r="K103" s="110"/>
      <c r="L103" s="109"/>
      <c r="M103" s="108"/>
      <c r="N103" s="69"/>
      <c r="O103" s="69"/>
      <c r="P103" s="69"/>
      <c r="Q103" s="69"/>
      <c r="R103" s="69"/>
      <c r="S103" s="69"/>
      <c r="T103" s="69"/>
      <c r="U103" s="69"/>
    </row>
    <row r="104" spans="1:21" ht="45">
      <c r="A104" s="69"/>
      <c r="B104" s="111" t="s">
        <v>134</v>
      </c>
      <c r="C104" s="155">
        <v>304541.65000000002</v>
      </c>
      <c r="D104" s="150"/>
      <c r="E104" s="150"/>
      <c r="F104" s="151"/>
      <c r="G104" s="108"/>
      <c r="H104" s="108"/>
      <c r="I104" s="108"/>
      <c r="J104" s="109"/>
      <c r="K104" s="110"/>
      <c r="L104" s="109"/>
      <c r="M104" s="108"/>
      <c r="N104" s="69"/>
      <c r="O104" s="69"/>
      <c r="P104" s="69"/>
      <c r="Q104" s="69"/>
      <c r="R104" s="69"/>
      <c r="S104" s="69"/>
      <c r="T104" s="69"/>
      <c r="U104" s="69"/>
    </row>
    <row r="105" spans="1:21" ht="30">
      <c r="A105" s="69"/>
      <c r="B105" s="22" t="s">
        <v>139</v>
      </c>
      <c r="C105" s="152">
        <f>23760.87*12</f>
        <v>285130.44</v>
      </c>
      <c r="D105" s="153"/>
      <c r="E105" s="153"/>
      <c r="F105" s="154"/>
      <c r="G105" s="108"/>
      <c r="H105" s="108"/>
      <c r="I105" s="108"/>
      <c r="J105" s="109"/>
      <c r="K105" s="110"/>
      <c r="L105" s="109"/>
      <c r="M105" s="108"/>
      <c r="N105" s="69"/>
      <c r="O105" s="69"/>
      <c r="P105" s="69"/>
      <c r="Q105" s="69"/>
      <c r="R105" s="69"/>
      <c r="S105" s="69"/>
      <c r="T105" s="69"/>
      <c r="U105" s="69"/>
    </row>
    <row r="106" spans="1:21" ht="30">
      <c r="A106" s="69"/>
      <c r="B106" s="22" t="s">
        <v>140</v>
      </c>
      <c r="C106" s="152">
        <f>SUM(U101-U98)</f>
        <v>251750.03848986665</v>
      </c>
      <c r="D106" s="153"/>
      <c r="E106" s="153"/>
      <c r="F106" s="154"/>
      <c r="G106" s="108"/>
      <c r="H106" s="108"/>
      <c r="I106" s="108"/>
      <c r="J106" s="109"/>
      <c r="K106" s="110"/>
      <c r="L106" s="109"/>
      <c r="M106" s="108"/>
      <c r="N106" s="69"/>
      <c r="O106" s="69"/>
      <c r="P106" s="69"/>
      <c r="Q106" s="69"/>
      <c r="R106" s="69"/>
      <c r="S106" s="69"/>
      <c r="T106" s="69"/>
      <c r="U106" s="69"/>
    </row>
    <row r="107" spans="1:21" ht="30">
      <c r="A107" s="69"/>
      <c r="B107" s="22" t="s">
        <v>141</v>
      </c>
      <c r="C107" s="152">
        <f>SUM(U98)</f>
        <v>14599.226499999999</v>
      </c>
      <c r="D107" s="153"/>
      <c r="E107" s="153"/>
      <c r="F107" s="154"/>
      <c r="G107" s="108"/>
      <c r="H107" s="108"/>
      <c r="I107" s="108"/>
      <c r="J107" s="109"/>
      <c r="K107" s="110"/>
      <c r="L107" s="109"/>
      <c r="M107" s="108"/>
      <c r="N107" s="69"/>
      <c r="O107" s="69"/>
      <c r="P107" s="69"/>
      <c r="Q107" s="69"/>
      <c r="R107" s="69"/>
      <c r="S107" s="69"/>
      <c r="T107" s="69"/>
      <c r="U107" s="69"/>
    </row>
    <row r="108" spans="1:21" ht="18">
      <c r="A108" s="69"/>
      <c r="B108" s="117" t="s">
        <v>142</v>
      </c>
      <c r="C108" s="155">
        <f>23890.85+22623.5+21560.12+27874.32+18311.65+20839.05+19338.8+29338.36+27059.53+25492.98+20824.7+23390.38</f>
        <v>280544.24</v>
      </c>
      <c r="D108" s="150"/>
      <c r="E108" s="150"/>
      <c r="F108" s="151"/>
      <c r="G108" s="69"/>
      <c r="I108" s="112" t="s">
        <v>107</v>
      </c>
      <c r="J108" s="113"/>
      <c r="K108" s="114"/>
      <c r="L108" s="115"/>
      <c r="M108" s="112"/>
      <c r="N108" s="112"/>
      <c r="O108" s="69"/>
      <c r="P108" s="69"/>
      <c r="Q108" s="69"/>
      <c r="R108" s="69"/>
      <c r="S108" s="69"/>
      <c r="T108" s="69"/>
      <c r="U108" s="69"/>
    </row>
    <row r="109" spans="1:21" ht="78.75">
      <c r="A109" s="69"/>
      <c r="B109" s="23" t="s">
        <v>222</v>
      </c>
      <c r="C109" s="156">
        <v>51087.48</v>
      </c>
      <c r="D109" s="157"/>
      <c r="E109" s="157"/>
      <c r="F109" s="158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</row>
    <row r="110" spans="1:21" ht="45">
      <c r="A110" s="69"/>
      <c r="B110" s="116" t="s">
        <v>223</v>
      </c>
      <c r="C110" s="149">
        <f>SUM(U101-C105)+C104</f>
        <v>285760.47498986666</v>
      </c>
      <c r="D110" s="150"/>
      <c r="E110" s="150"/>
      <c r="F110" s="151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</row>
    <row r="112" spans="1:21">
      <c r="J112" s="3"/>
      <c r="K112" s="4"/>
      <c r="L112" s="4"/>
      <c r="M112" s="2"/>
    </row>
    <row r="113" spans="7:8">
      <c r="G113" s="5"/>
      <c r="H113" s="5"/>
    </row>
    <row r="114" spans="7:8">
      <c r="G114" s="6"/>
    </row>
  </sheetData>
  <mergeCells count="11">
    <mergeCell ref="B3:L3"/>
    <mergeCell ref="B4:L4"/>
    <mergeCell ref="B5:L5"/>
    <mergeCell ref="B6:L6"/>
    <mergeCell ref="C104:F104"/>
    <mergeCell ref="C110:F110"/>
    <mergeCell ref="C105:F105"/>
    <mergeCell ref="C106:F106"/>
    <mergeCell ref="C107:F107"/>
    <mergeCell ref="C108:F108"/>
    <mergeCell ref="C109:F109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 47</vt:lpstr>
      <vt:lpstr>'Окт. 47'!Область_печати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2017-04-18T06:57:07Z</dcterms:modified>
</cp:coreProperties>
</file>