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6" r:id="rId11"/>
    <sheet name="12.16" sheetId="8" r:id="rId12"/>
  </sheets>
  <definedNames>
    <definedName name="_xlnm._FilterDatabase" localSheetId="0" hidden="1">'01.16'!$I$12:$I$61</definedName>
    <definedName name="_xlnm._FilterDatabase" localSheetId="1" hidden="1">'02.16'!$I$12:$I$61</definedName>
    <definedName name="_xlnm._FilterDatabase" localSheetId="2" hidden="1">'03.16'!$I$12:$I$61</definedName>
    <definedName name="_xlnm._FilterDatabase" localSheetId="3" hidden="1">'04.16'!$I$12:$I$61</definedName>
    <definedName name="_xlnm._FilterDatabase" localSheetId="4" hidden="1">'05.16'!$I$12:$I$61</definedName>
    <definedName name="_xlnm._FilterDatabase" localSheetId="5" hidden="1">'06.16'!$I$12:$I$61</definedName>
    <definedName name="_xlnm._FilterDatabase" localSheetId="6" hidden="1">'07.16'!$I$12:$I$61</definedName>
    <definedName name="_xlnm._FilterDatabase" localSheetId="7" hidden="1">'08.16'!$I$12:$I$61</definedName>
    <definedName name="_xlnm._FilterDatabase" localSheetId="8" hidden="1">'09.16'!$I$12:$I$61</definedName>
    <definedName name="_xlnm._FilterDatabase" localSheetId="9" hidden="1">'10.16'!$I$12:$I$61</definedName>
    <definedName name="_xlnm._FilterDatabase" localSheetId="11" hidden="1">'12.16'!$G$12:$G$66</definedName>
    <definedName name="_xlnm.Print_Area" localSheetId="0">'01.16'!$A$1:$I$114</definedName>
    <definedName name="_xlnm.Print_Area" localSheetId="1">'02.16'!$A$1:$I$114</definedName>
    <definedName name="_xlnm.Print_Area" localSheetId="2">'03.16'!$A$1:$I$107</definedName>
    <definedName name="_xlnm.Print_Area" localSheetId="3">'04.16'!$A$1:$I$114</definedName>
    <definedName name="_xlnm.Print_Area" localSheetId="4">'05.16'!$A$1:$I$107</definedName>
    <definedName name="_xlnm.Print_Area" localSheetId="5">'06.16'!$A$1:$I$107</definedName>
    <definedName name="_xlnm.Print_Area" localSheetId="6">'07.16'!$A$1:$I$107</definedName>
    <definedName name="_xlnm.Print_Area" localSheetId="7">'08.16'!$A$1:$I$114</definedName>
    <definedName name="_xlnm.Print_Area" localSheetId="8">'09.16'!$A$1:$I$114</definedName>
    <definedName name="_xlnm.Print_Area" localSheetId="9">'10.16'!$A$1:$I$108</definedName>
    <definedName name="_xlnm.Print_Area" localSheetId="10">'11.16'!$A$1:$G$109</definedName>
    <definedName name="_xlnm.Print_Area" localSheetId="11">'12.16'!$A$1:$G$107</definedName>
  </definedNames>
  <calcPr calcId="124519"/>
</workbook>
</file>

<file path=xl/calcChain.xml><?xml version="1.0" encoding="utf-8"?>
<calcChain xmlns="http://schemas.openxmlformats.org/spreadsheetml/2006/main">
  <c r="I81" i="26"/>
  <c r="I85"/>
  <c r="I84"/>
  <c r="I83"/>
  <c r="H84"/>
  <c r="H83"/>
  <c r="E80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8" i="25"/>
  <c r="I77"/>
  <c r="I81"/>
  <c r="I68"/>
  <c r="I45"/>
  <c r="I46"/>
  <c r="I47"/>
  <c r="I48"/>
  <c r="I49"/>
  <c r="I91"/>
  <c r="H90"/>
  <c r="H89"/>
  <c r="H88"/>
  <c r="H87"/>
  <c r="H86"/>
  <c r="H85"/>
  <c r="H84"/>
  <c r="H83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1" i="24"/>
  <c r="I61"/>
  <c r="I91"/>
  <c r="H90"/>
  <c r="H89"/>
  <c r="H88"/>
  <c r="H87"/>
  <c r="H86"/>
  <c r="H85"/>
  <c r="H84"/>
  <c r="H83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1" i="23"/>
  <c r="I83"/>
  <c r="I53"/>
  <c r="I84"/>
  <c r="H83"/>
  <c r="E80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81" i="22"/>
  <c r="I83"/>
  <c r="I84" s="1"/>
  <c r="H83"/>
  <c r="E80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19" i="21"/>
  <c r="I23"/>
  <c r="I24"/>
  <c r="I25"/>
  <c r="I26"/>
  <c r="I22"/>
  <c r="I84"/>
  <c r="I83"/>
  <c r="I68"/>
  <c r="I69"/>
  <c r="I70"/>
  <c r="I71"/>
  <c r="I72"/>
  <c r="I73"/>
  <c r="I74"/>
  <c r="I75"/>
  <c r="I76"/>
  <c r="I77"/>
  <c r="H83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1" i="20"/>
  <c r="I52"/>
  <c r="I53"/>
  <c r="I51"/>
  <c r="I91"/>
  <c r="H90"/>
  <c r="H89"/>
  <c r="H88"/>
  <c r="H87"/>
  <c r="H86"/>
  <c r="H85"/>
  <c r="H84"/>
  <c r="H83"/>
  <c r="F80"/>
  <c r="H80" s="1"/>
  <c r="H81" s="1"/>
  <c r="E80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3" i="19"/>
  <c r="I84" s="1"/>
  <c r="H83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H57" i="26" l="1"/>
  <c r="H76" s="1"/>
  <c r="H18"/>
  <c r="I18"/>
  <c r="H16"/>
  <c r="I17"/>
  <c r="H20"/>
  <c r="I21"/>
  <c r="H27"/>
  <c r="I28"/>
  <c r="H31"/>
  <c r="I32"/>
  <c r="H33"/>
  <c r="H40"/>
  <c r="I41"/>
  <c r="H42"/>
  <c r="I50"/>
  <c r="I79"/>
  <c r="I80"/>
  <c r="H18" i="25"/>
  <c r="I18"/>
  <c r="H80"/>
  <c r="H81" s="1"/>
  <c r="I80"/>
  <c r="H16"/>
  <c r="I17"/>
  <c r="I93" s="1"/>
  <c r="H20"/>
  <c r="I21"/>
  <c r="H27"/>
  <c r="I28"/>
  <c r="H31"/>
  <c r="I32"/>
  <c r="H33"/>
  <c r="H40"/>
  <c r="I41"/>
  <c r="H42"/>
  <c r="I50"/>
  <c r="H57"/>
  <c r="H76" s="1"/>
  <c r="I79"/>
  <c r="H18" i="24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H20" i="23"/>
  <c r="H16"/>
  <c r="H27"/>
  <c r="H57"/>
  <c r="H76" s="1"/>
  <c r="H40"/>
  <c r="H42"/>
  <c r="H33"/>
  <c r="H31"/>
  <c r="I17"/>
  <c r="I18"/>
  <c r="I21"/>
  <c r="I28"/>
  <c r="I32"/>
  <c r="I41"/>
  <c r="I50"/>
  <c r="I79"/>
  <c r="I80"/>
  <c r="H18" i="22"/>
  <c r="I18"/>
  <c r="H16"/>
  <c r="I17"/>
  <c r="H20"/>
  <c r="I21"/>
  <c r="H27"/>
  <c r="I28"/>
  <c r="H31"/>
  <c r="I32"/>
  <c r="H33"/>
  <c r="H40"/>
  <c r="I41"/>
  <c r="H42"/>
  <c r="I50"/>
  <c r="H57"/>
  <c r="H76" s="1"/>
  <c r="I79"/>
  <c r="I80"/>
  <c r="I81" i="21"/>
  <c r="I48"/>
  <c r="I46"/>
  <c r="I63"/>
  <c r="I66"/>
  <c r="I64"/>
  <c r="I49"/>
  <c r="I47"/>
  <c r="I45"/>
  <c r="I67"/>
  <c r="I65"/>
  <c r="H18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H18" i="20"/>
  <c r="I18"/>
  <c r="H16"/>
  <c r="I17"/>
  <c r="H20"/>
  <c r="I21"/>
  <c r="H27"/>
  <c r="I28"/>
  <c r="H31"/>
  <c r="I32"/>
  <c r="H33"/>
  <c r="H40"/>
  <c r="I41"/>
  <c r="H42"/>
  <c r="I50"/>
  <c r="H57"/>
  <c r="H76" s="1"/>
  <c r="I79"/>
  <c r="I80"/>
  <c r="H18" i="19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I87" i="26" l="1"/>
  <c r="I93" i="24"/>
  <c r="I86" i="23"/>
  <c r="I86" i="22"/>
  <c r="I86" i="21"/>
  <c r="I93" i="20"/>
  <c r="I81" i="19"/>
  <c r="I86" s="1"/>
  <c r="I81" i="18" l="1"/>
  <c r="I93"/>
  <c r="I83"/>
  <c r="I91" s="1"/>
  <c r="H90"/>
  <c r="H89"/>
  <c r="H88"/>
  <c r="H87"/>
  <c r="H86"/>
  <c r="H85"/>
  <c r="H84"/>
  <c r="H83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93" i="17"/>
  <c r="I91"/>
  <c r="I81"/>
  <c r="H90"/>
  <c r="H89"/>
  <c r="H88"/>
  <c r="H87"/>
  <c r="H86"/>
  <c r="H85"/>
  <c r="H84"/>
  <c r="H83"/>
  <c r="E80"/>
  <c r="F79"/>
  <c r="I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I39"/>
  <c r="H39"/>
  <c r="I38"/>
  <c r="H38"/>
  <c r="F28"/>
  <c r="H28" s="1"/>
  <c r="H36"/>
  <c r="H35"/>
  <c r="F27"/>
  <c r="I27" s="1"/>
  <c r="H34"/>
  <c r="F34"/>
  <c r="I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8" i="18" l="1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I33" i="17"/>
  <c r="I31"/>
  <c r="I32"/>
  <c r="H17"/>
  <c r="H76"/>
  <c r="H21"/>
  <c r="H79"/>
  <c r="I18"/>
  <c r="H18"/>
  <c r="I16"/>
  <c r="I20"/>
  <c r="H27"/>
  <c r="I28"/>
  <c r="I40"/>
  <c r="H41"/>
  <c r="I42"/>
  <c r="I50"/>
  <c r="I57"/>
  <c r="F80"/>
  <c r="H80" l="1"/>
  <c r="H81" s="1"/>
  <c r="I80"/>
  <c r="G79" i="8" l="1"/>
  <c r="G86" s="1"/>
  <c r="G84"/>
  <c r="D82"/>
  <c r="D81"/>
  <c r="G61"/>
  <c r="G58"/>
  <c r="E31"/>
  <c r="G86" i="16"/>
  <c r="G80"/>
  <c r="G88" s="1"/>
  <c r="G62"/>
  <c r="G59"/>
  <c r="E32"/>
</calcChain>
</file>

<file path=xl/sharedStrings.xml><?xml version="1.0" encoding="utf-8"?>
<sst xmlns="http://schemas.openxmlformats.org/spreadsheetml/2006/main" count="2531" uniqueCount="221">
  <si>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</si>
  <si>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</si>
  <si>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</si>
  <si>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</si>
  <si>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</si>
  <si>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</si>
  <si>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</si>
  <si>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</si>
  <si>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</si>
  <si>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</si>
  <si>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</si>
  <si>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</si>
  <si>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</si>
  <si>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</si>
  <si>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</si>
  <si>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</si>
  <si>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</si>
  <si>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</si>
  <si>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</si>
  <si>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</si>
  <si>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</si>
  <si>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</si>
  <si>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</si>
  <si>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</si>
  <si>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</si>
  <si>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</si>
  <si>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</si>
  <si>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</si>
  <si>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</si>
  <si>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</si>
  <si>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</si>
  <si>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</si>
  <si>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</si>
  <si>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</si>
  <si>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</si>
  <si>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</si>
  <si>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</si>
  <si>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</si>
  <si>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</si>
  <si>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</si>
  <si>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</si>
  <si>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</si>
  <si>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</si>
  <si>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</si>
  <si>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</si>
  <si>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</si>
  <si>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</si>
  <si>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</si>
  <si>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</si>
  <si>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</si>
  <si>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</si>
  <si>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</si>
  <si>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</si>
  <si>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</si>
  <si>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</si>
  <si>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</si>
  <si>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</si>
  <si>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</si>
  <si>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</si>
  <si>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</si>
  <si>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</si>
  <si>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</si>
  <si>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</si>
  <si>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</si>
  <si>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</si>
  <si>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</si>
  <si>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</si>
  <si>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</si>
  <si>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</si>
  <si>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</si>
  <si>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</si>
  <si>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</si>
  <si>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</si>
  <si>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</si>
  <si>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</si>
  <si>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</si>
  <si>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</si>
  <si>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</si>
  <si>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</si>
  <si>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</si>
  <si>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</si>
  <si>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</si>
  <si>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</si>
  <si>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</si>
  <si>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</si>
  <si>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</si>
  <si>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</si>
  <si>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</si>
  <si>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</si>
  <si>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</si>
  <si>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за период с 01.03.2016 г. по 31.03.2016 г.</t>
  </si>
  <si>
    <t>за период с 01.04.2016 г. по 30.04.2016 г.</t>
  </si>
  <si>
    <t>за период с 01.05.2016 г. по 31.05.2016 г.</t>
  </si>
  <si>
    <t>за период с 01.07.2016 г. по 31.07.2016 г.</t>
  </si>
  <si>
    <t>за период с 01.09.2016 г. по 30.09.2016 г.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</si>
  <si>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</si>
  <si>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</si>
  <si>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</si>
  <si>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- петли</t>
  </si>
  <si>
    <t>II. Уборка земельного участка</t>
  </si>
  <si>
    <t>ООО «Жилсервис»</t>
  </si>
  <si>
    <t>АКТ №11</t>
  </si>
  <si>
    <t>за период с 01.11.2016 г. по 30.11.2016 г.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</si>
  <si>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</si>
  <si>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</si>
  <si>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</si>
  <si>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2-4 этажа</t>
  </si>
  <si>
    <t>2 раза в неделю 104 раза в год</t>
  </si>
  <si>
    <t>Мытье лестничных  площадок и маршей 1-4 этаж.</t>
  </si>
  <si>
    <t xml:space="preserve">2 раза в месяц 24 раза в год </t>
  </si>
  <si>
    <t>30 раз за сезон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</si>
  <si>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</si>
  <si>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</si>
  <si>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</si>
  <si>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</si>
  <si>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</si>
  <si>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</si>
  <si>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1 шт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</si>
  <si>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</si>
  <si>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</si>
  <si>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</si>
  <si>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</si>
  <si>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</si>
  <si>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>1 раз в два месяца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</si>
  <si>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</si>
  <si>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</si>
  <si>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</si>
  <si>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</si>
  <si>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</si>
  <si>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</si>
  <si>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</si>
  <si>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</si>
  <si>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по мере необходимости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</si>
  <si>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</si>
  <si>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</si>
  <si>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</si>
  <si>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Сдвигание снега в дни снегопада (крыльца, тротуары)</t>
  </si>
  <si>
    <t>35 раз за сезон</t>
  </si>
  <si>
    <t>Осмотр шиферной кровли</t>
  </si>
  <si>
    <t>1 раз в месяц (5 раз за сезон)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</si>
  <si>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</si>
  <si>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</si>
  <si>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</si>
  <si>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</si>
  <si>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</si>
  <si>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</si>
  <si>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</si>
  <si>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</si>
  <si>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</si>
  <si>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</si>
  <si>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</si>
  <si>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Устройство хомута диаметром до 50 мм</t>
  </si>
  <si>
    <t>Смена тройника 20*15*20</t>
  </si>
  <si>
    <t>Смена арматуры - вентилей и клапанов обратных муфтовых диаметром до 20 мм</t>
  </si>
  <si>
    <t>Смена автомата на ток до 25А (авт.выкл. ВА47-29 Iн-25А)</t>
  </si>
  <si>
    <t>2. Всего за период с 01.11.2016 по 30.11.2016 выполнено работ (оказано услуг) на общую сумму: 22942,26 руб.</t>
  </si>
  <si>
    <t>(двадцать две тысячи девятьсот сорок два рубля 26 копеек)</t>
  </si>
  <si>
    <t>АКТ №12</t>
  </si>
  <si>
    <t>за период с 01.12.2016 г. по 31.12.2016 г.</t>
  </si>
  <si>
    <t>Смена дверных приборов - петли (проушины)</t>
  </si>
  <si>
    <t>Снятие и навеска полотна</t>
  </si>
  <si>
    <t>1 полотно</t>
  </si>
  <si>
    <t xml:space="preserve">приемки оказанных услуг и выполненных работ по содержанию и текущему ремонту
общего имущества в многоквартирном доме №47 по ул.Октябрьская пгт.Ярега
</t>
  </si>
  <si>
    <t>2. Всего за период с 01.12.2016 по 31.12.2016 выполнено работ (оказано услуг) на общую сумму: 21768,28 руб.</t>
  </si>
  <si>
    <t>(двадцать одна тысяча смьсот шестьдесят восемь рублей 28 копеек)</t>
  </si>
  <si>
    <t>генеральный директор Куканов Ю.Л.</t>
  </si>
  <si>
    <t>III. Проведение технических осмотров</t>
  </si>
  <si>
    <t>5 раз в год</t>
  </si>
  <si>
    <t>IV. Содержание oбщего имущества МКД</t>
  </si>
  <si>
    <t>V. Прочие услуги</t>
  </si>
  <si>
    <t>АКТ №1</t>
  </si>
  <si>
    <t>Влажное подметание лестничных клеток 2-3 этажа</t>
  </si>
  <si>
    <t>Мытье лестничных  площадок и маршей 1-3 этаж.</t>
  </si>
  <si>
    <t>ежедневно 365 раз</t>
  </si>
  <si>
    <t xml:space="preserve"> </t>
  </si>
  <si>
    <t>Мелкий ремонт электропроводки</t>
  </si>
  <si>
    <t>1п.м.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</si>
  <si>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</si>
  <si>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</si>
  <si>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Работа автовышки</t>
  </si>
  <si>
    <t>маш/час</t>
  </si>
  <si>
    <t>Ремонт ограждений контейнерной площадки</t>
  </si>
  <si>
    <t>тыс.руб.</t>
  </si>
  <si>
    <t>Смена тройника 25*20*25</t>
  </si>
  <si>
    <t>Смена светодиодных светильников</t>
  </si>
  <si>
    <t>1 шт.</t>
  </si>
  <si>
    <t>Прочистка каналов</t>
  </si>
  <si>
    <t>2. Всего за период с 01.01.2016 по 31.01.2016 выполнено работ (оказано услуг) на общую сумму: 22622,23 руб.</t>
  </si>
  <si>
    <t>(двадцать две тысячи шестьсот двадцать два рубля 23 копейки)</t>
  </si>
  <si>
    <t>АКТ №2</t>
  </si>
  <si>
    <t>2. Всего за период с 01.02.2016 по 29.02.2016 выполнено работ (оказано услуг) на общую сумму: 20207,45 руб.</t>
  </si>
  <si>
    <t>(двадцать тысяч двести семь рублей 45 копеек)</t>
  </si>
  <si>
    <t>АКТ №3</t>
  </si>
  <si>
    <t>III. Содержание oбщего имущества МКД</t>
  </si>
  <si>
    <t>IV. Прочие услуги</t>
  </si>
  <si>
    <t>2. Всего за период с 01.03.2016 по 31.03.2016 выполнено работ (оказано услуг) на общую сумму: 26360,58 руб.</t>
  </si>
  <si>
    <t>(двадцать шесть тысяч триста шестьдесят рублей 58 копеек)</t>
  </si>
  <si>
    <t>АКТ №4</t>
  </si>
  <si>
    <t>2. Всего за период с 01.04.2016 по 30.04.2016 выполнено работ (оказано услуг) на общую сумму: 22666,91 руб.</t>
  </si>
  <si>
    <t>(двадцать две тысячи шестьсот шестьдесят шесть рублей 91 копейка)</t>
  </si>
  <si>
    <t>АКТ №5</t>
  </si>
  <si>
    <t>2. Всего за период с 01.05.2016 по 31.05.2016 выполнено работ (оказано услуг) на общую сумму: 42875,09 руб.</t>
  </si>
  <si>
    <t>(сорок две тысячи восемьсот семьдесят пять рублей 09 копеек)</t>
  </si>
  <si>
    <t>АКТ №6</t>
  </si>
  <si>
    <t>III. Прочие услуги</t>
  </si>
  <si>
    <t>2. Всего за период с 01.06.2016 по 30.06.2016 выполнено работ (оказано услуг) на общую сумму: 15489,06 руб.</t>
  </si>
  <si>
    <t>(пятнадцать тысяч четыреста восемьдесят девять рублей 06 копеек)</t>
  </si>
  <si>
    <t>АКТ №7</t>
  </si>
  <si>
    <t>2. Всего за период с 01.07.2016 по 31.07.2016 выполнено работ (оказано услуг) на общую сумму: 15547,66 руб.</t>
  </si>
  <si>
    <t>(пятнадцать тысяч пятьсот сорок семь рублей 66 копеек)</t>
  </si>
  <si>
    <t>АКТ №8</t>
  </si>
  <si>
    <t>2. Всего за период с 01.08.2016 по 31.08.2016 выполнено работ (оказано услуг) на общую сумму: 18008,15 руб.</t>
  </si>
  <si>
    <t>(восемнадцать тысяч восемь рублей 15 копеек)</t>
  </si>
  <si>
    <t>АКТ №9</t>
  </si>
  <si>
    <t>2. Всего за период с 01.09.2016 по 30.09.2016 выполнено работ (оказано услуг) на общую сумму: 21166,09 руб.</t>
  </si>
  <si>
    <t>(двадцать одна тысяча сто шестьдесят шесть рублей 09 копеек)</t>
  </si>
  <si>
    <t>АКТ №10</t>
  </si>
  <si>
    <t>2. Всего за период с 01.10.2016 по 31.10.2016 выполнено работ (оказано услуг) на общую сумму: 16695,47 руб.</t>
  </si>
  <si>
    <t>(шестнадцать тысяч шестьсот девяносто пять рублей 47 копеек)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</si>
  <si>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    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14.02.2014г.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</si>
  <si>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47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д.47</t>
    </r>
  </si>
</sst>
</file>

<file path=xl/styles.xml><?xml version="1.0" encoding="utf-8"?>
<styleSheet xmlns="http://schemas.openxmlformats.org/spreadsheetml/2006/main">
  <numFmts count="1">
    <numFmt numFmtId="164" formatCode="#,##0.000"/>
  </numFmts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4" fontId="11" fillId="3" borderId="9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170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86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42400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hidden="1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customHeight="1">
      <c r="A21" s="38">
        <v>5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hidden="1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v>0</v>
      </c>
      <c r="J22" s="31"/>
      <c r="K22" s="8"/>
      <c r="L22" s="8"/>
      <c r="M22" s="8"/>
    </row>
    <row r="23" spans="1:13" ht="15.75" hidden="1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v>0</v>
      </c>
      <c r="J23" s="31"/>
      <c r="K23" s="8"/>
      <c r="L23" s="8"/>
      <c r="M23" s="8"/>
    </row>
    <row r="24" spans="1:13" ht="15.75" hidden="1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v>0</v>
      </c>
      <c r="J24" s="31"/>
      <c r="K24" s="8"/>
      <c r="L24" s="8"/>
      <c r="M24" s="8"/>
    </row>
    <row r="25" spans="1:13" ht="15.75" hidden="1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v>0</v>
      </c>
      <c r="J25" s="31"/>
      <c r="K25" s="8"/>
      <c r="L25" s="8"/>
      <c r="M25" s="8"/>
    </row>
    <row r="26" spans="1:13" ht="15.75" hidden="1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6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7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hidden="1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hidden="1" customHeight="1">
      <c r="A31" s="38">
        <v>8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1">SUM(F31*G31/1000)</f>
        <v>2.0347501356</v>
      </c>
      <c r="I31" s="16">
        <f t="shared" ref="I31:I34" si="2">F31/6*G31</f>
        <v>339.12502259999997</v>
      </c>
      <c r="J31" s="31"/>
      <c r="K31" s="8"/>
      <c r="L31" s="8"/>
      <c r="M31" s="8"/>
    </row>
    <row r="32" spans="1:13" ht="31.5" hidden="1" customHeight="1">
      <c r="A32" s="38">
        <v>9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1"/>
        <v>0.91238364360000002</v>
      </c>
      <c r="I32" s="16">
        <f t="shared" si="2"/>
        <v>152.0639406</v>
      </c>
      <c r="J32" s="31"/>
      <c r="K32" s="8"/>
      <c r="L32" s="8"/>
      <c r="M32" s="8"/>
    </row>
    <row r="33" spans="1:14" ht="15.75" hidden="1" customHeight="1">
      <c r="A33" s="38">
        <v>10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1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hidden="1" customHeight="1">
      <c r="A34" s="38">
        <v>10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2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1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1"/>
        <v>1.2147399999999999</v>
      </c>
      <c r="I36" s="16">
        <v>0</v>
      </c>
      <c r="J36" s="32"/>
    </row>
    <row r="37" spans="1:14" ht="15.75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customHeight="1">
      <c r="A38" s="38">
        <v>8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3">SUM(F38*G38/1000)</f>
        <v>4.8977999999999993</v>
      </c>
      <c r="I38" s="16">
        <f t="shared" ref="I38:I43" si="4">F38/6*G38</f>
        <v>816.3</v>
      </c>
      <c r="J38" s="32"/>
    </row>
    <row r="39" spans="1:14" ht="15.75" customHeight="1">
      <c r="A39" s="38">
        <v>9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4"/>
        <v>475.18799999999999</v>
      </c>
      <c r="J39" s="32"/>
      <c r="L39" s="25"/>
      <c r="M39" s="26"/>
      <c r="N39" s="27"/>
    </row>
    <row r="40" spans="1:14" ht="15.75" customHeight="1">
      <c r="A40" s="38">
        <v>10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3"/>
        <v>2.4587445555</v>
      </c>
      <c r="I40" s="16">
        <f t="shared" si="4"/>
        <v>409.79075924999995</v>
      </c>
      <c r="J40" s="32"/>
      <c r="L40" s="25"/>
      <c r="M40" s="26"/>
      <c r="N40" s="27"/>
    </row>
    <row r="41" spans="1:14" ht="47.25" customHeight="1">
      <c r="A41" s="38">
        <v>11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3"/>
        <v>9.1860641039999997</v>
      </c>
      <c r="I41" s="16">
        <f t="shared" si="4"/>
        <v>1531.0106839999999</v>
      </c>
      <c r="J41" s="32"/>
      <c r="L41" s="25"/>
      <c r="M41" s="26"/>
      <c r="N41" s="27"/>
    </row>
    <row r="42" spans="1:14" ht="15.75" customHeight="1">
      <c r="A42" s="38">
        <v>12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3"/>
        <v>0.87247215450000015</v>
      </c>
      <c r="I42" s="16">
        <f t="shared" si="4"/>
        <v>145.41202575000003</v>
      </c>
      <c r="J42" s="32"/>
      <c r="L42" s="25"/>
      <c r="M42" s="26"/>
      <c r="N42" s="27"/>
    </row>
    <row r="43" spans="1:14" ht="15.75" customHeight="1">
      <c r="A43" s="38">
        <v>13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3"/>
        <v>0.39768020000000004</v>
      </c>
      <c r="I43" s="16">
        <f t="shared" si="4"/>
        <v>66.280033333333336</v>
      </c>
      <c r="J43" s="32"/>
      <c r="L43" s="25"/>
      <c r="M43" s="26"/>
      <c r="N43" s="27"/>
    </row>
    <row r="44" spans="1:14" ht="15.75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hidden="1" customHeight="1">
      <c r="A45" s="38"/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5">SUM(F45*G45/1000)</f>
        <v>0.9703194249999999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5"/>
        <v>2.8373799999999998E-2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5"/>
        <v>0.63186269999999989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5"/>
        <v>0.78084119099999993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5"/>
        <v>6.0483632000000002E-2</v>
      </c>
      <c r="I49" s="16">
        <v>0</v>
      </c>
      <c r="J49" s="32"/>
      <c r="L49" s="25"/>
      <c r="M49" s="26"/>
      <c r="N49" s="27"/>
    </row>
    <row r="50" spans="1:22" ht="15.75" customHeight="1">
      <c r="A50" s="38">
        <v>14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5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hidden="1" customHeight="1">
      <c r="A51" s="38"/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5"/>
        <v>2.6053559999999996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5"/>
        <v>0.46279439999999999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5"/>
        <v>0.106443</v>
      </c>
      <c r="I53" s="16">
        <v>0</v>
      </c>
      <c r="J53" s="32"/>
      <c r="L53" s="25"/>
      <c r="M53" s="26"/>
      <c r="N53" s="27"/>
    </row>
    <row r="54" spans="1:22" ht="15.75" customHeight="1">
      <c r="A54" s="38">
        <v>15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5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customHeight="1">
      <c r="A55" s="131" t="s">
        <v>168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customHeight="1">
      <c r="A57" s="38">
        <v>16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customHeight="1">
      <c r="A61" s="38">
        <v>17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6">SUM(F61*G61/1000)</f>
        <v>1.1887000000000001</v>
      </c>
      <c r="I61" s="16">
        <f>G61</f>
        <v>237.74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6"/>
        <v>0.16302</v>
      </c>
      <c r="I62" s="16">
        <v>0</v>
      </c>
    </row>
    <row r="63" spans="1:22" ht="15.75" hidden="1" customHeight="1">
      <c r="A63" s="38"/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6"/>
        <v>9.733826800000001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6"/>
        <v>0.75801012000000001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6"/>
        <v>11.310677999999999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6"/>
        <v>0.19628199999999998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hidden="1" customHeight="1">
      <c r="A67" s="38"/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6"/>
        <v>0.18312600000000001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6"/>
        <v>0.15996000000000002</v>
      </c>
      <c r="I68" s="16">
        <v>0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/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6"/>
        <v>0.10724600000000001</v>
      </c>
      <c r="I70" s="16">
        <v>0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6"/>
        <v>0.91185000000000005</v>
      </c>
      <c r="I71" s="16">
        <v>0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6"/>
        <v>0</v>
      </c>
      <c r="I72" s="16"/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v>0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/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6"/>
        <v>0.294985</v>
      </c>
      <c r="I75" s="16">
        <v>0</v>
      </c>
    </row>
    <row r="76" spans="1:21" ht="15.75" hidden="1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11"/>
    </row>
    <row r="77" spans="1:21" ht="15.75" hidden="1" customHeight="1">
      <c r="A77" s="38"/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v>0</v>
      </c>
    </row>
    <row r="78" spans="1:21" ht="15.75" customHeight="1">
      <c r="A78" s="131" t="s">
        <v>169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18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19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I16+I17+I18+I20+I21+I27+I28+I38+I39+I40+I41+I42+I43+I50+I54+I57+I61+I79+I80</f>
        <v>22622.23325666667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31.5" hidden="1" customHeight="1">
      <c r="A83" s="38"/>
      <c r="B83" s="82" t="s">
        <v>177</v>
      </c>
      <c r="C83" s="83" t="s">
        <v>178</v>
      </c>
      <c r="D83" s="68"/>
      <c r="E83" s="16"/>
      <c r="F83" s="16">
        <v>1</v>
      </c>
      <c r="G83" s="16">
        <v>51.39</v>
      </c>
      <c r="H83" s="120">
        <f t="shared" ref="H83:H90" si="7">G83*F83/1000</f>
        <v>5.1389999999999998E-2</v>
      </c>
      <c r="I83" s="16">
        <v>0</v>
      </c>
    </row>
    <row r="84" spans="1:9" ht="15.75" hidden="1" customHeight="1">
      <c r="A84" s="38"/>
      <c r="B84" s="82" t="s">
        <v>179</v>
      </c>
      <c r="C84" s="83" t="s">
        <v>180</v>
      </c>
      <c r="D84" s="68"/>
      <c r="E84" s="16"/>
      <c r="F84" s="16">
        <v>5</v>
      </c>
      <c r="G84" s="16">
        <v>1501</v>
      </c>
      <c r="H84" s="120">
        <f t="shared" si="7"/>
        <v>7.5049999999999999</v>
      </c>
      <c r="I84" s="16">
        <v>0</v>
      </c>
    </row>
    <row r="85" spans="1:9" ht="15.75" hidden="1" customHeight="1">
      <c r="A85" s="38"/>
      <c r="B85" s="82" t="s">
        <v>181</v>
      </c>
      <c r="C85" s="83" t="s">
        <v>182</v>
      </c>
      <c r="D85" s="68"/>
      <c r="E85" s="16"/>
      <c r="F85" s="16">
        <v>1</v>
      </c>
      <c r="G85" s="16">
        <v>1646</v>
      </c>
      <c r="H85" s="120">
        <f t="shared" si="7"/>
        <v>1.6459999999999999</v>
      </c>
      <c r="I85" s="16">
        <v>0</v>
      </c>
    </row>
    <row r="86" spans="1:9" ht="15.75" hidden="1" customHeight="1">
      <c r="A86" s="38"/>
      <c r="B86" s="82" t="s">
        <v>183</v>
      </c>
      <c r="C86" s="83" t="s">
        <v>117</v>
      </c>
      <c r="D86" s="68"/>
      <c r="E86" s="16"/>
      <c r="F86" s="16">
        <v>1</v>
      </c>
      <c r="G86" s="16">
        <v>182.63</v>
      </c>
      <c r="H86" s="120">
        <f t="shared" si="7"/>
        <v>0.18262999999999999</v>
      </c>
      <c r="I86" s="16">
        <v>0</v>
      </c>
    </row>
    <row r="87" spans="1:9" ht="15.75" hidden="1" customHeight="1">
      <c r="A87" s="38"/>
      <c r="B87" s="82" t="s">
        <v>151</v>
      </c>
      <c r="C87" s="83" t="s">
        <v>97</v>
      </c>
      <c r="D87" s="68"/>
      <c r="E87" s="16"/>
      <c r="F87" s="16">
        <v>2</v>
      </c>
      <c r="G87" s="16">
        <v>185.81</v>
      </c>
      <c r="H87" s="120">
        <f t="shared" si="7"/>
        <v>0.37162000000000001</v>
      </c>
      <c r="I87" s="16">
        <v>0</v>
      </c>
    </row>
    <row r="88" spans="1:9" ht="31.5" hidden="1" customHeight="1">
      <c r="A88" s="38"/>
      <c r="B88" s="82" t="s">
        <v>95</v>
      </c>
      <c r="C88" s="83" t="s">
        <v>39</v>
      </c>
      <c r="D88" s="68"/>
      <c r="E88" s="16"/>
      <c r="F88" s="16">
        <v>0.01</v>
      </c>
      <c r="G88" s="16">
        <v>3397.65</v>
      </c>
      <c r="H88" s="120">
        <f t="shared" si="7"/>
        <v>3.39765E-2</v>
      </c>
      <c r="I88" s="16">
        <v>0</v>
      </c>
    </row>
    <row r="89" spans="1:9" ht="31.5" hidden="1" customHeight="1">
      <c r="A89" s="38"/>
      <c r="B89" s="82" t="s">
        <v>87</v>
      </c>
      <c r="C89" s="83" t="s">
        <v>140</v>
      </c>
      <c r="D89" s="68"/>
      <c r="E89" s="16"/>
      <c r="F89" s="16">
        <v>1</v>
      </c>
      <c r="G89" s="16">
        <v>79.09</v>
      </c>
      <c r="H89" s="120">
        <f t="shared" si="7"/>
        <v>7.9090000000000008E-2</v>
      </c>
      <c r="I89" s="16">
        <v>0</v>
      </c>
    </row>
    <row r="90" spans="1:9" ht="15.75" hidden="1" customHeight="1">
      <c r="A90" s="38"/>
      <c r="B90" s="82" t="s">
        <v>184</v>
      </c>
      <c r="C90" s="83" t="s">
        <v>185</v>
      </c>
      <c r="D90" s="68"/>
      <c r="E90" s="16"/>
      <c r="F90" s="16">
        <v>1</v>
      </c>
      <c r="G90" s="16">
        <v>1072.21</v>
      </c>
      <c r="H90" s="120">
        <f t="shared" si="7"/>
        <v>1.0722100000000001</v>
      </c>
      <c r="I90" s="16">
        <v>0</v>
      </c>
    </row>
    <row r="91" spans="1:9">
      <c r="A91" s="38"/>
      <c r="B91" s="62" t="s">
        <v>52</v>
      </c>
      <c r="C91" s="58"/>
      <c r="D91" s="71"/>
      <c r="E91" s="58">
        <v>1</v>
      </c>
      <c r="F91" s="58"/>
      <c r="G91" s="58"/>
      <c r="H91" s="58"/>
      <c r="I91" s="40">
        <f>SUM(I83:I90)</f>
        <v>0</v>
      </c>
    </row>
    <row r="92" spans="1:9" ht="16.5" customHeight="1">
      <c r="A92" s="38"/>
      <c r="B92" s="68" t="s">
        <v>85</v>
      </c>
      <c r="C92" s="19"/>
      <c r="D92" s="19"/>
      <c r="E92" s="59"/>
      <c r="F92" s="59"/>
      <c r="G92" s="60"/>
      <c r="H92" s="60"/>
      <c r="I92" s="22">
        <v>0</v>
      </c>
    </row>
    <row r="93" spans="1:9" ht="16.5" customHeight="1">
      <c r="A93" s="72"/>
      <c r="B93" s="63" t="s">
        <v>53</v>
      </c>
      <c r="C93" s="46"/>
      <c r="D93" s="46"/>
      <c r="E93" s="46"/>
      <c r="F93" s="46"/>
      <c r="G93" s="46"/>
      <c r="H93" s="46"/>
      <c r="I93" s="61">
        <f>I81+I91</f>
        <v>22622.23325666667</v>
      </c>
    </row>
    <row r="94" spans="1:9" ht="15.75" customHeight="1">
      <c r="A94" s="143" t="s">
        <v>187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 customHeight="1">
      <c r="A95" s="98"/>
      <c r="B95" s="144" t="s">
        <v>188</v>
      </c>
      <c r="C95" s="144"/>
      <c r="D95" s="144"/>
      <c r="E95" s="144"/>
      <c r="F95" s="144"/>
      <c r="G95" s="144"/>
      <c r="H95" s="104"/>
      <c r="I95" s="3"/>
    </row>
    <row r="96" spans="1:9">
      <c r="A96" s="97"/>
      <c r="B96" s="141" t="s">
        <v>6</v>
      </c>
      <c r="C96" s="141"/>
      <c r="D96" s="141"/>
      <c r="E96" s="141"/>
      <c r="F96" s="141"/>
      <c r="G96" s="141"/>
      <c r="H96" s="33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7" t="s">
        <v>7</v>
      </c>
      <c r="B98" s="137"/>
      <c r="C98" s="137"/>
      <c r="D98" s="137"/>
      <c r="E98" s="137"/>
      <c r="F98" s="137"/>
      <c r="G98" s="137"/>
      <c r="H98" s="137"/>
      <c r="I98" s="137"/>
    </row>
    <row r="99" spans="1:9" ht="15.75">
      <c r="A99" s="137" t="s">
        <v>8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>
      <c r="A100" s="138" t="s">
        <v>64</v>
      </c>
      <c r="B100" s="138"/>
      <c r="C100" s="138"/>
      <c r="D100" s="138"/>
      <c r="E100" s="138"/>
      <c r="F100" s="138"/>
      <c r="G100" s="138"/>
      <c r="H100" s="138"/>
      <c r="I100" s="138"/>
    </row>
    <row r="101" spans="1:9" ht="15.75">
      <c r="A101" s="11"/>
    </row>
    <row r="102" spans="1:9" ht="15.75">
      <c r="A102" s="139" t="s">
        <v>9</v>
      </c>
      <c r="B102" s="139"/>
      <c r="C102" s="139"/>
      <c r="D102" s="139"/>
      <c r="E102" s="139"/>
      <c r="F102" s="139"/>
      <c r="G102" s="139"/>
      <c r="H102" s="139"/>
      <c r="I102" s="139"/>
    </row>
    <row r="103" spans="1:9" ht="15.75">
      <c r="A103" s="4"/>
    </row>
    <row r="104" spans="1:9" ht="15.75">
      <c r="B104" s="94" t="s">
        <v>10</v>
      </c>
      <c r="C104" s="140" t="s">
        <v>165</v>
      </c>
      <c r="D104" s="140"/>
      <c r="E104" s="140"/>
      <c r="F104" s="102"/>
      <c r="I104" s="96"/>
    </row>
    <row r="105" spans="1:9">
      <c r="A105" s="97"/>
      <c r="C105" s="141" t="s">
        <v>11</v>
      </c>
      <c r="D105" s="141"/>
      <c r="E105" s="141"/>
      <c r="F105" s="33"/>
      <c r="I105" s="95" t="s">
        <v>12</v>
      </c>
    </row>
    <row r="106" spans="1:9" ht="15.75">
      <c r="A106" s="34"/>
      <c r="C106" s="12"/>
      <c r="D106" s="12"/>
      <c r="G106" s="12"/>
      <c r="H106" s="12"/>
    </row>
    <row r="107" spans="1:9" ht="15.75">
      <c r="B107" s="94" t="s">
        <v>13</v>
      </c>
      <c r="C107" s="142"/>
      <c r="D107" s="142"/>
      <c r="E107" s="142"/>
      <c r="F107" s="103"/>
      <c r="I107" s="96"/>
    </row>
    <row r="108" spans="1:9">
      <c r="A108" s="97"/>
      <c r="C108" s="134" t="s">
        <v>11</v>
      </c>
      <c r="D108" s="134"/>
      <c r="E108" s="134"/>
      <c r="F108" s="97"/>
      <c r="I108" s="95" t="s">
        <v>12</v>
      </c>
    </row>
    <row r="109" spans="1:9" ht="15.75">
      <c r="A109" s="4" t="s">
        <v>14</v>
      </c>
    </row>
    <row r="110" spans="1:9">
      <c r="A110" s="135" t="s">
        <v>15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45" customHeight="1">
      <c r="A111" s="136" t="s">
        <v>16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30" customHeight="1">
      <c r="A112" s="136" t="s">
        <v>17</v>
      </c>
      <c r="B112" s="136"/>
      <c r="C112" s="136"/>
      <c r="D112" s="136"/>
      <c r="E112" s="136"/>
      <c r="F112" s="136"/>
      <c r="G112" s="136"/>
      <c r="H112" s="136"/>
      <c r="I112" s="136"/>
    </row>
    <row r="113" spans="1:9" ht="30" customHeight="1">
      <c r="A113" s="136" t="s">
        <v>21</v>
      </c>
      <c r="B113" s="136"/>
      <c r="C113" s="136"/>
      <c r="D113" s="136"/>
      <c r="E113" s="136"/>
      <c r="F113" s="136"/>
      <c r="G113" s="136"/>
      <c r="H113" s="136"/>
      <c r="I113" s="136"/>
    </row>
    <row r="114" spans="1:9" ht="14.25" customHeight="1">
      <c r="A114" s="136" t="s">
        <v>20</v>
      </c>
      <c r="B114" s="136"/>
      <c r="C114" s="136"/>
      <c r="D114" s="136"/>
      <c r="E114" s="136"/>
      <c r="F114" s="136"/>
      <c r="G114" s="136"/>
      <c r="H114" s="136"/>
      <c r="I114" s="136"/>
    </row>
  </sheetData>
  <autoFilter ref="I12:I61"/>
  <mergeCells count="28">
    <mergeCell ref="A15:I15"/>
    <mergeCell ref="A3:I3"/>
    <mergeCell ref="A4:I4"/>
    <mergeCell ref="A5:I5"/>
    <mergeCell ref="A8:I8"/>
    <mergeCell ref="A10:I10"/>
    <mergeCell ref="A14:I14"/>
    <mergeCell ref="R66:U66"/>
    <mergeCell ref="A94:I94"/>
    <mergeCell ref="B95:G95"/>
    <mergeCell ref="B96:G96"/>
    <mergeCell ref="A98:I98"/>
    <mergeCell ref="A78:I78"/>
    <mergeCell ref="A111:I111"/>
    <mergeCell ref="A112:I112"/>
    <mergeCell ref="A113:I113"/>
    <mergeCell ref="A114:I114"/>
    <mergeCell ref="A99:I99"/>
    <mergeCell ref="A100:I100"/>
    <mergeCell ref="A102:I102"/>
    <mergeCell ref="C104:E104"/>
    <mergeCell ref="C105:E105"/>
    <mergeCell ref="C107:E107"/>
    <mergeCell ref="A29:I29"/>
    <mergeCell ref="A44:I44"/>
    <mergeCell ref="A55:I55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216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66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42674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hidden="1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hidden="1" customHeight="1">
      <c r="A21" s="38">
        <v>5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hidden="1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v>0</v>
      </c>
      <c r="J22" s="31"/>
      <c r="K22" s="8"/>
      <c r="L22" s="8"/>
      <c r="M22" s="8"/>
    </row>
    <row r="23" spans="1:13" ht="15.75" hidden="1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v>0</v>
      </c>
      <c r="J23" s="31"/>
      <c r="K23" s="8"/>
      <c r="L23" s="8"/>
      <c r="M23" s="8"/>
    </row>
    <row r="24" spans="1:13" ht="15.75" hidden="1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v>0</v>
      </c>
      <c r="J24" s="31"/>
      <c r="K24" s="8"/>
      <c r="L24" s="8"/>
      <c r="M24" s="8"/>
    </row>
    <row r="25" spans="1:13" ht="15.75" hidden="1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v>0</v>
      </c>
      <c r="J25" s="31"/>
      <c r="K25" s="8"/>
      <c r="L25" s="8"/>
      <c r="M25" s="8"/>
    </row>
    <row r="26" spans="1:13" ht="15.75" hidden="1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6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customHeight="1">
      <c r="A31" s="38">
        <v>7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1">SUM(F31*G31/1000)</f>
        <v>2.0347501356</v>
      </c>
      <c r="I31" s="16">
        <f t="shared" ref="I31:I34" si="2">F31/6*G31</f>
        <v>339.12502259999997</v>
      </c>
      <c r="J31" s="31"/>
      <c r="K31" s="8"/>
      <c r="L31" s="8"/>
      <c r="M31" s="8"/>
    </row>
    <row r="32" spans="1:13" ht="31.5" customHeight="1">
      <c r="A32" s="38">
        <v>8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1"/>
        <v>0.91238364360000002</v>
      </c>
      <c r="I32" s="16">
        <f t="shared" si="2"/>
        <v>152.0639406</v>
      </c>
      <c r="J32" s="31"/>
      <c r="K32" s="8"/>
      <c r="L32" s="8"/>
      <c r="M32" s="8"/>
    </row>
    <row r="33" spans="1:14" ht="15.75" hidden="1" customHeight="1">
      <c r="A33" s="38">
        <v>10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1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customHeight="1">
      <c r="A34" s="38">
        <v>9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2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1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1"/>
        <v>1.2147399999999999</v>
      </c>
      <c r="I36" s="16">
        <v>0</v>
      </c>
      <c r="J36" s="32"/>
    </row>
    <row r="37" spans="1:14" ht="15.75" hidden="1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hidden="1" customHeight="1">
      <c r="A38" s="38">
        <v>8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3">SUM(F38*G38/1000)</f>
        <v>4.8977999999999993</v>
      </c>
      <c r="I38" s="16">
        <f t="shared" ref="I38:I43" si="4">F38/6*G38</f>
        <v>816.3</v>
      </c>
      <c r="J38" s="32"/>
    </row>
    <row r="39" spans="1:14" ht="15.75" hidden="1" customHeight="1">
      <c r="A39" s="38">
        <v>9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4"/>
        <v>475.18799999999999</v>
      </c>
      <c r="J39" s="32"/>
      <c r="L39" s="25"/>
      <c r="M39" s="26"/>
      <c r="N39" s="27"/>
    </row>
    <row r="40" spans="1:14" ht="15.75" hidden="1" customHeight="1">
      <c r="A40" s="38">
        <v>10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3"/>
        <v>2.4587445555</v>
      </c>
      <c r="I40" s="16">
        <f t="shared" si="4"/>
        <v>409.79075924999995</v>
      </c>
      <c r="J40" s="32"/>
      <c r="L40" s="25"/>
      <c r="M40" s="26"/>
      <c r="N40" s="27"/>
    </row>
    <row r="41" spans="1:14" ht="47.25" hidden="1" customHeight="1">
      <c r="A41" s="38">
        <v>11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3"/>
        <v>9.1860641039999997</v>
      </c>
      <c r="I41" s="16">
        <f t="shared" si="4"/>
        <v>1531.0106839999999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3"/>
        <v>0.87247215450000015</v>
      </c>
      <c r="I42" s="16">
        <f t="shared" si="4"/>
        <v>145.41202575000003</v>
      </c>
      <c r="J42" s="32"/>
      <c r="L42" s="25"/>
      <c r="M42" s="26"/>
      <c r="N42" s="27"/>
    </row>
    <row r="43" spans="1:14" ht="15.75" hidden="1" customHeight="1">
      <c r="A43" s="38">
        <v>13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3"/>
        <v>0.39768020000000004</v>
      </c>
      <c r="I43" s="16">
        <f t="shared" si="4"/>
        <v>66.280033333333336</v>
      </c>
      <c r="J43" s="32"/>
      <c r="L43" s="25"/>
      <c r="M43" s="26"/>
      <c r="N43" s="27"/>
    </row>
    <row r="44" spans="1:14" ht="15.75" hidden="1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hidden="1" customHeight="1">
      <c r="A45" s="38"/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5">SUM(F45*G45/1000)</f>
        <v>0.9703194249999999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5"/>
        <v>2.8373799999999998E-2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5"/>
        <v>0.63186269999999989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5"/>
        <v>0.78084119099999993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5"/>
        <v>6.0483632000000002E-2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10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5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hidden="1" customHeight="1">
      <c r="A51" s="38"/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5"/>
        <v>2.6053559999999996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5"/>
        <v>0.46279439999999999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5"/>
        <v>0.106443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11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5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customHeight="1">
      <c r="A55" s="131" t="s">
        <v>193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hidden="1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customHeight="1">
      <c r="A61" s="38">
        <v>10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6">SUM(F61*G61/1000)</f>
        <v>1.1887000000000001</v>
      </c>
      <c r="I61" s="16">
        <f>G61</f>
        <v>237.74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6"/>
        <v>0.16302</v>
      </c>
      <c r="I62" s="16">
        <v>0</v>
      </c>
    </row>
    <row r="63" spans="1:22" ht="15.75" hidden="1" customHeight="1">
      <c r="A63" s="38"/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6"/>
        <v>9.733826800000001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6"/>
        <v>0.75801012000000001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6"/>
        <v>11.310677999999999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6"/>
        <v>0.19628199999999998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hidden="1" customHeight="1">
      <c r="A67" s="38"/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6"/>
        <v>0.18312600000000001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6"/>
        <v>0.15996000000000002</v>
      </c>
      <c r="I68" s="16">
        <v>0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/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6"/>
        <v>0.10724600000000001</v>
      </c>
      <c r="I70" s="16">
        <v>0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6"/>
        <v>0.91185000000000005</v>
      </c>
      <c r="I71" s="16">
        <v>0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6"/>
        <v>0</v>
      </c>
      <c r="I72" s="16"/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v>0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/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6"/>
        <v>0.294985</v>
      </c>
      <c r="I75" s="16">
        <v>0</v>
      </c>
    </row>
    <row r="76" spans="1:21" ht="15.75" hidden="1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11"/>
    </row>
    <row r="77" spans="1:21" ht="15.75" hidden="1" customHeight="1">
      <c r="A77" s="38"/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v>0</v>
      </c>
    </row>
    <row r="78" spans="1:21" ht="15.75" customHeight="1">
      <c r="A78" s="131" t="s">
        <v>194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11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12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I16+I17+I18+I20+I27+I28+I31+I32+I34+I61+I79+I80</f>
        <v>15544.17409364444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31.5" customHeight="1">
      <c r="A83" s="38">
        <v>13</v>
      </c>
      <c r="B83" s="82" t="s">
        <v>87</v>
      </c>
      <c r="C83" s="83" t="s">
        <v>140</v>
      </c>
      <c r="D83" s="68"/>
      <c r="E83" s="16"/>
      <c r="F83" s="16">
        <v>1</v>
      </c>
      <c r="G83" s="16">
        <v>79.09</v>
      </c>
      <c r="H83" s="120">
        <f t="shared" ref="H83:H84" si="7">G83*F83/1000</f>
        <v>7.9090000000000008E-2</v>
      </c>
      <c r="I83" s="16">
        <f>G83</f>
        <v>79.09</v>
      </c>
    </row>
    <row r="84" spans="1:9" ht="15.75" customHeight="1">
      <c r="A84" s="38">
        <v>14</v>
      </c>
      <c r="B84" s="82" t="s">
        <v>184</v>
      </c>
      <c r="C84" s="83" t="s">
        <v>185</v>
      </c>
      <c r="D84" s="68"/>
      <c r="E84" s="16"/>
      <c r="F84" s="16">
        <v>1</v>
      </c>
      <c r="G84" s="16">
        <v>1072.21</v>
      </c>
      <c r="H84" s="120">
        <f t="shared" si="7"/>
        <v>1.0722100000000001</v>
      </c>
      <c r="I84" s="16">
        <f>G84</f>
        <v>1072.21</v>
      </c>
    </row>
    <row r="85" spans="1:9">
      <c r="A85" s="38"/>
      <c r="B85" s="62" t="s">
        <v>52</v>
      </c>
      <c r="C85" s="58"/>
      <c r="D85" s="71"/>
      <c r="E85" s="58">
        <v>1</v>
      </c>
      <c r="F85" s="58"/>
      <c r="G85" s="58"/>
      <c r="H85" s="58"/>
      <c r="I85" s="40">
        <f>SUM(I83:I84)</f>
        <v>1151.3</v>
      </c>
    </row>
    <row r="86" spans="1:9" ht="16.5" customHeight="1">
      <c r="A86" s="38"/>
      <c r="B86" s="68" t="s">
        <v>85</v>
      </c>
      <c r="C86" s="19"/>
      <c r="D86" s="19"/>
      <c r="E86" s="59"/>
      <c r="F86" s="59"/>
      <c r="G86" s="60"/>
      <c r="H86" s="60"/>
      <c r="I86" s="22">
        <v>0</v>
      </c>
    </row>
    <row r="87" spans="1:9" ht="16.5" customHeight="1">
      <c r="A87" s="72"/>
      <c r="B87" s="63" t="s">
        <v>53</v>
      </c>
      <c r="C87" s="46"/>
      <c r="D87" s="46"/>
      <c r="E87" s="46"/>
      <c r="F87" s="46"/>
      <c r="G87" s="46"/>
      <c r="H87" s="46"/>
      <c r="I87" s="61">
        <f>I81+I85</f>
        <v>16695.47409364444</v>
      </c>
    </row>
    <row r="88" spans="1:9" ht="15.75" customHeight="1">
      <c r="A88" s="143" t="s">
        <v>217</v>
      </c>
      <c r="B88" s="143"/>
      <c r="C88" s="143"/>
      <c r="D88" s="143"/>
      <c r="E88" s="143"/>
      <c r="F88" s="143"/>
      <c r="G88" s="143"/>
      <c r="H88" s="143"/>
      <c r="I88" s="143"/>
    </row>
    <row r="89" spans="1:9" ht="15.75" customHeight="1">
      <c r="A89" s="98"/>
      <c r="B89" s="144" t="s">
        <v>218</v>
      </c>
      <c r="C89" s="144"/>
      <c r="D89" s="144"/>
      <c r="E89" s="144"/>
      <c r="F89" s="144"/>
      <c r="G89" s="144"/>
      <c r="H89" s="104"/>
      <c r="I89" s="3"/>
    </row>
    <row r="90" spans="1:9">
      <c r="A90" s="97"/>
      <c r="B90" s="141" t="s">
        <v>6</v>
      </c>
      <c r="C90" s="141"/>
      <c r="D90" s="141"/>
      <c r="E90" s="141"/>
      <c r="F90" s="141"/>
      <c r="G90" s="141"/>
      <c r="H90" s="33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37" t="s">
        <v>7</v>
      </c>
      <c r="B92" s="137"/>
      <c r="C92" s="137"/>
      <c r="D92" s="137"/>
      <c r="E92" s="137"/>
      <c r="F92" s="137"/>
      <c r="G92" s="137"/>
      <c r="H92" s="137"/>
      <c r="I92" s="137"/>
    </row>
    <row r="93" spans="1:9" ht="15.75">
      <c r="A93" s="137" t="s">
        <v>8</v>
      </c>
      <c r="B93" s="137"/>
      <c r="C93" s="137"/>
      <c r="D93" s="137"/>
      <c r="E93" s="137"/>
      <c r="F93" s="137"/>
      <c r="G93" s="137"/>
      <c r="H93" s="137"/>
      <c r="I93" s="137"/>
    </row>
    <row r="94" spans="1:9" ht="15.75">
      <c r="A94" s="138" t="s">
        <v>64</v>
      </c>
      <c r="B94" s="138"/>
      <c r="C94" s="138"/>
      <c r="D94" s="138"/>
      <c r="E94" s="138"/>
      <c r="F94" s="138"/>
      <c r="G94" s="138"/>
      <c r="H94" s="138"/>
      <c r="I94" s="138"/>
    </row>
    <row r="95" spans="1:9" ht="15.75">
      <c r="A95" s="11"/>
    </row>
    <row r="96" spans="1:9" ht="15.75">
      <c r="A96" s="139" t="s">
        <v>9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>
      <c r="A97" s="4"/>
    </row>
    <row r="98" spans="1:9" ht="15.75">
      <c r="B98" s="94" t="s">
        <v>10</v>
      </c>
      <c r="C98" s="140" t="s">
        <v>165</v>
      </c>
      <c r="D98" s="140"/>
      <c r="E98" s="140"/>
      <c r="F98" s="102"/>
      <c r="I98" s="96"/>
    </row>
    <row r="99" spans="1:9">
      <c r="A99" s="97"/>
      <c r="C99" s="141" t="s">
        <v>11</v>
      </c>
      <c r="D99" s="141"/>
      <c r="E99" s="141"/>
      <c r="F99" s="33"/>
      <c r="I99" s="95" t="s">
        <v>12</v>
      </c>
    </row>
    <row r="100" spans="1:9" ht="15.75">
      <c r="A100" s="34"/>
      <c r="C100" s="12"/>
      <c r="D100" s="12"/>
      <c r="G100" s="12"/>
      <c r="H100" s="12"/>
    </row>
    <row r="101" spans="1:9" ht="15.75">
      <c r="B101" s="94" t="s">
        <v>13</v>
      </c>
      <c r="C101" s="142"/>
      <c r="D101" s="142"/>
      <c r="E101" s="142"/>
      <c r="F101" s="103"/>
      <c r="I101" s="96"/>
    </row>
    <row r="102" spans="1:9">
      <c r="A102" s="97"/>
      <c r="C102" s="134" t="s">
        <v>11</v>
      </c>
      <c r="D102" s="134"/>
      <c r="E102" s="134"/>
      <c r="F102" s="97"/>
      <c r="I102" s="95" t="s">
        <v>12</v>
      </c>
    </row>
    <row r="103" spans="1:9" ht="15.75">
      <c r="A103" s="4" t="s">
        <v>14</v>
      </c>
    </row>
    <row r="104" spans="1:9">
      <c r="A104" s="135" t="s">
        <v>15</v>
      </c>
      <c r="B104" s="135"/>
      <c r="C104" s="135"/>
      <c r="D104" s="135"/>
      <c r="E104" s="135"/>
      <c r="F104" s="135"/>
      <c r="G104" s="135"/>
      <c r="H104" s="135"/>
      <c r="I104" s="135"/>
    </row>
    <row r="105" spans="1:9" ht="45" customHeight="1">
      <c r="A105" s="136" t="s">
        <v>16</v>
      </c>
      <c r="B105" s="136"/>
      <c r="C105" s="136"/>
      <c r="D105" s="136"/>
      <c r="E105" s="136"/>
      <c r="F105" s="136"/>
      <c r="G105" s="136"/>
      <c r="H105" s="136"/>
      <c r="I105" s="136"/>
    </row>
    <row r="106" spans="1:9" ht="30" customHeight="1">
      <c r="A106" s="136" t="s">
        <v>17</v>
      </c>
      <c r="B106" s="136"/>
      <c r="C106" s="136"/>
      <c r="D106" s="136"/>
      <c r="E106" s="136"/>
      <c r="F106" s="136"/>
      <c r="G106" s="136"/>
      <c r="H106" s="136"/>
      <c r="I106" s="136"/>
    </row>
    <row r="107" spans="1:9" ht="30" customHeight="1">
      <c r="A107" s="136" t="s">
        <v>21</v>
      </c>
      <c r="B107" s="136"/>
      <c r="C107" s="136"/>
      <c r="D107" s="136"/>
      <c r="E107" s="136"/>
      <c r="F107" s="136"/>
      <c r="G107" s="136"/>
      <c r="H107" s="136"/>
      <c r="I107" s="136"/>
    </row>
    <row r="108" spans="1:9" ht="14.25" customHeight="1">
      <c r="A108" s="136" t="s">
        <v>20</v>
      </c>
      <c r="B108" s="136"/>
      <c r="C108" s="136"/>
      <c r="D108" s="136"/>
      <c r="E108" s="136"/>
      <c r="F108" s="136"/>
      <c r="G108" s="136"/>
      <c r="H108" s="136"/>
      <c r="I108" s="136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94:I94"/>
    <mergeCell ref="A15:I15"/>
    <mergeCell ref="A29:I29"/>
    <mergeCell ref="A44:I44"/>
    <mergeCell ref="A55:I55"/>
    <mergeCell ref="A88:I88"/>
    <mergeCell ref="B89:G89"/>
    <mergeCell ref="B90:G90"/>
    <mergeCell ref="A92:I92"/>
    <mergeCell ref="A93:I93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109"/>
  <sheetViews>
    <sheetView workbookViewId="0">
      <selection activeCell="A10" sqref="A10:G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7" width="22.5703125" customWidth="1"/>
  </cols>
  <sheetData>
    <row r="1" spans="1:9" ht="15.75">
      <c r="A1" s="36" t="s">
        <v>100</v>
      </c>
      <c r="G1" s="35"/>
    </row>
    <row r="2" spans="1:9" ht="15.75">
      <c r="A2" s="37" t="s">
        <v>67</v>
      </c>
    </row>
    <row r="3" spans="1:9" ht="15.75">
      <c r="A3" s="146" t="s">
        <v>101</v>
      </c>
      <c r="B3" s="146"/>
      <c r="C3" s="146"/>
      <c r="D3" s="146"/>
      <c r="E3" s="146"/>
      <c r="F3" s="146"/>
      <c r="G3" s="146"/>
    </row>
    <row r="4" spans="1:9" ht="31.5" customHeight="1">
      <c r="A4" s="147" t="s">
        <v>162</v>
      </c>
      <c r="B4" s="147"/>
      <c r="C4" s="147"/>
      <c r="D4" s="147"/>
      <c r="E4" s="147"/>
      <c r="F4" s="147"/>
      <c r="G4" s="147"/>
    </row>
    <row r="5" spans="1:9" ht="15.75">
      <c r="A5" s="146" t="s">
        <v>102</v>
      </c>
      <c r="B5" s="148"/>
      <c r="C5" s="148"/>
      <c r="D5" s="148"/>
      <c r="E5" s="148"/>
      <c r="F5" s="148"/>
      <c r="G5" s="148"/>
    </row>
    <row r="6" spans="1:9" ht="15.75">
      <c r="A6" s="2"/>
      <c r="B6" s="77"/>
      <c r="C6" s="77"/>
      <c r="D6" s="77"/>
      <c r="E6" s="77"/>
      <c r="F6" s="77"/>
      <c r="G6" s="39">
        <v>42704</v>
      </c>
    </row>
    <row r="7" spans="1:9" ht="15.75">
      <c r="B7" s="73"/>
      <c r="C7" s="73"/>
      <c r="D7" s="73"/>
      <c r="E7" s="3"/>
      <c r="F7" s="3"/>
    </row>
    <row r="8" spans="1:9" ht="78.75" customHeight="1">
      <c r="A8" s="149" t="s">
        <v>219</v>
      </c>
      <c r="B8" s="149"/>
      <c r="C8" s="149"/>
      <c r="D8" s="149"/>
      <c r="E8" s="149"/>
      <c r="F8" s="149"/>
      <c r="G8" s="149"/>
      <c r="H8" s="99"/>
      <c r="I8" s="99"/>
    </row>
    <row r="9" spans="1:9" ht="15.75">
      <c r="A9" s="4"/>
    </row>
    <row r="10" spans="1:9" ht="47.25" customHeight="1">
      <c r="A10" s="150" t="s">
        <v>220</v>
      </c>
      <c r="B10" s="150"/>
      <c r="C10" s="150"/>
      <c r="D10" s="150"/>
      <c r="E10" s="150"/>
      <c r="F10" s="150"/>
      <c r="G10" s="150"/>
      <c r="H10" s="100"/>
      <c r="I10" s="100"/>
    </row>
    <row r="11" spans="1:9" ht="15.75">
      <c r="A11" s="4"/>
    </row>
    <row r="12" spans="1:9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</row>
    <row r="14" spans="1:9">
      <c r="A14" s="151" t="s">
        <v>62</v>
      </c>
      <c r="B14" s="151"/>
      <c r="C14" s="151"/>
      <c r="D14" s="151"/>
      <c r="E14" s="151"/>
      <c r="F14" s="151"/>
      <c r="G14" s="151"/>
    </row>
    <row r="15" spans="1:9">
      <c r="A15" s="145" t="s">
        <v>4</v>
      </c>
      <c r="B15" s="145"/>
      <c r="C15" s="145"/>
      <c r="D15" s="145"/>
      <c r="E15" s="145"/>
      <c r="F15" s="145"/>
      <c r="G15" s="145"/>
    </row>
    <row r="16" spans="1:9" ht="31.5" customHeight="1">
      <c r="A16" s="38">
        <v>1</v>
      </c>
      <c r="B16" s="42" t="s">
        <v>103</v>
      </c>
      <c r="C16" s="56" t="s">
        <v>104</v>
      </c>
      <c r="D16" s="42" t="s">
        <v>105</v>
      </c>
      <c r="E16" s="38"/>
      <c r="F16" s="41">
        <v>187.48</v>
      </c>
      <c r="G16" s="38">
        <v>916.4</v>
      </c>
    </row>
    <row r="17" spans="1:7" ht="31.5" customHeight="1">
      <c r="A17" s="38">
        <v>2</v>
      </c>
      <c r="B17" s="42" t="s">
        <v>106</v>
      </c>
      <c r="C17" s="56" t="s">
        <v>104</v>
      </c>
      <c r="D17" s="42" t="s">
        <v>107</v>
      </c>
      <c r="E17" s="38"/>
      <c r="F17" s="41">
        <v>187.48</v>
      </c>
      <c r="G17" s="38">
        <v>1221.8699999999999</v>
      </c>
    </row>
    <row r="18" spans="1:7" ht="31.5" customHeight="1">
      <c r="A18" s="38">
        <v>3</v>
      </c>
      <c r="B18" s="42" t="s">
        <v>108</v>
      </c>
      <c r="C18" s="56" t="s">
        <v>104</v>
      </c>
      <c r="D18" s="42" t="s">
        <v>109</v>
      </c>
      <c r="E18" s="38"/>
      <c r="F18" s="41">
        <v>539.30999999999995</v>
      </c>
      <c r="G18" s="38">
        <v>1216.68</v>
      </c>
    </row>
    <row r="19" spans="1:7" ht="15.75" hidden="1" customHeight="1">
      <c r="A19" s="38"/>
      <c r="B19" s="42" t="s">
        <v>118</v>
      </c>
      <c r="C19" s="56" t="s">
        <v>119</v>
      </c>
      <c r="D19" s="42" t="s">
        <v>120</v>
      </c>
      <c r="E19" s="38"/>
      <c r="F19" s="41">
        <v>160.22999999999999</v>
      </c>
      <c r="G19" s="38"/>
    </row>
    <row r="20" spans="1:7" ht="15.75" customHeight="1">
      <c r="A20" s="38">
        <v>4</v>
      </c>
      <c r="B20" s="42" t="s">
        <v>121</v>
      </c>
      <c r="C20" s="56" t="s">
        <v>104</v>
      </c>
      <c r="D20" s="42" t="s">
        <v>30</v>
      </c>
      <c r="E20" s="38"/>
      <c r="F20" s="41">
        <v>205.16</v>
      </c>
      <c r="G20" s="38">
        <v>17.97</v>
      </c>
    </row>
    <row r="21" spans="1:7" ht="15.75" customHeight="1">
      <c r="A21" s="38">
        <v>5</v>
      </c>
      <c r="B21" s="42" t="s">
        <v>122</v>
      </c>
      <c r="C21" s="56" t="s">
        <v>104</v>
      </c>
      <c r="D21" s="42" t="s">
        <v>123</v>
      </c>
      <c r="E21" s="38"/>
      <c r="F21" s="41">
        <v>203.5</v>
      </c>
      <c r="G21" s="87">
        <v>2.2000000000000002</v>
      </c>
    </row>
    <row r="22" spans="1:7" ht="15.75" hidden="1" customHeight="1">
      <c r="A22" s="38"/>
      <c r="B22" s="42" t="s">
        <v>124</v>
      </c>
      <c r="C22" s="56" t="s">
        <v>54</v>
      </c>
      <c r="D22" s="42" t="s">
        <v>120</v>
      </c>
      <c r="E22" s="38"/>
      <c r="F22" s="41">
        <v>253.54</v>
      </c>
      <c r="G22" s="38"/>
    </row>
    <row r="23" spans="1:7" ht="15.75" hidden="1" customHeight="1">
      <c r="A23" s="38"/>
      <c r="B23" s="42" t="s">
        <v>125</v>
      </c>
      <c r="C23" s="56" t="s">
        <v>54</v>
      </c>
      <c r="D23" s="42" t="s">
        <v>120</v>
      </c>
      <c r="E23" s="38"/>
      <c r="F23" s="41">
        <v>41.7</v>
      </c>
      <c r="G23" s="38"/>
    </row>
    <row r="24" spans="1:7" ht="15.75" hidden="1" customHeight="1">
      <c r="A24" s="38"/>
      <c r="B24" s="42" t="s">
        <v>126</v>
      </c>
      <c r="C24" s="56" t="s">
        <v>54</v>
      </c>
      <c r="D24" s="42" t="s">
        <v>127</v>
      </c>
      <c r="E24" s="38"/>
      <c r="F24" s="41">
        <v>366.97</v>
      </c>
      <c r="G24" s="38"/>
    </row>
    <row r="25" spans="1:7" ht="15.75" hidden="1" customHeight="1">
      <c r="A25" s="38"/>
      <c r="B25" s="42" t="s">
        <v>128</v>
      </c>
      <c r="C25" s="56" t="s">
        <v>54</v>
      </c>
      <c r="D25" s="42" t="s">
        <v>55</v>
      </c>
      <c r="E25" s="38"/>
      <c r="F25" s="41">
        <v>203.5</v>
      </c>
      <c r="G25" s="38"/>
    </row>
    <row r="26" spans="1:7" ht="15.75" hidden="1" customHeight="1">
      <c r="A26" s="38"/>
      <c r="B26" s="42" t="s">
        <v>129</v>
      </c>
      <c r="C26" s="56" t="s">
        <v>54</v>
      </c>
      <c r="D26" s="42" t="s">
        <v>120</v>
      </c>
      <c r="E26" s="38"/>
      <c r="F26" s="41">
        <v>408.4</v>
      </c>
      <c r="G26" s="38"/>
    </row>
    <row r="27" spans="1:7" ht="15.75" customHeight="1">
      <c r="A27" s="57">
        <v>6</v>
      </c>
      <c r="B27" s="51" t="s">
        <v>69</v>
      </c>
      <c r="C27" s="52" t="s">
        <v>33</v>
      </c>
      <c r="D27" s="51" t="s">
        <v>25</v>
      </c>
      <c r="E27" s="22">
        <v>506.1</v>
      </c>
      <c r="F27" s="41">
        <v>138.44999999999999</v>
      </c>
      <c r="G27" s="23">
        <v>421.12</v>
      </c>
    </row>
    <row r="28" spans="1:7" ht="15.75" customHeight="1">
      <c r="A28" s="57">
        <v>7</v>
      </c>
      <c r="B28" s="13" t="s">
        <v>23</v>
      </c>
      <c r="C28" s="14" t="s">
        <v>24</v>
      </c>
      <c r="D28" s="38"/>
      <c r="E28" s="22">
        <v>506.1</v>
      </c>
      <c r="F28" s="41">
        <v>6.15</v>
      </c>
      <c r="G28" s="23">
        <v>6411.99</v>
      </c>
    </row>
    <row r="29" spans="1:7" ht="15.75" customHeight="1">
      <c r="A29" s="145" t="s">
        <v>99</v>
      </c>
      <c r="B29" s="145"/>
      <c r="C29" s="145"/>
      <c r="D29" s="145"/>
      <c r="E29" s="145"/>
      <c r="F29" s="145"/>
      <c r="G29" s="145"/>
    </row>
    <row r="30" spans="1:7" ht="15.75" hidden="1" customHeight="1">
      <c r="A30" s="57"/>
      <c r="B30" s="67" t="s">
        <v>28</v>
      </c>
      <c r="C30" s="67"/>
      <c r="D30" s="67"/>
      <c r="E30" s="67"/>
      <c r="F30" s="67"/>
      <c r="G30" s="23"/>
    </row>
    <row r="31" spans="1:7" ht="31.5" hidden="1" customHeight="1">
      <c r="A31" s="57">
        <v>2</v>
      </c>
      <c r="B31" s="42" t="s">
        <v>135</v>
      </c>
      <c r="C31" s="56" t="s">
        <v>112</v>
      </c>
      <c r="D31" s="42" t="s">
        <v>130</v>
      </c>
      <c r="E31" s="17">
        <v>2.31</v>
      </c>
      <c r="F31" s="41">
        <v>146.79</v>
      </c>
      <c r="G31" s="16">
        <v>187.63</v>
      </c>
    </row>
    <row r="32" spans="1:7" ht="31.5" hidden="1" customHeight="1">
      <c r="A32" s="57">
        <v>3</v>
      </c>
      <c r="B32" s="42" t="s">
        <v>134</v>
      </c>
      <c r="C32" s="56" t="s">
        <v>112</v>
      </c>
      <c r="D32" s="42" t="s">
        <v>131</v>
      </c>
      <c r="E32" s="16">
        <f>0.0024*3*4.5</f>
        <v>3.2399999999999998E-2</v>
      </c>
      <c r="F32" s="41">
        <v>243.54</v>
      </c>
      <c r="G32" s="23">
        <v>836.01</v>
      </c>
    </row>
    <row r="33" spans="1:7" ht="15.75" hidden="1" customHeight="1">
      <c r="A33" s="57">
        <v>4</v>
      </c>
      <c r="B33" s="42" t="s">
        <v>27</v>
      </c>
      <c r="C33" s="56" t="s">
        <v>112</v>
      </c>
      <c r="D33" s="42" t="s">
        <v>55</v>
      </c>
      <c r="E33" s="21">
        <v>0</v>
      </c>
      <c r="F33" s="41">
        <v>2844</v>
      </c>
      <c r="G33" s="23">
        <v>0</v>
      </c>
    </row>
    <row r="34" spans="1:7" ht="15.75" hidden="1" customHeight="1">
      <c r="A34" s="57">
        <v>5</v>
      </c>
      <c r="B34" s="42" t="s">
        <v>133</v>
      </c>
      <c r="C34" s="56" t="s">
        <v>31</v>
      </c>
      <c r="D34" s="42" t="s">
        <v>68</v>
      </c>
      <c r="E34" s="21">
        <v>0</v>
      </c>
      <c r="F34" s="41">
        <v>53.38</v>
      </c>
      <c r="G34" s="23">
        <v>0</v>
      </c>
    </row>
    <row r="35" spans="1:7" ht="15.75" hidden="1" customHeight="1">
      <c r="A35" s="57">
        <v>4</v>
      </c>
      <c r="B35" s="42" t="s">
        <v>70</v>
      </c>
      <c r="C35" s="56" t="s">
        <v>33</v>
      </c>
      <c r="D35" s="42" t="s">
        <v>72</v>
      </c>
      <c r="E35" s="16">
        <v>3.75</v>
      </c>
      <c r="F35" s="41">
        <v>180.15</v>
      </c>
      <c r="G35" s="16">
        <v>488.16</v>
      </c>
    </row>
    <row r="36" spans="1:7" ht="15.75" hidden="1" customHeight="1">
      <c r="A36" s="38">
        <v>8</v>
      </c>
      <c r="B36" s="42" t="s">
        <v>71</v>
      </c>
      <c r="C36" s="56" t="s">
        <v>32</v>
      </c>
      <c r="D36" s="42" t="s">
        <v>72</v>
      </c>
      <c r="E36" s="16"/>
      <c r="F36" s="41">
        <v>1214.74</v>
      </c>
      <c r="G36" s="16">
        <v>0</v>
      </c>
    </row>
    <row r="37" spans="1:7" ht="15.75" customHeight="1">
      <c r="A37" s="57"/>
      <c r="B37" s="65" t="s">
        <v>5</v>
      </c>
      <c r="C37" s="65"/>
      <c r="D37" s="65"/>
      <c r="E37" s="16"/>
      <c r="F37" s="17"/>
      <c r="G37" s="23"/>
    </row>
    <row r="38" spans="1:7" ht="15.75" customHeight="1">
      <c r="A38" s="43">
        <v>8</v>
      </c>
      <c r="B38" s="44" t="s">
        <v>26</v>
      </c>
      <c r="C38" s="56" t="s">
        <v>32</v>
      </c>
      <c r="D38" s="42"/>
      <c r="E38" s="16">
        <v>0</v>
      </c>
      <c r="F38" s="41">
        <v>1632.6</v>
      </c>
      <c r="G38" s="16">
        <v>816.3</v>
      </c>
    </row>
    <row r="39" spans="1:7" ht="15.75" customHeight="1">
      <c r="A39" s="43">
        <v>9</v>
      </c>
      <c r="B39" s="44" t="s">
        <v>136</v>
      </c>
      <c r="C39" s="80" t="s">
        <v>29</v>
      </c>
      <c r="D39" s="42" t="s">
        <v>110</v>
      </c>
      <c r="E39" s="16">
        <v>0</v>
      </c>
      <c r="F39" s="41">
        <v>1979.95</v>
      </c>
      <c r="G39" s="16">
        <v>475.19</v>
      </c>
    </row>
    <row r="40" spans="1:7" ht="15.75" customHeight="1">
      <c r="A40" s="43">
        <v>10</v>
      </c>
      <c r="B40" s="42" t="s">
        <v>73</v>
      </c>
      <c r="C40" s="56" t="s">
        <v>29</v>
      </c>
      <c r="D40" s="42" t="s">
        <v>111</v>
      </c>
      <c r="E40" s="16">
        <v>0</v>
      </c>
      <c r="F40" s="41">
        <v>330.27</v>
      </c>
      <c r="G40" s="16">
        <v>409.79</v>
      </c>
    </row>
    <row r="41" spans="1:7" ht="47.25" customHeight="1">
      <c r="A41" s="43">
        <v>11</v>
      </c>
      <c r="B41" s="42" t="s">
        <v>96</v>
      </c>
      <c r="C41" s="56" t="s">
        <v>112</v>
      </c>
      <c r="D41" s="42" t="s">
        <v>137</v>
      </c>
      <c r="E41" s="16">
        <v>0</v>
      </c>
      <c r="F41" s="41">
        <v>5464.48</v>
      </c>
      <c r="G41" s="16">
        <v>1531.01</v>
      </c>
    </row>
    <row r="42" spans="1:7" ht="15.75" customHeight="1">
      <c r="A42" s="43">
        <v>12</v>
      </c>
      <c r="B42" s="42" t="s">
        <v>113</v>
      </c>
      <c r="C42" s="56" t="s">
        <v>112</v>
      </c>
      <c r="D42" s="42" t="s">
        <v>74</v>
      </c>
      <c r="E42" s="16">
        <v>0</v>
      </c>
      <c r="F42" s="41">
        <v>403.67</v>
      </c>
      <c r="G42" s="16">
        <v>145.41</v>
      </c>
    </row>
    <row r="43" spans="1:7" ht="15.75" customHeight="1">
      <c r="A43" s="43">
        <v>13</v>
      </c>
      <c r="B43" s="44" t="s">
        <v>75</v>
      </c>
      <c r="C43" s="80" t="s">
        <v>33</v>
      </c>
      <c r="D43" s="44"/>
      <c r="E43" s="16"/>
      <c r="F43" s="45">
        <v>750.34</v>
      </c>
      <c r="G43" s="16">
        <v>66.28</v>
      </c>
    </row>
    <row r="44" spans="1:7" ht="15.75" customHeight="1">
      <c r="A44" s="152" t="s">
        <v>166</v>
      </c>
      <c r="B44" s="153"/>
      <c r="C44" s="153"/>
      <c r="D44" s="153"/>
      <c r="E44" s="153"/>
      <c r="F44" s="153"/>
      <c r="G44" s="154"/>
    </row>
    <row r="45" spans="1:7" ht="15.75" hidden="1" customHeight="1">
      <c r="A45" s="57">
        <v>15</v>
      </c>
      <c r="B45" s="42" t="s">
        <v>138</v>
      </c>
      <c r="C45" s="56" t="s">
        <v>112</v>
      </c>
      <c r="D45" s="42" t="s">
        <v>43</v>
      </c>
      <c r="E45" s="23">
        <v>0.42</v>
      </c>
      <c r="F45" s="48">
        <v>762.53</v>
      </c>
      <c r="G45" s="24">
        <v>0</v>
      </c>
    </row>
    <row r="46" spans="1:7" ht="15.75" hidden="1" customHeight="1">
      <c r="A46" s="57">
        <v>16</v>
      </c>
      <c r="B46" s="42" t="s">
        <v>36</v>
      </c>
      <c r="C46" s="56" t="s">
        <v>112</v>
      </c>
      <c r="D46" s="42" t="s">
        <v>43</v>
      </c>
      <c r="E46" s="23">
        <v>1.35</v>
      </c>
      <c r="F46" s="48">
        <v>545.65</v>
      </c>
      <c r="G46" s="24">
        <v>0</v>
      </c>
    </row>
    <row r="47" spans="1:7" ht="15.75" hidden="1" customHeight="1">
      <c r="A47" s="57">
        <v>17</v>
      </c>
      <c r="B47" s="42" t="s">
        <v>37</v>
      </c>
      <c r="C47" s="56" t="s">
        <v>112</v>
      </c>
      <c r="D47" s="42" t="s">
        <v>43</v>
      </c>
      <c r="E47" s="23">
        <v>0.03</v>
      </c>
      <c r="F47" s="48">
        <v>545.65</v>
      </c>
      <c r="G47" s="24">
        <v>0</v>
      </c>
    </row>
    <row r="48" spans="1:7" ht="15.75" hidden="1" customHeight="1">
      <c r="A48" s="57">
        <v>18</v>
      </c>
      <c r="B48" s="42" t="s">
        <v>38</v>
      </c>
      <c r="C48" s="56" t="s">
        <v>112</v>
      </c>
      <c r="D48" s="42" t="s">
        <v>43</v>
      </c>
      <c r="E48" s="23">
        <v>0.33</v>
      </c>
      <c r="F48" s="48">
        <v>571.35</v>
      </c>
      <c r="G48" s="24">
        <v>0</v>
      </c>
    </row>
    <row r="49" spans="1:7" ht="15.75" hidden="1" customHeight="1">
      <c r="A49" s="57">
        <v>19</v>
      </c>
      <c r="B49" s="42" t="s">
        <v>34</v>
      </c>
      <c r="C49" s="56" t="s">
        <v>35</v>
      </c>
      <c r="D49" s="42" t="s">
        <v>43</v>
      </c>
      <c r="E49" s="23">
        <v>0.22</v>
      </c>
      <c r="F49" s="48">
        <v>68.56</v>
      </c>
      <c r="G49" s="16">
        <v>0</v>
      </c>
    </row>
    <row r="50" spans="1:7" ht="31.5" hidden="1" customHeight="1">
      <c r="A50" s="57">
        <v>12</v>
      </c>
      <c r="B50" s="42" t="s">
        <v>59</v>
      </c>
      <c r="C50" s="56" t="s">
        <v>112</v>
      </c>
      <c r="D50" s="42" t="s">
        <v>139</v>
      </c>
      <c r="E50" s="23">
        <v>0.22</v>
      </c>
      <c r="F50" s="48">
        <v>1142.7</v>
      </c>
      <c r="G50" s="24">
        <v>3114.5</v>
      </c>
    </row>
    <row r="51" spans="1:7" ht="31.5" customHeight="1">
      <c r="A51" s="57">
        <v>14</v>
      </c>
      <c r="B51" s="42" t="s">
        <v>114</v>
      </c>
      <c r="C51" s="56" t="s">
        <v>112</v>
      </c>
      <c r="D51" s="42" t="s">
        <v>43</v>
      </c>
      <c r="E51" s="23">
        <v>0.02</v>
      </c>
      <c r="F51" s="48">
        <v>1142.7</v>
      </c>
      <c r="G51" s="24">
        <v>1302.68</v>
      </c>
    </row>
    <row r="52" spans="1:7" ht="31.5" customHeight="1">
      <c r="A52" s="57">
        <v>15</v>
      </c>
      <c r="B52" s="42" t="s">
        <v>115</v>
      </c>
      <c r="C52" s="56" t="s">
        <v>39</v>
      </c>
      <c r="D52" s="42" t="s">
        <v>43</v>
      </c>
      <c r="E52" s="23">
        <v>0.01</v>
      </c>
      <c r="F52" s="48">
        <v>2571.08</v>
      </c>
      <c r="G52" s="24">
        <v>231.4</v>
      </c>
    </row>
    <row r="53" spans="1:7" ht="15.75" hidden="1" customHeight="1">
      <c r="A53" s="57">
        <v>23</v>
      </c>
      <c r="B53" s="42" t="s">
        <v>40</v>
      </c>
      <c r="C53" s="56" t="s">
        <v>41</v>
      </c>
      <c r="D53" s="42" t="s">
        <v>43</v>
      </c>
      <c r="E53" s="23">
        <v>8</v>
      </c>
      <c r="F53" s="48">
        <v>5322.15</v>
      </c>
      <c r="G53" s="16">
        <v>0</v>
      </c>
    </row>
    <row r="54" spans="1:7" ht="15.75" hidden="1" customHeight="1">
      <c r="A54" s="57">
        <v>24</v>
      </c>
      <c r="B54" s="42" t="s">
        <v>42</v>
      </c>
      <c r="C54" s="56" t="s">
        <v>140</v>
      </c>
      <c r="D54" s="42" t="s">
        <v>76</v>
      </c>
      <c r="E54" s="23">
        <v>16</v>
      </c>
      <c r="F54" s="49">
        <v>61.84</v>
      </c>
      <c r="G54" s="16">
        <v>0</v>
      </c>
    </row>
    <row r="55" spans="1:7" ht="15.75" customHeight="1">
      <c r="A55" s="152" t="s">
        <v>168</v>
      </c>
      <c r="B55" s="153"/>
      <c r="C55" s="153"/>
      <c r="D55" s="153"/>
      <c r="E55" s="153"/>
      <c r="F55" s="153"/>
      <c r="G55" s="154"/>
    </row>
    <row r="56" spans="1:7" ht="15.75" customHeight="1">
      <c r="A56" s="69"/>
      <c r="B56" s="64" t="s">
        <v>44</v>
      </c>
      <c r="C56" s="20"/>
      <c r="D56" s="19"/>
      <c r="E56" s="19"/>
      <c r="F56" s="38"/>
      <c r="G56" s="23"/>
    </row>
    <row r="57" spans="1:7" ht="31.5" customHeight="1">
      <c r="A57" s="57">
        <v>16</v>
      </c>
      <c r="B57" s="42" t="s">
        <v>141</v>
      </c>
      <c r="C57" s="56" t="s">
        <v>104</v>
      </c>
      <c r="D57" s="42" t="s">
        <v>142</v>
      </c>
      <c r="E57" s="23">
        <v>0</v>
      </c>
      <c r="F57" s="48">
        <v>1456.95</v>
      </c>
      <c r="G57" s="24">
        <v>1053.81</v>
      </c>
    </row>
    <row r="58" spans="1:7" ht="15.75" hidden="1" customHeight="1">
      <c r="A58" s="57"/>
      <c r="B58" s="155" t="s">
        <v>45</v>
      </c>
      <c r="C58" s="156"/>
      <c r="D58" s="156"/>
      <c r="E58" s="156"/>
      <c r="F58" s="157"/>
      <c r="G58" s="47"/>
    </row>
    <row r="59" spans="1:7" ht="15.75" hidden="1" customHeight="1">
      <c r="A59" s="57">
        <v>27</v>
      </c>
      <c r="B59" s="42" t="s">
        <v>143</v>
      </c>
      <c r="C59" s="56"/>
      <c r="D59" s="18" t="s">
        <v>55</v>
      </c>
      <c r="E59" s="23">
        <v>0</v>
      </c>
      <c r="F59" s="48">
        <v>848.37</v>
      </c>
      <c r="G59" s="24">
        <f>E59/2</f>
        <v>0</v>
      </c>
    </row>
    <row r="60" spans="1:7" ht="15.75" hidden="1" customHeight="1">
      <c r="A60" s="57"/>
      <c r="B60" s="79" t="s">
        <v>46</v>
      </c>
      <c r="C60" s="20"/>
      <c r="D60" s="19"/>
      <c r="E60" s="19"/>
      <c r="F60" s="38"/>
      <c r="G60" s="23"/>
    </row>
    <row r="61" spans="1:7" ht="15.75" hidden="1" customHeight="1">
      <c r="A61" s="57">
        <v>17</v>
      </c>
      <c r="B61" s="84" t="s">
        <v>47</v>
      </c>
      <c r="C61" s="52" t="s">
        <v>140</v>
      </c>
      <c r="D61" s="51" t="s">
        <v>132</v>
      </c>
      <c r="E61" s="23">
        <v>0</v>
      </c>
      <c r="F61" s="48">
        <v>237.74</v>
      </c>
      <c r="G61" s="24">
        <v>276.74</v>
      </c>
    </row>
    <row r="62" spans="1:7" ht="15.75" hidden="1" customHeight="1">
      <c r="A62" s="38">
        <v>29</v>
      </c>
      <c r="B62" s="84" t="s">
        <v>48</v>
      </c>
      <c r="C62" s="52" t="s">
        <v>140</v>
      </c>
      <c r="D62" s="51" t="s">
        <v>132</v>
      </c>
      <c r="E62" s="23">
        <v>0</v>
      </c>
      <c r="F62" s="48">
        <v>81.510000000000005</v>
      </c>
      <c r="G62" s="24">
        <f>E62/2</f>
        <v>0</v>
      </c>
    </row>
    <row r="63" spans="1:7" ht="15.75" hidden="1" customHeight="1">
      <c r="A63" s="38">
        <v>8</v>
      </c>
      <c r="B63" s="84" t="s">
        <v>49</v>
      </c>
      <c r="C63" s="54" t="s">
        <v>144</v>
      </c>
      <c r="D63" s="51" t="s">
        <v>55</v>
      </c>
      <c r="E63" s="23">
        <v>13.47</v>
      </c>
      <c r="F63" s="48">
        <v>226.79</v>
      </c>
      <c r="G63" s="23">
        <v>7955.63</v>
      </c>
    </row>
    <row r="64" spans="1:7" ht="15.75" hidden="1" customHeight="1">
      <c r="A64" s="38">
        <v>9</v>
      </c>
      <c r="B64" s="84" t="s">
        <v>50</v>
      </c>
      <c r="C64" s="52" t="s">
        <v>145</v>
      </c>
      <c r="D64" s="51"/>
      <c r="E64" s="23">
        <v>1.35</v>
      </c>
      <c r="F64" s="48">
        <v>176.61</v>
      </c>
      <c r="G64" s="23">
        <v>619.54</v>
      </c>
    </row>
    <row r="65" spans="1:7" ht="15.75" hidden="1" customHeight="1">
      <c r="A65" s="38">
        <v>10</v>
      </c>
      <c r="B65" s="84" t="s">
        <v>51</v>
      </c>
      <c r="C65" s="52" t="s">
        <v>83</v>
      </c>
      <c r="D65" s="51" t="s">
        <v>55</v>
      </c>
      <c r="E65" s="23">
        <v>0</v>
      </c>
      <c r="F65" s="48">
        <v>2217.7800000000002</v>
      </c>
      <c r="G65" s="23">
        <v>12447.78</v>
      </c>
    </row>
    <row r="66" spans="1:7" ht="15.75" hidden="1" customHeight="1">
      <c r="A66" s="38">
        <v>11</v>
      </c>
      <c r="B66" s="70" t="s">
        <v>146</v>
      </c>
      <c r="C66" s="52" t="s">
        <v>33</v>
      </c>
      <c r="D66" s="51"/>
      <c r="E66" s="15">
        <v>0</v>
      </c>
      <c r="F66" s="48">
        <v>42.67</v>
      </c>
      <c r="G66" s="23">
        <v>0</v>
      </c>
    </row>
    <row r="67" spans="1:7" ht="15.75" hidden="1" customHeight="1">
      <c r="A67" s="38">
        <v>12</v>
      </c>
      <c r="B67" s="70" t="s">
        <v>147</v>
      </c>
      <c r="C67" s="52" t="s">
        <v>33</v>
      </c>
      <c r="D67" s="51"/>
      <c r="E67" s="15"/>
      <c r="F67" s="48">
        <v>39.81</v>
      </c>
      <c r="G67" s="23">
        <v>543.84</v>
      </c>
    </row>
    <row r="68" spans="1:7" ht="15.75" hidden="1" customHeight="1">
      <c r="A68" s="38">
        <v>13</v>
      </c>
      <c r="B68" s="51" t="s">
        <v>60</v>
      </c>
      <c r="C68" s="52" t="s">
        <v>61</v>
      </c>
      <c r="D68" s="51" t="s">
        <v>55</v>
      </c>
      <c r="E68" s="15"/>
      <c r="F68" s="48">
        <v>53.32</v>
      </c>
      <c r="G68" s="23">
        <v>507.36</v>
      </c>
    </row>
    <row r="69" spans="1:7" ht="15.75" hidden="1" customHeight="1">
      <c r="A69" s="69"/>
      <c r="B69" s="155" t="s">
        <v>116</v>
      </c>
      <c r="C69" s="156"/>
      <c r="D69" s="156"/>
      <c r="E69" s="156"/>
      <c r="F69" s="157"/>
      <c r="G69" s="23"/>
    </row>
    <row r="70" spans="1:7" ht="15.75" hidden="1" customHeight="1">
      <c r="A70" s="38">
        <v>36</v>
      </c>
      <c r="B70" s="42" t="s">
        <v>148</v>
      </c>
      <c r="C70" s="85"/>
      <c r="D70" s="51" t="s">
        <v>55</v>
      </c>
      <c r="E70" s="23">
        <v>0</v>
      </c>
      <c r="F70" s="50"/>
      <c r="G70" s="23">
        <v>0</v>
      </c>
    </row>
    <row r="71" spans="1:7" ht="15.75" customHeight="1">
      <c r="A71" s="38"/>
      <c r="B71" s="65" t="s">
        <v>77</v>
      </c>
      <c r="C71" s="65"/>
      <c r="D71" s="65"/>
      <c r="E71" s="23"/>
      <c r="F71" s="38"/>
      <c r="G71" s="23"/>
    </row>
    <row r="72" spans="1:7" ht="15.75" customHeight="1">
      <c r="A72" s="38">
        <v>17</v>
      </c>
      <c r="B72" s="51" t="s">
        <v>78</v>
      </c>
      <c r="C72" s="52" t="s">
        <v>80</v>
      </c>
      <c r="D72" s="51" t="s">
        <v>72</v>
      </c>
      <c r="E72" s="23"/>
      <c r="F72" s="48">
        <v>536.23</v>
      </c>
      <c r="G72" s="23">
        <v>321.74</v>
      </c>
    </row>
    <row r="73" spans="1:7" ht="15.75" hidden="1" customHeight="1">
      <c r="A73" s="38"/>
      <c r="B73" s="51" t="s">
        <v>79</v>
      </c>
      <c r="C73" s="52" t="s">
        <v>31</v>
      </c>
      <c r="D73" s="51" t="s">
        <v>72</v>
      </c>
      <c r="E73" s="23"/>
      <c r="F73" s="48">
        <v>911.85</v>
      </c>
      <c r="G73" s="23"/>
    </row>
    <row r="74" spans="1:7" ht="15.75" hidden="1" customHeight="1">
      <c r="A74" s="38">
        <v>38</v>
      </c>
      <c r="B74" s="51" t="s">
        <v>149</v>
      </c>
      <c r="C74" s="52" t="s">
        <v>31</v>
      </c>
      <c r="D74" s="51" t="s">
        <v>72</v>
      </c>
      <c r="E74" s="23"/>
      <c r="F74" s="48">
        <v>383.25</v>
      </c>
      <c r="G74" s="23">
        <v>0</v>
      </c>
    </row>
    <row r="75" spans="1:7" ht="15.75" hidden="1" customHeight="1">
      <c r="A75" s="38"/>
      <c r="B75" s="66" t="s">
        <v>81</v>
      </c>
      <c r="C75" s="52"/>
      <c r="D75" s="38"/>
      <c r="E75" s="23"/>
      <c r="F75" s="48"/>
      <c r="G75" s="23"/>
    </row>
    <row r="76" spans="1:7" ht="15.75" hidden="1" customHeight="1">
      <c r="A76" s="38">
        <v>39</v>
      </c>
      <c r="B76" s="53" t="s">
        <v>82</v>
      </c>
      <c r="C76" s="54" t="s">
        <v>83</v>
      </c>
      <c r="D76" s="84"/>
      <c r="E76" s="23"/>
      <c r="F76" s="49">
        <v>2949.85</v>
      </c>
      <c r="G76" s="23">
        <v>0</v>
      </c>
    </row>
    <row r="77" spans="1:7" ht="15.75" customHeight="1">
      <c r="A77" s="158" t="s">
        <v>169</v>
      </c>
      <c r="B77" s="159"/>
      <c r="C77" s="159"/>
      <c r="D77" s="159"/>
      <c r="E77" s="159"/>
      <c r="F77" s="159"/>
      <c r="G77" s="160"/>
    </row>
    <row r="78" spans="1:7" ht="15.75" customHeight="1">
      <c r="A78" s="38">
        <v>18</v>
      </c>
      <c r="B78" s="42" t="s">
        <v>150</v>
      </c>
      <c r="C78" s="52" t="s">
        <v>56</v>
      </c>
      <c r="D78" s="86" t="s">
        <v>57</v>
      </c>
      <c r="E78" s="19">
        <v>327.9</v>
      </c>
      <c r="F78" s="48">
        <v>2.2400000000000002</v>
      </c>
      <c r="G78" s="16">
        <v>2335.42</v>
      </c>
    </row>
    <row r="79" spans="1:7" ht="31.5" customHeight="1">
      <c r="A79" s="38">
        <v>19</v>
      </c>
      <c r="B79" s="51" t="s">
        <v>84</v>
      </c>
      <c r="C79" s="52"/>
      <c r="D79" s="86" t="s">
        <v>57</v>
      </c>
      <c r="E79" s="19"/>
      <c r="F79" s="48">
        <v>1.74</v>
      </c>
      <c r="G79" s="16">
        <v>1814.12</v>
      </c>
    </row>
    <row r="80" spans="1:7" ht="15.75" customHeight="1">
      <c r="A80" s="69"/>
      <c r="B80" s="55" t="s">
        <v>88</v>
      </c>
      <c r="C80" s="57"/>
      <c r="D80" s="19"/>
      <c r="E80" s="19"/>
      <c r="F80" s="23"/>
      <c r="G80" s="40">
        <f>SUM(G16+G17+G18+G20+G21+G27+G28+G38+G39+G40+G41+G42+G43+G51+G52+G57+G72+G78+G79)</f>
        <v>20711.38</v>
      </c>
    </row>
    <row r="81" spans="1:7" ht="15.75" customHeight="1">
      <c r="A81" s="69"/>
      <c r="B81" s="81" t="s">
        <v>63</v>
      </c>
      <c r="C81" s="81"/>
      <c r="D81" s="81"/>
      <c r="E81" s="81"/>
      <c r="F81" s="81"/>
      <c r="G81" s="81"/>
    </row>
    <row r="82" spans="1:7" ht="15.75" customHeight="1">
      <c r="A82" s="38">
        <v>20</v>
      </c>
      <c r="B82" s="82" t="s">
        <v>151</v>
      </c>
      <c r="C82" s="83" t="s">
        <v>97</v>
      </c>
      <c r="D82" s="16">
        <v>1</v>
      </c>
      <c r="E82" s="19"/>
      <c r="F82" s="16">
        <v>185.81</v>
      </c>
      <c r="G82" s="16">
        <v>185.81</v>
      </c>
    </row>
    <row r="83" spans="1:7" ht="15.75" customHeight="1">
      <c r="A83" s="38">
        <v>21</v>
      </c>
      <c r="B83" s="82" t="s">
        <v>152</v>
      </c>
      <c r="C83" s="83" t="s">
        <v>117</v>
      </c>
      <c r="D83" s="16">
        <v>1</v>
      </c>
      <c r="E83" s="19"/>
      <c r="F83" s="48">
        <v>291.43</v>
      </c>
      <c r="G83" s="16">
        <v>291.43</v>
      </c>
    </row>
    <row r="84" spans="1:7" ht="31.5" customHeight="1">
      <c r="A84" s="38">
        <v>22</v>
      </c>
      <c r="B84" s="82" t="s">
        <v>153</v>
      </c>
      <c r="C84" s="83" t="s">
        <v>117</v>
      </c>
      <c r="D84" s="16">
        <v>2</v>
      </c>
      <c r="E84" s="19"/>
      <c r="F84" s="16">
        <v>559.62</v>
      </c>
      <c r="G84" s="16">
        <v>1119.24</v>
      </c>
    </row>
    <row r="85" spans="1:7" ht="31.5" customHeight="1">
      <c r="A85" s="38">
        <v>23</v>
      </c>
      <c r="B85" s="88" t="s">
        <v>154</v>
      </c>
      <c r="C85" s="89" t="s">
        <v>140</v>
      </c>
      <c r="D85" s="16">
        <v>1</v>
      </c>
      <c r="E85" s="19"/>
      <c r="F85" s="16">
        <v>634.4</v>
      </c>
      <c r="G85" s="16">
        <v>634.4</v>
      </c>
    </row>
    <row r="86" spans="1:7" ht="15.75" customHeight="1">
      <c r="A86" s="38"/>
      <c r="B86" s="62" t="s">
        <v>52</v>
      </c>
      <c r="C86" s="58"/>
      <c r="D86" s="71"/>
      <c r="E86" s="58">
        <v>1</v>
      </c>
      <c r="F86" s="58"/>
      <c r="G86" s="40">
        <f>SUM(G82:G85)</f>
        <v>2230.88</v>
      </c>
    </row>
    <row r="87" spans="1:7" ht="15.75" customHeight="1">
      <c r="A87" s="38"/>
      <c r="B87" s="68" t="s">
        <v>85</v>
      </c>
      <c r="C87" s="19"/>
      <c r="D87" s="19"/>
      <c r="E87" s="59"/>
      <c r="F87" s="60"/>
      <c r="G87" s="22">
        <v>0</v>
      </c>
    </row>
    <row r="88" spans="1:7" ht="15.75" customHeight="1">
      <c r="A88" s="72"/>
      <c r="B88" s="63" t="s">
        <v>53</v>
      </c>
      <c r="C88" s="46"/>
      <c r="D88" s="46"/>
      <c r="E88" s="46"/>
      <c r="F88" s="46"/>
      <c r="G88" s="61">
        <f>G80+G86</f>
        <v>22942.260000000002</v>
      </c>
    </row>
    <row r="89" spans="1:7" ht="15.75">
      <c r="A89" s="143" t="s">
        <v>155</v>
      </c>
      <c r="B89" s="143"/>
      <c r="C89" s="143"/>
      <c r="D89" s="143"/>
      <c r="E89" s="143"/>
      <c r="F89" s="143"/>
      <c r="G89" s="143"/>
    </row>
    <row r="90" spans="1:7" ht="15.75">
      <c r="A90" s="78"/>
      <c r="B90" s="144" t="s">
        <v>156</v>
      </c>
      <c r="C90" s="144"/>
      <c r="D90" s="144"/>
      <c r="E90" s="144"/>
      <c r="F90" s="144"/>
      <c r="G90" s="3"/>
    </row>
    <row r="91" spans="1:7">
      <c r="A91" s="75"/>
      <c r="B91" s="141" t="s">
        <v>6</v>
      </c>
      <c r="C91" s="141"/>
      <c r="D91" s="141"/>
      <c r="E91" s="141"/>
      <c r="F91" s="141"/>
      <c r="G91" s="5"/>
    </row>
    <row r="92" spans="1:7">
      <c r="A92" s="10"/>
      <c r="B92" s="10"/>
      <c r="C92" s="10"/>
      <c r="D92" s="10"/>
      <c r="E92" s="10"/>
      <c r="F92" s="10"/>
      <c r="G92" s="10"/>
    </row>
    <row r="93" spans="1:7" ht="15.75">
      <c r="A93" s="137" t="s">
        <v>7</v>
      </c>
      <c r="B93" s="137"/>
      <c r="C93" s="137"/>
      <c r="D93" s="137"/>
      <c r="E93" s="137"/>
      <c r="F93" s="137"/>
      <c r="G93" s="137"/>
    </row>
    <row r="94" spans="1:7" ht="15.75">
      <c r="A94" s="137" t="s">
        <v>8</v>
      </c>
      <c r="B94" s="137"/>
      <c r="C94" s="137"/>
      <c r="D94" s="137"/>
      <c r="E94" s="137"/>
      <c r="F94" s="137"/>
      <c r="G94" s="137"/>
    </row>
    <row r="95" spans="1:7" ht="15.75">
      <c r="A95" s="138" t="s">
        <v>64</v>
      </c>
      <c r="B95" s="138"/>
      <c r="C95" s="138"/>
      <c r="D95" s="138"/>
      <c r="E95" s="138"/>
      <c r="F95" s="138"/>
      <c r="G95" s="138"/>
    </row>
    <row r="96" spans="1:7" ht="15.75">
      <c r="A96" s="11"/>
    </row>
    <row r="97" spans="1:7" ht="15.75">
      <c r="A97" s="139" t="s">
        <v>9</v>
      </c>
      <c r="B97" s="139"/>
      <c r="C97" s="139"/>
      <c r="D97" s="139"/>
      <c r="E97" s="139"/>
      <c r="F97" s="139"/>
      <c r="G97" s="139"/>
    </row>
    <row r="98" spans="1:7" ht="15.75">
      <c r="A98" s="4"/>
    </row>
    <row r="99" spans="1:7" ht="15.75">
      <c r="B99" s="73" t="s">
        <v>10</v>
      </c>
      <c r="C99" s="140" t="s">
        <v>165</v>
      </c>
      <c r="D99" s="140"/>
      <c r="E99" s="140"/>
      <c r="G99" s="76"/>
    </row>
    <row r="100" spans="1:7">
      <c r="A100" s="75"/>
      <c r="C100" s="141" t="s">
        <v>11</v>
      </c>
      <c r="D100" s="141"/>
      <c r="E100" s="141"/>
      <c r="G100" s="74" t="s">
        <v>12</v>
      </c>
    </row>
    <row r="101" spans="1:7" ht="15.75">
      <c r="A101" s="34"/>
      <c r="C101" s="12"/>
      <c r="D101" s="12"/>
      <c r="F101" s="12"/>
    </row>
    <row r="102" spans="1:7" ht="15.75">
      <c r="B102" s="73" t="s">
        <v>13</v>
      </c>
      <c r="C102" s="142"/>
      <c r="D102" s="142"/>
      <c r="E102" s="142"/>
      <c r="G102" s="76"/>
    </row>
    <row r="103" spans="1:7">
      <c r="A103" s="75"/>
      <c r="C103" s="134" t="s">
        <v>11</v>
      </c>
      <c r="D103" s="134"/>
      <c r="E103" s="134"/>
      <c r="G103" s="74" t="s">
        <v>12</v>
      </c>
    </row>
    <row r="104" spans="1:7" ht="15.75">
      <c r="A104" s="4" t="s">
        <v>14</v>
      </c>
    </row>
    <row r="105" spans="1:7">
      <c r="A105" s="135" t="s">
        <v>15</v>
      </c>
      <c r="B105" s="135"/>
      <c r="C105" s="135"/>
      <c r="D105" s="135"/>
      <c r="E105" s="135"/>
      <c r="F105" s="135"/>
      <c r="G105" s="135"/>
    </row>
    <row r="106" spans="1:7" ht="47.25" customHeight="1">
      <c r="A106" s="136" t="s">
        <v>16</v>
      </c>
      <c r="B106" s="136"/>
      <c r="C106" s="136"/>
      <c r="D106" s="136"/>
      <c r="E106" s="136"/>
      <c r="F106" s="136"/>
      <c r="G106" s="136"/>
    </row>
    <row r="107" spans="1:7" ht="31.5" customHeight="1">
      <c r="A107" s="136" t="s">
        <v>17</v>
      </c>
      <c r="B107" s="136"/>
      <c r="C107" s="136"/>
      <c r="D107" s="136"/>
      <c r="E107" s="136"/>
      <c r="F107" s="136"/>
      <c r="G107" s="136"/>
    </row>
    <row r="108" spans="1:7" ht="31.5" customHeight="1">
      <c r="A108" s="136" t="s">
        <v>21</v>
      </c>
      <c r="B108" s="136"/>
      <c r="C108" s="136"/>
      <c r="D108" s="136"/>
      <c r="E108" s="136"/>
      <c r="F108" s="136"/>
      <c r="G108" s="136"/>
    </row>
    <row r="109" spans="1:7" ht="15.75">
      <c r="A109" s="136" t="s">
        <v>20</v>
      </c>
      <c r="B109" s="136"/>
      <c r="C109" s="136"/>
      <c r="D109" s="136"/>
      <c r="E109" s="136"/>
      <c r="F109" s="136"/>
      <c r="G109" s="136"/>
    </row>
  </sheetData>
  <mergeCells count="29">
    <mergeCell ref="A106:G106"/>
    <mergeCell ref="A107:G107"/>
    <mergeCell ref="A108:G108"/>
    <mergeCell ref="A109:G109"/>
    <mergeCell ref="A97:G97"/>
    <mergeCell ref="C99:E99"/>
    <mergeCell ref="C100:E100"/>
    <mergeCell ref="C102:E102"/>
    <mergeCell ref="C103:E103"/>
    <mergeCell ref="A105:G105"/>
    <mergeCell ref="A95:G95"/>
    <mergeCell ref="A15:G15"/>
    <mergeCell ref="A29:G29"/>
    <mergeCell ref="A44:G44"/>
    <mergeCell ref="A55:G55"/>
    <mergeCell ref="B58:F58"/>
    <mergeCell ref="B69:F69"/>
    <mergeCell ref="A89:G89"/>
    <mergeCell ref="B90:F90"/>
    <mergeCell ref="B91:F91"/>
    <mergeCell ref="A93:G93"/>
    <mergeCell ref="A94:G94"/>
    <mergeCell ref="A77:G77"/>
    <mergeCell ref="A14:G14"/>
    <mergeCell ref="A3:G3"/>
    <mergeCell ref="A4:G4"/>
    <mergeCell ref="A5:G5"/>
    <mergeCell ref="A8:G8"/>
    <mergeCell ref="A10:G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7"/>
  <sheetViews>
    <sheetView workbookViewId="0">
      <selection activeCell="A10" sqref="A10:G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36" t="s">
        <v>100</v>
      </c>
      <c r="G1" s="35"/>
      <c r="H1" s="1"/>
      <c r="I1" s="1"/>
      <c r="J1" s="1"/>
      <c r="K1" s="1"/>
    </row>
    <row r="2" spans="1:11" ht="15.75">
      <c r="A2" s="37" t="s">
        <v>67</v>
      </c>
      <c r="H2" s="2"/>
      <c r="I2" s="2"/>
      <c r="J2" s="2"/>
      <c r="K2" s="2"/>
    </row>
    <row r="3" spans="1:11" ht="15.75" customHeight="1">
      <c r="A3" s="146" t="s">
        <v>157</v>
      </c>
      <c r="B3" s="146"/>
      <c r="C3" s="146"/>
      <c r="D3" s="146"/>
      <c r="E3" s="146"/>
      <c r="F3" s="146"/>
      <c r="G3" s="146"/>
      <c r="H3" s="3"/>
      <c r="I3" s="3"/>
      <c r="J3" s="3"/>
    </row>
    <row r="4" spans="1:11" ht="31.5" customHeight="1">
      <c r="A4" s="147" t="s">
        <v>162</v>
      </c>
      <c r="B4" s="147"/>
      <c r="C4" s="147"/>
      <c r="D4" s="147"/>
      <c r="E4" s="147"/>
      <c r="F4" s="147"/>
      <c r="G4" s="147"/>
    </row>
    <row r="5" spans="1:11" ht="15.75">
      <c r="A5" s="146" t="s">
        <v>158</v>
      </c>
      <c r="B5" s="148"/>
      <c r="C5" s="148"/>
      <c r="D5" s="148"/>
      <c r="E5" s="148"/>
      <c r="F5" s="148"/>
      <c r="G5" s="148"/>
      <c r="H5" s="2"/>
      <c r="I5" s="2"/>
      <c r="J5" s="2"/>
      <c r="K5" s="2"/>
    </row>
    <row r="6" spans="1:11" ht="15.75">
      <c r="A6" s="2"/>
      <c r="B6" s="77"/>
      <c r="C6" s="77"/>
      <c r="D6" s="77"/>
      <c r="E6" s="77"/>
      <c r="F6" s="77"/>
      <c r="G6" s="39">
        <v>42735</v>
      </c>
      <c r="H6" s="2"/>
      <c r="I6" s="2"/>
      <c r="J6" s="2"/>
      <c r="K6" s="2"/>
    </row>
    <row r="7" spans="1:11" ht="15.75">
      <c r="B7" s="73"/>
      <c r="C7" s="73"/>
      <c r="D7" s="73"/>
      <c r="E7" s="3"/>
      <c r="F7" s="3"/>
      <c r="H7" s="3"/>
      <c r="I7" s="3"/>
      <c r="J7" s="3"/>
      <c r="K7" s="3"/>
    </row>
    <row r="8" spans="1:11" ht="87" customHeight="1">
      <c r="A8" s="149" t="s">
        <v>219</v>
      </c>
      <c r="B8" s="149"/>
      <c r="C8" s="149"/>
      <c r="D8" s="149"/>
      <c r="E8" s="149"/>
      <c r="F8" s="149"/>
      <c r="G8" s="149"/>
      <c r="H8" s="99"/>
      <c r="I8" s="99"/>
      <c r="J8" s="5"/>
      <c r="K8" s="5"/>
    </row>
    <row r="9" spans="1:11" ht="15.75">
      <c r="A9" s="4"/>
      <c r="J9" s="2"/>
      <c r="K9" s="2"/>
    </row>
    <row r="10" spans="1:11" ht="55.5" customHeight="1">
      <c r="A10" s="150" t="s">
        <v>220</v>
      </c>
      <c r="B10" s="150"/>
      <c r="C10" s="150"/>
      <c r="D10" s="150"/>
      <c r="E10" s="150"/>
      <c r="F10" s="150"/>
      <c r="G10" s="150"/>
      <c r="H10" s="100"/>
      <c r="I10" s="100"/>
      <c r="J10" s="2"/>
      <c r="K10" s="2"/>
    </row>
    <row r="11" spans="1:11" ht="15.75">
      <c r="A11" s="4"/>
    </row>
    <row r="12" spans="1:11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151" t="s">
        <v>62</v>
      </c>
      <c r="B14" s="151"/>
      <c r="C14" s="151"/>
      <c r="D14" s="151"/>
      <c r="E14" s="151"/>
      <c r="F14" s="151"/>
      <c r="G14" s="151"/>
      <c r="H14" s="8"/>
      <c r="I14" s="8"/>
      <c r="J14" s="8"/>
      <c r="K14" s="8"/>
    </row>
    <row r="15" spans="1:11">
      <c r="A15" s="145" t="s">
        <v>4</v>
      </c>
      <c r="B15" s="145"/>
      <c r="C15" s="145"/>
      <c r="D15" s="145"/>
      <c r="E15" s="145"/>
      <c r="F15" s="145"/>
      <c r="G15" s="145"/>
      <c r="H15" s="8"/>
      <c r="I15" s="8"/>
      <c r="J15" s="8"/>
      <c r="K15" s="8"/>
    </row>
    <row r="16" spans="1:11" ht="30">
      <c r="A16" s="38">
        <v>1</v>
      </c>
      <c r="B16" s="42" t="s">
        <v>103</v>
      </c>
      <c r="C16" s="56" t="s">
        <v>104</v>
      </c>
      <c r="D16" s="42" t="s">
        <v>105</v>
      </c>
      <c r="E16" s="38"/>
      <c r="F16" s="41">
        <v>187.48</v>
      </c>
      <c r="G16" s="87">
        <v>916.4</v>
      </c>
      <c r="H16" s="30"/>
      <c r="I16" s="8"/>
      <c r="J16" s="8"/>
      <c r="K16" s="8"/>
    </row>
    <row r="17" spans="1:11" ht="31.5" customHeight="1">
      <c r="A17" s="38">
        <v>2</v>
      </c>
      <c r="B17" s="42" t="s">
        <v>106</v>
      </c>
      <c r="C17" s="56" t="s">
        <v>104</v>
      </c>
      <c r="D17" s="42" t="s">
        <v>107</v>
      </c>
      <c r="E17" s="38"/>
      <c r="F17" s="41">
        <v>187.48</v>
      </c>
      <c r="G17" s="38">
        <v>1221.8699999999999</v>
      </c>
      <c r="H17" s="31"/>
      <c r="I17" s="8"/>
      <c r="J17" s="8"/>
      <c r="K17" s="8"/>
    </row>
    <row r="18" spans="1:11" ht="31.5" customHeight="1">
      <c r="A18" s="38">
        <v>3</v>
      </c>
      <c r="B18" s="42" t="s">
        <v>108</v>
      </c>
      <c r="C18" s="56" t="s">
        <v>104</v>
      </c>
      <c r="D18" s="42" t="s">
        <v>109</v>
      </c>
      <c r="E18" s="38"/>
      <c r="F18" s="41">
        <v>539.30999999999995</v>
      </c>
      <c r="G18" s="38">
        <v>1216.68</v>
      </c>
      <c r="H18" s="31"/>
      <c r="I18" s="8"/>
      <c r="J18" s="8"/>
      <c r="K18" s="8"/>
    </row>
    <row r="19" spans="1:11" ht="15.75" customHeight="1">
      <c r="A19" s="38">
        <v>4</v>
      </c>
      <c r="B19" s="42" t="s">
        <v>121</v>
      </c>
      <c r="C19" s="56" t="s">
        <v>104</v>
      </c>
      <c r="D19" s="42" t="s">
        <v>30</v>
      </c>
      <c r="E19" s="38"/>
      <c r="F19" s="41">
        <v>205.16</v>
      </c>
      <c r="G19" s="38">
        <v>17.97</v>
      </c>
      <c r="H19" s="31"/>
      <c r="I19" s="8"/>
      <c r="J19" s="8"/>
      <c r="K19" s="8"/>
    </row>
    <row r="20" spans="1:11" ht="13.5" hidden="1" customHeight="1">
      <c r="A20" s="38">
        <v>5</v>
      </c>
      <c r="B20" s="42" t="s">
        <v>122</v>
      </c>
      <c r="C20" s="56" t="s">
        <v>104</v>
      </c>
      <c r="D20" s="42" t="s">
        <v>123</v>
      </c>
      <c r="E20" s="38"/>
      <c r="F20" s="41">
        <v>203.5</v>
      </c>
      <c r="G20" s="87">
        <v>2.2000000000000002</v>
      </c>
      <c r="H20" s="31"/>
      <c r="I20" s="8"/>
      <c r="J20" s="8"/>
      <c r="K20" s="8"/>
    </row>
    <row r="21" spans="1:11" ht="21" hidden="1" customHeight="1">
      <c r="A21" s="38"/>
      <c r="B21" s="42" t="s">
        <v>124</v>
      </c>
      <c r="C21" s="56" t="s">
        <v>54</v>
      </c>
      <c r="D21" s="42" t="s">
        <v>120</v>
      </c>
      <c r="E21" s="38"/>
      <c r="F21" s="41">
        <v>253.54</v>
      </c>
      <c r="G21" s="38"/>
      <c r="H21" s="31"/>
      <c r="I21" s="8"/>
      <c r="J21" s="8"/>
      <c r="K21" s="8"/>
    </row>
    <row r="22" spans="1:11" ht="29.25" hidden="1" customHeight="1">
      <c r="A22" s="38"/>
      <c r="B22" s="42" t="s">
        <v>125</v>
      </c>
      <c r="C22" s="56" t="s">
        <v>54</v>
      </c>
      <c r="D22" s="42" t="s">
        <v>120</v>
      </c>
      <c r="E22" s="38"/>
      <c r="F22" s="41">
        <v>41.7</v>
      </c>
      <c r="G22" s="38"/>
      <c r="H22" s="31"/>
      <c r="I22" s="8"/>
      <c r="J22" s="8"/>
      <c r="K22" s="8"/>
    </row>
    <row r="23" spans="1:11" ht="15" hidden="1" customHeight="1">
      <c r="A23" s="38"/>
      <c r="B23" s="42" t="s">
        <v>126</v>
      </c>
      <c r="C23" s="56" t="s">
        <v>54</v>
      </c>
      <c r="D23" s="42" t="s">
        <v>127</v>
      </c>
      <c r="E23" s="38"/>
      <c r="F23" s="41">
        <v>366.97</v>
      </c>
      <c r="G23" s="38"/>
      <c r="H23" s="31"/>
      <c r="I23" s="8"/>
      <c r="J23" s="8"/>
      <c r="K23" s="8"/>
    </row>
    <row r="24" spans="1:11" ht="30" hidden="1">
      <c r="A24" s="38"/>
      <c r="B24" s="42" t="s">
        <v>128</v>
      </c>
      <c r="C24" s="56" t="s">
        <v>54</v>
      </c>
      <c r="D24" s="42" t="s">
        <v>55</v>
      </c>
      <c r="E24" s="38"/>
      <c r="F24" s="41">
        <v>203.5</v>
      </c>
      <c r="G24" s="38"/>
      <c r="H24" s="31"/>
      <c r="I24" s="8"/>
      <c r="J24" s="8"/>
      <c r="K24" s="8"/>
    </row>
    <row r="25" spans="1:11" ht="16.5" hidden="1" customHeight="1">
      <c r="A25" s="38"/>
      <c r="B25" s="42" t="s">
        <v>129</v>
      </c>
      <c r="C25" s="56" t="s">
        <v>54</v>
      </c>
      <c r="D25" s="42" t="s">
        <v>120</v>
      </c>
      <c r="E25" s="38"/>
      <c r="F25" s="41">
        <v>408.4</v>
      </c>
      <c r="G25" s="38"/>
      <c r="H25" s="31"/>
      <c r="I25" s="8"/>
      <c r="J25" s="8"/>
      <c r="K25" s="8"/>
    </row>
    <row r="26" spans="1:11" ht="16.5" customHeight="1">
      <c r="A26" s="57">
        <v>5</v>
      </c>
      <c r="B26" s="51" t="s">
        <v>69</v>
      </c>
      <c r="C26" s="52" t="s">
        <v>33</v>
      </c>
      <c r="D26" s="51" t="s">
        <v>25</v>
      </c>
      <c r="E26" s="22">
        <v>506.1</v>
      </c>
      <c r="F26" s="41">
        <v>138.44999999999999</v>
      </c>
      <c r="G26" s="23">
        <v>421.12</v>
      </c>
      <c r="H26" s="31"/>
      <c r="I26" s="8"/>
      <c r="J26" s="8"/>
      <c r="K26" s="8"/>
    </row>
    <row r="27" spans="1:11" ht="16.5" customHeight="1">
      <c r="A27" s="57">
        <v>6</v>
      </c>
      <c r="B27" s="13" t="s">
        <v>23</v>
      </c>
      <c r="C27" s="14" t="s">
        <v>24</v>
      </c>
      <c r="D27" s="38"/>
      <c r="E27" s="22">
        <v>506.1</v>
      </c>
      <c r="F27" s="41">
        <v>6.15</v>
      </c>
      <c r="G27" s="23">
        <v>6411.99</v>
      </c>
      <c r="H27" s="31"/>
      <c r="I27" s="8"/>
      <c r="J27" s="8"/>
      <c r="K27" s="8"/>
    </row>
    <row r="28" spans="1:11" ht="15.75" customHeight="1">
      <c r="A28" s="145" t="s">
        <v>99</v>
      </c>
      <c r="B28" s="145"/>
      <c r="C28" s="145"/>
      <c r="D28" s="145"/>
      <c r="E28" s="145"/>
      <c r="F28" s="145"/>
      <c r="G28" s="145"/>
      <c r="H28" s="31"/>
      <c r="I28" s="8"/>
      <c r="J28" s="8"/>
      <c r="K28" s="8"/>
    </row>
    <row r="29" spans="1:11" hidden="1">
      <c r="A29" s="57"/>
      <c r="B29" s="67" t="s">
        <v>28</v>
      </c>
      <c r="C29" s="67"/>
      <c r="D29" s="67"/>
      <c r="E29" s="67"/>
      <c r="F29" s="67"/>
      <c r="G29" s="23"/>
      <c r="H29" s="31"/>
      <c r="I29" s="8"/>
      <c r="J29" s="8"/>
      <c r="K29" s="8"/>
    </row>
    <row r="30" spans="1:11" ht="13.5" hidden="1" customHeight="1">
      <c r="A30" s="57">
        <v>2</v>
      </c>
      <c r="B30" s="42" t="s">
        <v>135</v>
      </c>
      <c r="C30" s="56" t="s">
        <v>112</v>
      </c>
      <c r="D30" s="42" t="s">
        <v>130</v>
      </c>
      <c r="E30" s="17">
        <v>2.31</v>
      </c>
      <c r="F30" s="41">
        <v>146.79</v>
      </c>
      <c r="G30" s="16">
        <v>187.63</v>
      </c>
      <c r="H30" s="31"/>
      <c r="I30" s="8"/>
      <c r="J30" s="8"/>
      <c r="K30" s="8"/>
    </row>
    <row r="31" spans="1:11" ht="45" hidden="1">
      <c r="A31" s="57">
        <v>3</v>
      </c>
      <c r="B31" s="42" t="s">
        <v>134</v>
      </c>
      <c r="C31" s="56" t="s">
        <v>112</v>
      </c>
      <c r="D31" s="42" t="s">
        <v>131</v>
      </c>
      <c r="E31" s="16">
        <f>0.0024*3*4.5</f>
        <v>3.2399999999999998E-2</v>
      </c>
      <c r="F31" s="41">
        <v>243.54</v>
      </c>
      <c r="G31" s="23">
        <v>836.01</v>
      </c>
      <c r="H31" s="31"/>
      <c r="I31" s="8"/>
      <c r="J31" s="8"/>
      <c r="K31" s="8"/>
    </row>
    <row r="32" spans="1:11" ht="15" hidden="1" customHeight="1">
      <c r="A32" s="57">
        <v>4</v>
      </c>
      <c r="B32" s="42" t="s">
        <v>27</v>
      </c>
      <c r="C32" s="56" t="s">
        <v>112</v>
      </c>
      <c r="D32" s="42" t="s">
        <v>55</v>
      </c>
      <c r="E32" s="21">
        <v>0</v>
      </c>
      <c r="F32" s="41">
        <v>2844</v>
      </c>
      <c r="G32" s="23">
        <v>0</v>
      </c>
      <c r="H32" s="31"/>
      <c r="I32" s="8"/>
      <c r="J32" s="8"/>
      <c r="K32" s="8"/>
    </row>
    <row r="33" spans="1:12" ht="15" hidden="1" customHeight="1">
      <c r="A33" s="57">
        <v>5</v>
      </c>
      <c r="B33" s="42" t="s">
        <v>133</v>
      </c>
      <c r="C33" s="56" t="s">
        <v>31</v>
      </c>
      <c r="D33" s="42" t="s">
        <v>68</v>
      </c>
      <c r="E33" s="21">
        <v>0</v>
      </c>
      <c r="F33" s="41">
        <v>53.38</v>
      </c>
      <c r="G33" s="23">
        <v>0</v>
      </c>
      <c r="H33" s="31"/>
      <c r="I33" s="8"/>
    </row>
    <row r="34" spans="1:12" ht="24" hidden="1" customHeight="1">
      <c r="A34" s="57">
        <v>4</v>
      </c>
      <c r="B34" s="42" t="s">
        <v>70</v>
      </c>
      <c r="C34" s="56" t="s">
        <v>33</v>
      </c>
      <c r="D34" s="42" t="s">
        <v>72</v>
      </c>
      <c r="E34" s="16">
        <v>3.75</v>
      </c>
      <c r="F34" s="41">
        <v>180.15</v>
      </c>
      <c r="G34" s="16">
        <v>488.16</v>
      </c>
      <c r="H34" s="32"/>
    </row>
    <row r="35" spans="1:12" ht="24" hidden="1" customHeight="1">
      <c r="A35" s="38">
        <v>8</v>
      </c>
      <c r="B35" s="42" t="s">
        <v>71</v>
      </c>
      <c r="C35" s="56" t="s">
        <v>32</v>
      </c>
      <c r="D35" s="42" t="s">
        <v>72</v>
      </c>
      <c r="E35" s="16"/>
      <c r="F35" s="41">
        <v>1214.74</v>
      </c>
      <c r="G35" s="16">
        <v>0</v>
      </c>
      <c r="H35" s="32"/>
    </row>
    <row r="36" spans="1:12" ht="15.75" customHeight="1">
      <c r="A36" s="57"/>
      <c r="B36" s="65" t="s">
        <v>5</v>
      </c>
      <c r="C36" s="65"/>
      <c r="D36" s="65"/>
      <c r="E36" s="16"/>
      <c r="F36" s="17"/>
      <c r="G36" s="23"/>
      <c r="H36" s="32"/>
    </row>
    <row r="37" spans="1:12" ht="15.75" customHeight="1">
      <c r="A37" s="43">
        <v>7</v>
      </c>
      <c r="B37" s="44" t="s">
        <v>26</v>
      </c>
      <c r="C37" s="56" t="s">
        <v>32</v>
      </c>
      <c r="D37" s="42"/>
      <c r="E37" s="16">
        <v>0</v>
      </c>
      <c r="F37" s="41">
        <v>1632.6</v>
      </c>
      <c r="G37" s="16">
        <v>816.3</v>
      </c>
      <c r="H37" s="32"/>
    </row>
    <row r="38" spans="1:12" ht="15.75" customHeight="1">
      <c r="A38" s="43">
        <v>8</v>
      </c>
      <c r="B38" s="44" t="s">
        <v>136</v>
      </c>
      <c r="C38" s="80" t="s">
        <v>29</v>
      </c>
      <c r="D38" s="42" t="s">
        <v>110</v>
      </c>
      <c r="E38" s="16">
        <v>0</v>
      </c>
      <c r="F38" s="41">
        <v>1979.95</v>
      </c>
      <c r="G38" s="16">
        <v>475.19</v>
      </c>
      <c r="H38" s="32"/>
    </row>
    <row r="39" spans="1:12" ht="15.75" customHeight="1">
      <c r="A39" s="43">
        <v>9</v>
      </c>
      <c r="B39" s="42" t="s">
        <v>73</v>
      </c>
      <c r="C39" s="56" t="s">
        <v>29</v>
      </c>
      <c r="D39" s="42" t="s">
        <v>111</v>
      </c>
      <c r="E39" s="16">
        <v>0</v>
      </c>
      <c r="F39" s="41">
        <v>330.27</v>
      </c>
      <c r="G39" s="16">
        <v>409.79</v>
      </c>
      <c r="H39" s="32"/>
    </row>
    <row r="40" spans="1:12" ht="47.25" customHeight="1">
      <c r="A40" s="43">
        <v>10</v>
      </c>
      <c r="B40" s="42" t="s">
        <v>96</v>
      </c>
      <c r="C40" s="56" t="s">
        <v>112</v>
      </c>
      <c r="D40" s="42" t="s">
        <v>137</v>
      </c>
      <c r="E40" s="16">
        <v>0</v>
      </c>
      <c r="F40" s="41">
        <v>5464.48</v>
      </c>
      <c r="G40" s="16">
        <v>1531.01</v>
      </c>
      <c r="H40" s="32"/>
    </row>
    <row r="41" spans="1:12" ht="15.75" customHeight="1">
      <c r="A41" s="43">
        <v>11</v>
      </c>
      <c r="B41" s="42" t="s">
        <v>113</v>
      </c>
      <c r="C41" s="56" t="s">
        <v>112</v>
      </c>
      <c r="D41" s="42" t="s">
        <v>74</v>
      </c>
      <c r="E41" s="16">
        <v>0</v>
      </c>
      <c r="F41" s="41">
        <v>403.67</v>
      </c>
      <c r="G41" s="16">
        <v>145.41</v>
      </c>
      <c r="H41" s="32"/>
      <c r="J41" s="25"/>
      <c r="K41" s="26"/>
      <c r="L41" s="27"/>
    </row>
    <row r="42" spans="1:12" ht="15.75" customHeight="1">
      <c r="A42" s="43">
        <v>12</v>
      </c>
      <c r="B42" s="44" t="s">
        <v>75</v>
      </c>
      <c r="C42" s="80" t="s">
        <v>33</v>
      </c>
      <c r="D42" s="44"/>
      <c r="E42" s="16"/>
      <c r="F42" s="45">
        <v>750.34</v>
      </c>
      <c r="G42" s="16">
        <v>66.28</v>
      </c>
      <c r="H42" s="32"/>
      <c r="J42" s="25"/>
      <c r="K42" s="26"/>
      <c r="L42" s="27"/>
    </row>
    <row r="43" spans="1:12" ht="15.75" customHeight="1">
      <c r="A43" s="152" t="s">
        <v>166</v>
      </c>
      <c r="B43" s="153"/>
      <c r="C43" s="153"/>
      <c r="D43" s="153"/>
      <c r="E43" s="153"/>
      <c r="F43" s="153"/>
      <c r="G43" s="154"/>
      <c r="H43" s="32"/>
      <c r="J43" s="25"/>
      <c r="K43" s="26"/>
      <c r="L43" s="27"/>
    </row>
    <row r="44" spans="1:12" ht="15.75" hidden="1" customHeight="1">
      <c r="A44" s="57">
        <v>15</v>
      </c>
      <c r="B44" s="42" t="s">
        <v>138</v>
      </c>
      <c r="C44" s="56" t="s">
        <v>112</v>
      </c>
      <c r="D44" s="42" t="s">
        <v>43</v>
      </c>
      <c r="E44" s="23">
        <v>0.42</v>
      </c>
      <c r="F44" s="48">
        <v>762.53</v>
      </c>
      <c r="G44" s="24">
        <v>0</v>
      </c>
      <c r="H44" s="32"/>
      <c r="J44" s="25"/>
      <c r="K44" s="26"/>
      <c r="L44" s="27"/>
    </row>
    <row r="45" spans="1:12" ht="17.25" hidden="1" customHeight="1">
      <c r="A45" s="57">
        <v>16</v>
      </c>
      <c r="B45" s="42" t="s">
        <v>36</v>
      </c>
      <c r="C45" s="56" t="s">
        <v>112</v>
      </c>
      <c r="D45" s="42" t="s">
        <v>43</v>
      </c>
      <c r="E45" s="23">
        <v>1.35</v>
      </c>
      <c r="F45" s="48">
        <v>545.65</v>
      </c>
      <c r="G45" s="24">
        <v>0</v>
      </c>
      <c r="H45" s="32"/>
      <c r="J45" s="25"/>
      <c r="K45" s="26"/>
      <c r="L45" s="27"/>
    </row>
    <row r="46" spans="1:12" ht="15" hidden="1" customHeight="1">
      <c r="A46" s="57">
        <v>17</v>
      </c>
      <c r="B46" s="42" t="s">
        <v>37</v>
      </c>
      <c r="C46" s="56" t="s">
        <v>112</v>
      </c>
      <c r="D46" s="42" t="s">
        <v>43</v>
      </c>
      <c r="E46" s="23">
        <v>0.03</v>
      </c>
      <c r="F46" s="48">
        <v>545.65</v>
      </c>
      <c r="G46" s="24">
        <v>0</v>
      </c>
      <c r="H46" s="32"/>
      <c r="J46" s="25"/>
      <c r="K46" s="26"/>
      <c r="L46" s="27"/>
    </row>
    <row r="47" spans="1:12" ht="13.5" hidden="1" customHeight="1">
      <c r="A47" s="57">
        <v>18</v>
      </c>
      <c r="B47" s="42" t="s">
        <v>38</v>
      </c>
      <c r="C47" s="56" t="s">
        <v>112</v>
      </c>
      <c r="D47" s="42" t="s">
        <v>43</v>
      </c>
      <c r="E47" s="23">
        <v>0.33</v>
      </c>
      <c r="F47" s="48">
        <v>571.35</v>
      </c>
      <c r="G47" s="24">
        <v>0</v>
      </c>
      <c r="H47" s="32"/>
      <c r="J47" s="25"/>
      <c r="K47" s="26"/>
      <c r="L47" s="27"/>
    </row>
    <row r="48" spans="1:12" ht="15.75" hidden="1" customHeight="1">
      <c r="A48" s="57">
        <v>19</v>
      </c>
      <c r="B48" s="42" t="s">
        <v>34</v>
      </c>
      <c r="C48" s="56" t="s">
        <v>35</v>
      </c>
      <c r="D48" s="42" t="s">
        <v>43</v>
      </c>
      <c r="E48" s="23">
        <v>0.22</v>
      </c>
      <c r="F48" s="48">
        <v>68.56</v>
      </c>
      <c r="G48" s="16">
        <v>0</v>
      </c>
      <c r="H48" s="32"/>
      <c r="J48" s="25"/>
      <c r="K48" s="26"/>
      <c r="L48" s="27"/>
    </row>
    <row r="49" spans="1:12" ht="15.75" customHeight="1">
      <c r="A49" s="57">
        <v>13</v>
      </c>
      <c r="B49" s="42" t="s">
        <v>59</v>
      </c>
      <c r="C49" s="56" t="s">
        <v>112</v>
      </c>
      <c r="D49" s="42" t="s">
        <v>167</v>
      </c>
      <c r="E49" s="23">
        <v>0.22</v>
      </c>
      <c r="F49" s="48">
        <v>1142.7</v>
      </c>
      <c r="G49" s="24">
        <v>1302.68</v>
      </c>
      <c r="H49" s="32"/>
      <c r="J49" s="25"/>
      <c r="K49" s="26"/>
      <c r="L49" s="27"/>
    </row>
    <row r="50" spans="1:12" ht="31.5" hidden="1" customHeight="1">
      <c r="A50" s="57">
        <v>14</v>
      </c>
      <c r="B50" s="42" t="s">
        <v>114</v>
      </c>
      <c r="C50" s="56" t="s">
        <v>112</v>
      </c>
      <c r="D50" s="42" t="s">
        <v>43</v>
      </c>
      <c r="E50" s="23">
        <v>0.02</v>
      </c>
      <c r="F50" s="48">
        <v>1142.7</v>
      </c>
      <c r="G50" s="24">
        <v>1302.68</v>
      </c>
      <c r="H50" s="32"/>
      <c r="J50" s="25"/>
      <c r="K50" s="26"/>
      <c r="L50" s="27"/>
    </row>
    <row r="51" spans="1:12" ht="31.5" hidden="1" customHeight="1">
      <c r="A51" s="57">
        <v>15</v>
      </c>
      <c r="B51" s="42" t="s">
        <v>115</v>
      </c>
      <c r="C51" s="56" t="s">
        <v>39</v>
      </c>
      <c r="D51" s="42" t="s">
        <v>43</v>
      </c>
      <c r="E51" s="23">
        <v>0.01</v>
      </c>
      <c r="F51" s="48">
        <v>2571.08</v>
      </c>
      <c r="G51" s="24">
        <v>231.4</v>
      </c>
      <c r="H51" s="32"/>
      <c r="J51" s="25"/>
      <c r="K51" s="26"/>
      <c r="L51" s="27"/>
    </row>
    <row r="52" spans="1:12" ht="15.75" hidden="1" customHeight="1">
      <c r="A52" s="57">
        <v>23</v>
      </c>
      <c r="B52" s="42" t="s">
        <v>40</v>
      </c>
      <c r="C52" s="56" t="s">
        <v>41</v>
      </c>
      <c r="D52" s="42" t="s">
        <v>43</v>
      </c>
      <c r="E52" s="23">
        <v>8</v>
      </c>
      <c r="F52" s="48">
        <v>5322.15</v>
      </c>
      <c r="G52" s="16">
        <v>0</v>
      </c>
      <c r="H52" s="32"/>
      <c r="J52" s="25"/>
      <c r="K52" s="26"/>
      <c r="L52" s="27"/>
    </row>
    <row r="53" spans="1:12" ht="15" hidden="1" customHeight="1">
      <c r="A53" s="57">
        <v>24</v>
      </c>
      <c r="B53" s="42" t="s">
        <v>42</v>
      </c>
      <c r="C53" s="56" t="s">
        <v>140</v>
      </c>
      <c r="D53" s="42" t="s">
        <v>76</v>
      </c>
      <c r="E53" s="23">
        <v>16</v>
      </c>
      <c r="F53" s="49">
        <v>61.84</v>
      </c>
      <c r="G53" s="16">
        <v>0</v>
      </c>
      <c r="H53" s="32"/>
      <c r="J53" s="25"/>
      <c r="K53" s="26"/>
      <c r="L53" s="27"/>
    </row>
    <row r="54" spans="1:12" ht="15.75" customHeight="1">
      <c r="A54" s="152" t="s">
        <v>168</v>
      </c>
      <c r="B54" s="153"/>
      <c r="C54" s="153"/>
      <c r="D54" s="153"/>
      <c r="E54" s="153"/>
      <c r="F54" s="153"/>
      <c r="G54" s="154"/>
      <c r="H54" s="32"/>
      <c r="J54" s="25"/>
      <c r="K54" s="26"/>
      <c r="L54" s="27"/>
    </row>
    <row r="55" spans="1:12" ht="15.75" customHeight="1">
      <c r="A55" s="69"/>
      <c r="B55" s="64" t="s">
        <v>44</v>
      </c>
      <c r="C55" s="20"/>
      <c r="D55" s="19"/>
      <c r="E55" s="19"/>
      <c r="F55" s="38"/>
      <c r="G55" s="23"/>
      <c r="H55" s="32"/>
      <c r="J55" s="25"/>
      <c r="K55" s="26"/>
      <c r="L55" s="27"/>
    </row>
    <row r="56" spans="1:12" ht="31.5" customHeight="1">
      <c r="A56" s="57">
        <v>14</v>
      </c>
      <c r="B56" s="42" t="s">
        <v>141</v>
      </c>
      <c r="C56" s="56" t="s">
        <v>104</v>
      </c>
      <c r="D56" s="42" t="s">
        <v>142</v>
      </c>
      <c r="E56" s="23">
        <v>0</v>
      </c>
      <c r="F56" s="48">
        <v>1456.95</v>
      </c>
      <c r="G56" s="24">
        <v>1053.81</v>
      </c>
      <c r="H56" s="32"/>
      <c r="J56" s="25"/>
      <c r="K56" s="26"/>
      <c r="L56" s="27"/>
    </row>
    <row r="57" spans="1:12" ht="15.75" hidden="1" customHeight="1">
      <c r="A57" s="57"/>
      <c r="B57" s="155" t="s">
        <v>45</v>
      </c>
      <c r="C57" s="156"/>
      <c r="D57" s="156"/>
      <c r="E57" s="156"/>
      <c r="F57" s="157"/>
      <c r="G57" s="47"/>
      <c r="H57" s="32"/>
      <c r="J57" s="25"/>
      <c r="K57" s="26"/>
      <c r="L57" s="27"/>
    </row>
    <row r="58" spans="1:12" ht="15.75" hidden="1" customHeight="1">
      <c r="A58" s="57">
        <v>27</v>
      </c>
      <c r="B58" s="42" t="s">
        <v>143</v>
      </c>
      <c r="C58" s="56"/>
      <c r="D58" s="18" t="s">
        <v>55</v>
      </c>
      <c r="E58" s="23">
        <v>0</v>
      </c>
      <c r="F58" s="48">
        <v>848.37</v>
      </c>
      <c r="G58" s="24">
        <f>E58/2</f>
        <v>0</v>
      </c>
      <c r="H58" s="32"/>
      <c r="J58" s="25"/>
      <c r="K58" s="26"/>
      <c r="L58" s="27"/>
    </row>
    <row r="59" spans="1:12" ht="15.75" hidden="1" customHeight="1">
      <c r="A59" s="57"/>
      <c r="B59" s="79" t="s">
        <v>46</v>
      </c>
      <c r="C59" s="20"/>
      <c r="D59" s="19"/>
      <c r="E59" s="19"/>
      <c r="F59" s="38"/>
      <c r="G59" s="23"/>
      <c r="H59" s="32"/>
      <c r="J59" s="25"/>
      <c r="K59" s="26"/>
      <c r="L59" s="27"/>
    </row>
    <row r="60" spans="1:12" ht="31.5" hidden="1" customHeight="1">
      <c r="A60" s="57">
        <v>17</v>
      </c>
      <c r="B60" s="84" t="s">
        <v>47</v>
      </c>
      <c r="C60" s="52" t="s">
        <v>140</v>
      </c>
      <c r="D60" s="51" t="s">
        <v>132</v>
      </c>
      <c r="E60" s="23">
        <v>0</v>
      </c>
      <c r="F60" s="48">
        <v>237.74</v>
      </c>
      <c r="G60" s="24">
        <v>276.74</v>
      </c>
      <c r="H60" s="32"/>
      <c r="J60" s="25"/>
      <c r="K60" s="26"/>
      <c r="L60" s="27"/>
    </row>
    <row r="61" spans="1:12" ht="31.5" hidden="1" customHeight="1">
      <c r="A61" s="38">
        <v>29</v>
      </c>
      <c r="B61" s="84" t="s">
        <v>48</v>
      </c>
      <c r="C61" s="52" t="s">
        <v>140</v>
      </c>
      <c r="D61" s="51" t="s">
        <v>132</v>
      </c>
      <c r="E61" s="23">
        <v>0</v>
      </c>
      <c r="F61" s="48">
        <v>81.510000000000005</v>
      </c>
      <c r="G61" s="24">
        <f>E61/2</f>
        <v>0</v>
      </c>
      <c r="H61" s="32"/>
      <c r="J61" s="25"/>
      <c r="K61" s="26"/>
      <c r="L61" s="27"/>
    </row>
    <row r="62" spans="1:12" ht="16.5" hidden="1" customHeight="1">
      <c r="A62" s="38">
        <v>8</v>
      </c>
      <c r="B62" s="84" t="s">
        <v>49</v>
      </c>
      <c r="C62" s="54" t="s">
        <v>144</v>
      </c>
      <c r="D62" s="51" t="s">
        <v>55</v>
      </c>
      <c r="E62" s="23">
        <v>13.47</v>
      </c>
      <c r="F62" s="48">
        <v>226.79</v>
      </c>
      <c r="G62" s="23">
        <v>7955.63</v>
      </c>
      <c r="H62" s="32"/>
      <c r="J62" s="25"/>
      <c r="K62" s="26"/>
      <c r="L62" s="27"/>
    </row>
    <row r="63" spans="1:12" ht="15" hidden="1" customHeight="1">
      <c r="A63" s="38">
        <v>9</v>
      </c>
      <c r="B63" s="84" t="s">
        <v>50</v>
      </c>
      <c r="C63" s="52" t="s">
        <v>145</v>
      </c>
      <c r="D63" s="51"/>
      <c r="E63" s="23">
        <v>1.35</v>
      </c>
      <c r="F63" s="48">
        <v>176.61</v>
      </c>
      <c r="G63" s="23">
        <v>619.54</v>
      </c>
      <c r="H63" s="32"/>
      <c r="J63" s="25"/>
      <c r="K63" s="26"/>
      <c r="L63" s="27"/>
    </row>
    <row r="64" spans="1:12" hidden="1">
      <c r="A64" s="38">
        <v>10</v>
      </c>
      <c r="B64" s="84" t="s">
        <v>51</v>
      </c>
      <c r="C64" s="52" t="s">
        <v>83</v>
      </c>
      <c r="D64" s="51" t="s">
        <v>55</v>
      </c>
      <c r="E64" s="23">
        <v>0</v>
      </c>
      <c r="F64" s="48">
        <v>2217.7800000000002</v>
      </c>
      <c r="G64" s="23">
        <v>12447.78</v>
      </c>
      <c r="H64" s="32"/>
      <c r="J64" s="25"/>
    </row>
    <row r="65" spans="1:20" hidden="1">
      <c r="A65" s="38">
        <v>11</v>
      </c>
      <c r="B65" s="70" t="s">
        <v>146</v>
      </c>
      <c r="C65" s="52" t="s">
        <v>33</v>
      </c>
      <c r="D65" s="51"/>
      <c r="E65" s="15">
        <v>0</v>
      </c>
      <c r="F65" s="48">
        <v>42.67</v>
      </c>
      <c r="G65" s="23">
        <v>0</v>
      </c>
    </row>
    <row r="66" spans="1:20" hidden="1">
      <c r="A66" s="38">
        <v>12</v>
      </c>
      <c r="B66" s="70" t="s">
        <v>147</v>
      </c>
      <c r="C66" s="52" t="s">
        <v>33</v>
      </c>
      <c r="D66" s="51"/>
      <c r="E66" s="15"/>
      <c r="F66" s="48">
        <v>39.81</v>
      </c>
      <c r="G66" s="23">
        <v>543.84</v>
      </c>
    </row>
    <row r="67" spans="1:20" hidden="1">
      <c r="A67" s="38">
        <v>13</v>
      </c>
      <c r="B67" s="51" t="s">
        <v>60</v>
      </c>
      <c r="C67" s="52" t="s">
        <v>61</v>
      </c>
      <c r="D67" s="51" t="s">
        <v>55</v>
      </c>
      <c r="E67" s="15"/>
      <c r="F67" s="48">
        <v>53.32</v>
      </c>
      <c r="G67" s="23">
        <v>507.36</v>
      </c>
    </row>
    <row r="68" spans="1:20" ht="15.75" hidden="1" customHeight="1">
      <c r="A68" s="69"/>
      <c r="B68" s="155" t="s">
        <v>116</v>
      </c>
      <c r="C68" s="156"/>
      <c r="D68" s="156"/>
      <c r="E68" s="156"/>
      <c r="F68" s="157"/>
      <c r="G68" s="2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9"/>
    </row>
    <row r="69" spans="1:20" ht="15.75" hidden="1" customHeight="1">
      <c r="A69" s="38">
        <v>36</v>
      </c>
      <c r="B69" s="42" t="s">
        <v>148</v>
      </c>
      <c r="C69" s="85"/>
      <c r="D69" s="51" t="s">
        <v>55</v>
      </c>
      <c r="E69" s="23">
        <v>0</v>
      </c>
      <c r="F69" s="50"/>
      <c r="G69" s="23">
        <v>0</v>
      </c>
      <c r="H69" s="34"/>
      <c r="I69" s="34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20" ht="15.75" hidden="1">
      <c r="A70" s="38"/>
      <c r="B70" s="65" t="s">
        <v>77</v>
      </c>
      <c r="C70" s="65"/>
      <c r="D70" s="65"/>
      <c r="E70" s="23"/>
      <c r="F70" s="38"/>
      <c r="G70" s="23"/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</row>
    <row r="71" spans="1:20" ht="15.75" hidden="1" customHeight="1">
      <c r="A71" s="38">
        <v>17</v>
      </c>
      <c r="B71" s="51" t="s">
        <v>78</v>
      </c>
      <c r="C71" s="52" t="s">
        <v>80</v>
      </c>
      <c r="D71" s="51" t="s">
        <v>72</v>
      </c>
      <c r="E71" s="23"/>
      <c r="F71" s="48">
        <v>536.23</v>
      </c>
      <c r="G71" s="23">
        <v>321.74</v>
      </c>
      <c r="H71" s="5"/>
      <c r="I71" s="5"/>
      <c r="J71" s="5"/>
      <c r="K71" s="5"/>
      <c r="L71" s="5"/>
      <c r="M71" s="5"/>
      <c r="N71" s="5"/>
      <c r="O71" s="5"/>
      <c r="P71" s="134"/>
      <c r="Q71" s="134"/>
      <c r="R71" s="134"/>
      <c r="S71" s="134"/>
    </row>
    <row r="72" spans="1:20" ht="15.75" hidden="1" customHeight="1">
      <c r="A72" s="38"/>
      <c r="B72" s="51" t="s">
        <v>79</v>
      </c>
      <c r="C72" s="52" t="s">
        <v>31</v>
      </c>
      <c r="D72" s="51" t="s">
        <v>72</v>
      </c>
      <c r="E72" s="23"/>
      <c r="F72" s="48">
        <v>911.85</v>
      </c>
      <c r="G72" s="2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20" ht="15.75" hidden="1" customHeight="1">
      <c r="A73" s="38">
        <v>38</v>
      </c>
      <c r="B73" s="51" t="s">
        <v>149</v>
      </c>
      <c r="C73" s="52" t="s">
        <v>31</v>
      </c>
      <c r="D73" s="51" t="s">
        <v>72</v>
      </c>
      <c r="E73" s="23"/>
      <c r="F73" s="48">
        <v>383.25</v>
      </c>
      <c r="G73" s="23">
        <v>0</v>
      </c>
    </row>
    <row r="74" spans="1:20" hidden="1">
      <c r="A74" s="38"/>
      <c r="B74" s="66" t="s">
        <v>81</v>
      </c>
      <c r="C74" s="52"/>
      <c r="D74" s="38"/>
      <c r="E74" s="23"/>
      <c r="F74" s="48"/>
      <c r="G74" s="23"/>
    </row>
    <row r="75" spans="1:20" ht="15.75" hidden="1" customHeight="1">
      <c r="A75" s="38">
        <v>39</v>
      </c>
      <c r="B75" s="53" t="s">
        <v>82</v>
      </c>
      <c r="C75" s="54" t="s">
        <v>83</v>
      </c>
      <c r="D75" s="84"/>
      <c r="E75" s="23"/>
      <c r="F75" s="49">
        <v>2949.85</v>
      </c>
      <c r="G75" s="23">
        <v>0</v>
      </c>
    </row>
    <row r="76" spans="1:20">
      <c r="A76" s="158" t="s">
        <v>169</v>
      </c>
      <c r="B76" s="159"/>
      <c r="C76" s="159"/>
      <c r="D76" s="159"/>
      <c r="E76" s="159"/>
      <c r="F76" s="159"/>
      <c r="G76" s="160"/>
    </row>
    <row r="77" spans="1:20">
      <c r="A77" s="38">
        <v>15</v>
      </c>
      <c r="B77" s="42" t="s">
        <v>150</v>
      </c>
      <c r="C77" s="52" t="s">
        <v>56</v>
      </c>
      <c r="D77" s="86" t="s">
        <v>57</v>
      </c>
      <c r="E77" s="19">
        <v>327.9</v>
      </c>
      <c r="F77" s="48">
        <v>2.2400000000000002</v>
      </c>
      <c r="G77" s="16">
        <v>2335.42</v>
      </c>
    </row>
    <row r="78" spans="1:20" ht="30">
      <c r="A78" s="38">
        <v>16</v>
      </c>
      <c r="B78" s="51" t="s">
        <v>84</v>
      </c>
      <c r="C78" s="52"/>
      <c r="D78" s="86" t="s">
        <v>57</v>
      </c>
      <c r="E78" s="19"/>
      <c r="F78" s="48">
        <v>1.74</v>
      </c>
      <c r="G78" s="16">
        <v>1814.12</v>
      </c>
    </row>
    <row r="79" spans="1:20" ht="15.75" customHeight="1">
      <c r="A79" s="69"/>
      <c r="B79" s="55" t="s">
        <v>88</v>
      </c>
      <c r="C79" s="57"/>
      <c r="D79" s="19"/>
      <c r="E79" s="19"/>
      <c r="F79" s="23"/>
      <c r="G79" s="40">
        <f>SUM(G16+G17+G18+G19+G26+G27+G37+G38+G39+G40+G41+G42+G49+G56+G77+G78)</f>
        <v>20156.039999999997</v>
      </c>
    </row>
    <row r="80" spans="1:20">
      <c r="A80" s="69"/>
      <c r="B80" s="81" t="s">
        <v>63</v>
      </c>
      <c r="C80" s="81"/>
      <c r="D80" s="81"/>
      <c r="E80" s="81"/>
      <c r="F80" s="81"/>
      <c r="G80" s="81"/>
    </row>
    <row r="81" spans="1:7">
      <c r="A81" s="38">
        <v>17</v>
      </c>
      <c r="B81" s="90" t="s">
        <v>98</v>
      </c>
      <c r="C81" s="91" t="s">
        <v>80</v>
      </c>
      <c r="D81" s="16">
        <f>2/10</f>
        <v>0.2</v>
      </c>
      <c r="E81" s="19"/>
      <c r="F81" s="16">
        <v>3800</v>
      </c>
      <c r="G81" s="16">
        <v>760</v>
      </c>
    </row>
    <row r="82" spans="1:7" ht="15.75" customHeight="1">
      <c r="A82" s="38">
        <v>18</v>
      </c>
      <c r="B82" s="90" t="s">
        <v>159</v>
      </c>
      <c r="C82" s="91" t="s">
        <v>80</v>
      </c>
      <c r="D82" s="16">
        <f>2/10</f>
        <v>0.2</v>
      </c>
      <c r="E82" s="19"/>
      <c r="F82" s="16">
        <v>3800</v>
      </c>
      <c r="G82" s="16">
        <v>760</v>
      </c>
    </row>
    <row r="83" spans="1:7">
      <c r="A83" s="38">
        <v>19</v>
      </c>
      <c r="B83" s="82" t="s">
        <v>160</v>
      </c>
      <c r="C83" s="83" t="s">
        <v>161</v>
      </c>
      <c r="D83" s="16">
        <v>1</v>
      </c>
      <c r="E83" s="19"/>
      <c r="F83" s="16">
        <v>92.24</v>
      </c>
      <c r="G83" s="16">
        <v>92.24</v>
      </c>
    </row>
    <row r="84" spans="1:7">
      <c r="A84" s="38"/>
      <c r="B84" s="62" t="s">
        <v>52</v>
      </c>
      <c r="C84" s="58"/>
      <c r="D84" s="71"/>
      <c r="E84" s="58">
        <v>1</v>
      </c>
      <c r="F84" s="58"/>
      <c r="G84" s="40">
        <f>SUM(G81:G83)</f>
        <v>1612.24</v>
      </c>
    </row>
    <row r="85" spans="1:7" ht="16.5" customHeight="1">
      <c r="A85" s="38"/>
      <c r="B85" s="68" t="s">
        <v>85</v>
      </c>
      <c r="C85" s="19"/>
      <c r="D85" s="19"/>
      <c r="E85" s="59"/>
      <c r="F85" s="60"/>
      <c r="G85" s="22">
        <v>0</v>
      </c>
    </row>
    <row r="86" spans="1:7" ht="16.5" customHeight="1">
      <c r="A86" s="72"/>
      <c r="B86" s="63" t="s">
        <v>53</v>
      </c>
      <c r="C86" s="46"/>
      <c r="D86" s="46"/>
      <c r="E86" s="46"/>
      <c r="F86" s="46"/>
      <c r="G86" s="61">
        <f>G79+G84</f>
        <v>21768.28</v>
      </c>
    </row>
    <row r="87" spans="1:7" ht="15.75" customHeight="1">
      <c r="A87" s="143" t="s">
        <v>163</v>
      </c>
      <c r="B87" s="143"/>
      <c r="C87" s="143"/>
      <c r="D87" s="143"/>
      <c r="E87" s="143"/>
      <c r="F87" s="143"/>
      <c r="G87" s="143"/>
    </row>
    <row r="88" spans="1:7" ht="15.75" customHeight="1">
      <c r="A88" s="78"/>
      <c r="B88" s="144" t="s">
        <v>164</v>
      </c>
      <c r="C88" s="144"/>
      <c r="D88" s="144"/>
      <c r="E88" s="144"/>
      <c r="F88" s="144"/>
      <c r="G88" s="3"/>
    </row>
    <row r="89" spans="1:7">
      <c r="A89" s="75"/>
      <c r="B89" s="141" t="s">
        <v>6</v>
      </c>
      <c r="C89" s="141"/>
      <c r="D89" s="141"/>
      <c r="E89" s="141"/>
      <c r="F89" s="141"/>
      <c r="G89" s="5"/>
    </row>
    <row r="90" spans="1:7" ht="15.75" customHeight="1">
      <c r="A90" s="10"/>
      <c r="B90" s="10"/>
      <c r="C90" s="10"/>
      <c r="D90" s="10"/>
      <c r="E90" s="10"/>
      <c r="F90" s="10"/>
      <c r="G90" s="10"/>
    </row>
    <row r="91" spans="1:7" ht="15.75">
      <c r="A91" s="137" t="s">
        <v>7</v>
      </c>
      <c r="B91" s="137"/>
      <c r="C91" s="137"/>
      <c r="D91" s="137"/>
      <c r="E91" s="137"/>
      <c r="F91" s="137"/>
      <c r="G91" s="137"/>
    </row>
    <row r="92" spans="1:7" ht="15.75">
      <c r="A92" s="137" t="s">
        <v>8</v>
      </c>
      <c r="B92" s="137"/>
      <c r="C92" s="137"/>
      <c r="D92" s="137"/>
      <c r="E92" s="137"/>
      <c r="F92" s="137"/>
      <c r="G92" s="137"/>
    </row>
    <row r="93" spans="1:7" ht="15.75">
      <c r="A93" s="138" t="s">
        <v>64</v>
      </c>
      <c r="B93" s="138"/>
      <c r="C93" s="138"/>
      <c r="D93" s="138"/>
      <c r="E93" s="138"/>
      <c r="F93" s="138"/>
      <c r="G93" s="138"/>
    </row>
    <row r="94" spans="1:7" ht="15.75">
      <c r="A94" s="11"/>
    </row>
    <row r="95" spans="1:7" ht="15.75">
      <c r="A95" s="139" t="s">
        <v>9</v>
      </c>
      <c r="B95" s="139"/>
      <c r="C95" s="139"/>
      <c r="D95" s="139"/>
      <c r="E95" s="139"/>
      <c r="F95" s="139"/>
      <c r="G95" s="139"/>
    </row>
    <row r="96" spans="1:7" ht="15.75">
      <c r="A96" s="4"/>
    </row>
    <row r="97" spans="1:7" ht="15.75">
      <c r="B97" s="73" t="s">
        <v>10</v>
      </c>
      <c r="C97" s="140" t="s">
        <v>165</v>
      </c>
      <c r="D97" s="140"/>
      <c r="E97" s="140"/>
      <c r="G97" s="76"/>
    </row>
    <row r="98" spans="1:7">
      <c r="A98" s="75"/>
      <c r="C98" s="141" t="s">
        <v>11</v>
      </c>
      <c r="D98" s="141"/>
      <c r="E98" s="141"/>
      <c r="G98" s="74" t="s">
        <v>12</v>
      </c>
    </row>
    <row r="99" spans="1:7" ht="15.75">
      <c r="A99" s="34"/>
      <c r="C99" s="12"/>
      <c r="D99" s="12"/>
      <c r="F99" s="12"/>
    </row>
    <row r="100" spans="1:7" ht="15.75">
      <c r="B100" s="73" t="s">
        <v>13</v>
      </c>
      <c r="C100" s="142"/>
      <c r="D100" s="142"/>
      <c r="E100" s="142"/>
      <c r="G100" s="76"/>
    </row>
    <row r="101" spans="1:7">
      <c r="A101" s="75"/>
      <c r="C101" s="134" t="s">
        <v>11</v>
      </c>
      <c r="D101" s="134"/>
      <c r="E101" s="134"/>
      <c r="G101" s="74" t="s">
        <v>12</v>
      </c>
    </row>
    <row r="102" spans="1:7" ht="15.75">
      <c r="A102" s="4" t="s">
        <v>14</v>
      </c>
    </row>
    <row r="103" spans="1:7">
      <c r="A103" s="135" t="s">
        <v>15</v>
      </c>
      <c r="B103" s="135"/>
      <c r="C103" s="135"/>
      <c r="D103" s="135"/>
      <c r="E103" s="135"/>
      <c r="F103" s="135"/>
      <c r="G103" s="135"/>
    </row>
    <row r="104" spans="1:7" ht="47.25" customHeight="1">
      <c r="A104" s="136" t="s">
        <v>16</v>
      </c>
      <c r="B104" s="136"/>
      <c r="C104" s="136"/>
      <c r="D104" s="136"/>
      <c r="E104" s="136"/>
      <c r="F104" s="136"/>
      <c r="G104" s="136"/>
    </row>
    <row r="105" spans="1:7" ht="31.5" customHeight="1">
      <c r="A105" s="136" t="s">
        <v>17</v>
      </c>
      <c r="B105" s="136"/>
      <c r="C105" s="136"/>
      <c r="D105" s="136"/>
      <c r="E105" s="136"/>
      <c r="F105" s="136"/>
      <c r="G105" s="136"/>
    </row>
    <row r="106" spans="1:7" ht="31.5" customHeight="1">
      <c r="A106" s="136" t="s">
        <v>21</v>
      </c>
      <c r="B106" s="136"/>
      <c r="C106" s="136"/>
      <c r="D106" s="136"/>
      <c r="E106" s="136"/>
      <c r="F106" s="136"/>
      <c r="G106" s="136"/>
    </row>
    <row r="107" spans="1:7" ht="15.75">
      <c r="A107" s="136" t="s">
        <v>20</v>
      </c>
      <c r="B107" s="136"/>
      <c r="C107" s="136"/>
      <c r="D107" s="136"/>
      <c r="E107" s="136"/>
      <c r="F107" s="136"/>
      <c r="G107" s="136"/>
    </row>
  </sheetData>
  <autoFilter ref="G12:G66"/>
  <mergeCells count="30">
    <mergeCell ref="A107:G107"/>
    <mergeCell ref="C98:E98"/>
    <mergeCell ref="C100:E100"/>
    <mergeCell ref="C101:E101"/>
    <mergeCell ref="A103:G103"/>
    <mergeCell ref="A104:G104"/>
    <mergeCell ref="A93:G93"/>
    <mergeCell ref="A95:G95"/>
    <mergeCell ref="C97:E97"/>
    <mergeCell ref="A105:G105"/>
    <mergeCell ref="A106:G106"/>
    <mergeCell ref="B88:F88"/>
    <mergeCell ref="B89:F89"/>
    <mergeCell ref="A87:G87"/>
    <mergeCell ref="A91:G91"/>
    <mergeCell ref="A92:G92"/>
    <mergeCell ref="P71:S71"/>
    <mergeCell ref="A54:G54"/>
    <mergeCell ref="B57:F57"/>
    <mergeCell ref="B68:F68"/>
    <mergeCell ref="A3:G3"/>
    <mergeCell ref="A4:G4"/>
    <mergeCell ref="A8:G8"/>
    <mergeCell ref="A10:G10"/>
    <mergeCell ref="A5:G5"/>
    <mergeCell ref="A76:G76"/>
    <mergeCell ref="A14:G14"/>
    <mergeCell ref="A15:G15"/>
    <mergeCell ref="A28:G28"/>
    <mergeCell ref="A43:G4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189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89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42429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hidden="1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hidden="1" customHeight="1">
      <c r="A21" s="38">
        <v>5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hidden="1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v>0</v>
      </c>
      <c r="J22" s="31"/>
      <c r="K22" s="8"/>
      <c r="L22" s="8"/>
      <c r="M22" s="8"/>
    </row>
    <row r="23" spans="1:13" ht="15.75" hidden="1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v>0</v>
      </c>
      <c r="J23" s="31"/>
      <c r="K23" s="8"/>
      <c r="L23" s="8"/>
      <c r="M23" s="8"/>
    </row>
    <row r="24" spans="1:13" ht="15.75" hidden="1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v>0</v>
      </c>
      <c r="J24" s="31"/>
      <c r="K24" s="8"/>
      <c r="L24" s="8"/>
      <c r="M24" s="8"/>
    </row>
    <row r="25" spans="1:13" ht="15.75" hidden="1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v>0</v>
      </c>
      <c r="J25" s="31"/>
      <c r="K25" s="8"/>
      <c r="L25" s="8"/>
      <c r="M25" s="8"/>
    </row>
    <row r="26" spans="1:13" ht="15.75" hidden="1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6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hidden="1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hidden="1" customHeight="1">
      <c r="A31" s="38">
        <v>8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1">SUM(F31*G31/1000)</f>
        <v>2.0347501356</v>
      </c>
      <c r="I31" s="16">
        <f t="shared" ref="I31:I34" si="2">F31/6*G31</f>
        <v>339.12502259999997</v>
      </c>
      <c r="J31" s="31"/>
      <c r="K31" s="8"/>
      <c r="L31" s="8"/>
      <c r="M31" s="8"/>
    </row>
    <row r="32" spans="1:13" ht="31.5" hidden="1" customHeight="1">
      <c r="A32" s="38">
        <v>9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1"/>
        <v>0.91238364360000002</v>
      </c>
      <c r="I32" s="16">
        <f t="shared" si="2"/>
        <v>152.0639406</v>
      </c>
      <c r="J32" s="31"/>
      <c r="K32" s="8"/>
      <c r="L32" s="8"/>
      <c r="M32" s="8"/>
    </row>
    <row r="33" spans="1:14" ht="15.75" hidden="1" customHeight="1">
      <c r="A33" s="38">
        <v>10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1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hidden="1" customHeight="1">
      <c r="A34" s="38">
        <v>10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2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1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1"/>
        <v>1.2147399999999999</v>
      </c>
      <c r="I36" s="16">
        <v>0</v>
      </c>
      <c r="J36" s="32"/>
    </row>
    <row r="37" spans="1:14" ht="15.75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customHeight="1">
      <c r="A38" s="38">
        <v>7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3">SUM(F38*G38/1000)</f>
        <v>4.8977999999999993</v>
      </c>
      <c r="I38" s="16">
        <f t="shared" ref="I38:I43" si="4">F38/6*G38</f>
        <v>816.3</v>
      </c>
      <c r="J38" s="32"/>
    </row>
    <row r="39" spans="1:14" ht="15.75" customHeight="1">
      <c r="A39" s="38">
        <v>8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4"/>
        <v>475.18799999999999</v>
      </c>
      <c r="J39" s="32"/>
      <c r="L39" s="25"/>
      <c r="M39" s="26"/>
      <c r="N39" s="27"/>
    </row>
    <row r="40" spans="1:14" ht="15.75" customHeight="1">
      <c r="A40" s="38">
        <v>9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3"/>
        <v>2.4587445555</v>
      </c>
      <c r="I40" s="16">
        <f t="shared" si="4"/>
        <v>409.79075924999995</v>
      </c>
      <c r="J40" s="32"/>
      <c r="L40" s="25"/>
      <c r="M40" s="26"/>
      <c r="N40" s="27"/>
    </row>
    <row r="41" spans="1:14" ht="47.25" customHeight="1">
      <c r="A41" s="38">
        <v>10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3"/>
        <v>9.1860641039999997</v>
      </c>
      <c r="I41" s="16">
        <f t="shared" si="4"/>
        <v>1531.0106839999999</v>
      </c>
      <c r="J41" s="32"/>
      <c r="L41" s="25"/>
      <c r="M41" s="26"/>
      <c r="N41" s="27"/>
    </row>
    <row r="42" spans="1:14" ht="15.75" customHeight="1">
      <c r="A42" s="38">
        <v>11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3"/>
        <v>0.87247215450000015</v>
      </c>
      <c r="I42" s="16">
        <f t="shared" si="4"/>
        <v>145.41202575000003</v>
      </c>
      <c r="J42" s="32"/>
      <c r="L42" s="25"/>
      <c r="M42" s="26"/>
      <c r="N42" s="27"/>
    </row>
    <row r="43" spans="1:14" ht="15.75" customHeight="1">
      <c r="A43" s="38">
        <v>12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3"/>
        <v>0.39768020000000004</v>
      </c>
      <c r="I43" s="16">
        <f t="shared" si="4"/>
        <v>66.280033333333336</v>
      </c>
      <c r="J43" s="32"/>
      <c r="L43" s="25"/>
      <c r="M43" s="26"/>
      <c r="N43" s="27"/>
    </row>
    <row r="44" spans="1:14" ht="15.75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hidden="1" customHeight="1">
      <c r="A45" s="38"/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5">SUM(F45*G45/1000)</f>
        <v>0.9703194249999999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5"/>
        <v>2.8373799999999998E-2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5"/>
        <v>0.63186269999999989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5"/>
        <v>0.78084119099999993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5"/>
        <v>6.0483632000000002E-2</v>
      </c>
      <c r="I49" s="16">
        <v>0</v>
      </c>
      <c r="J49" s="32"/>
      <c r="L49" s="25"/>
      <c r="M49" s="26"/>
      <c r="N49" s="27"/>
    </row>
    <row r="50" spans="1:22" ht="15.75" customHeight="1">
      <c r="A50" s="38">
        <v>13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5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hidden="1" customHeight="1">
      <c r="A51" s="38"/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5"/>
        <v>2.6053559999999996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5"/>
        <v>0.46279439999999999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5"/>
        <v>0.106443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5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customHeight="1">
      <c r="A55" s="131" t="s">
        <v>168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customHeight="1">
      <c r="A57" s="38">
        <v>14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hidden="1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hidden="1" customHeight="1">
      <c r="A61" s="38">
        <v>17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6">SUM(F61*G61/1000)</f>
        <v>1.1887000000000001</v>
      </c>
      <c r="I61" s="16">
        <f>G61</f>
        <v>237.74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6"/>
        <v>0.16302</v>
      </c>
      <c r="I62" s="16">
        <v>0</v>
      </c>
    </row>
    <row r="63" spans="1:22" ht="15.75" hidden="1" customHeight="1">
      <c r="A63" s="38"/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6"/>
        <v>9.733826800000001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6"/>
        <v>0.75801012000000001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6"/>
        <v>11.310677999999999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6"/>
        <v>0.19628199999999998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hidden="1" customHeight="1">
      <c r="A67" s="38"/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6"/>
        <v>0.18312600000000001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6"/>
        <v>0.15996000000000002</v>
      </c>
      <c r="I68" s="16">
        <v>0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/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6"/>
        <v>0.10724600000000001</v>
      </c>
      <c r="I70" s="16">
        <v>0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6"/>
        <v>0.91185000000000005</v>
      </c>
      <c r="I71" s="16">
        <v>0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6"/>
        <v>0</v>
      </c>
      <c r="I72" s="16"/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v>0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/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6"/>
        <v>0.294985</v>
      </c>
      <c r="I75" s="16">
        <v>0</v>
      </c>
    </row>
    <row r="76" spans="1:21" ht="15.75" hidden="1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11"/>
    </row>
    <row r="77" spans="1:21" ht="15.75" hidden="1" customHeight="1">
      <c r="A77" s="38"/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v>0</v>
      </c>
    </row>
    <row r="78" spans="1:21" ht="15.75" customHeight="1">
      <c r="A78" s="131" t="s">
        <v>169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15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16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I16+I17+I18+I20+I27+I28+I38+I39+I40+I41+I42+I43+I50+I57+I79+I80</f>
        <v>20156.055456666665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31.5" customHeight="1">
      <c r="A83" s="38">
        <v>17</v>
      </c>
      <c r="B83" s="82" t="s">
        <v>177</v>
      </c>
      <c r="C83" s="83" t="s">
        <v>178</v>
      </c>
      <c r="D83" s="68"/>
      <c r="E83" s="16"/>
      <c r="F83" s="16">
        <v>1</v>
      </c>
      <c r="G83" s="16">
        <v>51.39</v>
      </c>
      <c r="H83" s="120">
        <f t="shared" ref="H83:H90" si="7">G83*F83/1000</f>
        <v>5.1389999999999998E-2</v>
      </c>
      <c r="I83" s="16">
        <f>G83</f>
        <v>51.39</v>
      </c>
    </row>
    <row r="84" spans="1:9" ht="15.75" hidden="1" customHeight="1">
      <c r="A84" s="38"/>
      <c r="B84" s="82" t="s">
        <v>179</v>
      </c>
      <c r="C84" s="83" t="s">
        <v>180</v>
      </c>
      <c r="D84" s="68"/>
      <c r="E84" s="16"/>
      <c r="F84" s="16">
        <v>5</v>
      </c>
      <c r="G84" s="16">
        <v>1501</v>
      </c>
      <c r="H84" s="120">
        <f t="shared" si="7"/>
        <v>7.5049999999999999</v>
      </c>
      <c r="I84" s="16">
        <v>0</v>
      </c>
    </row>
    <row r="85" spans="1:9" ht="15.75" hidden="1" customHeight="1">
      <c r="A85" s="38"/>
      <c r="B85" s="82" t="s">
        <v>181</v>
      </c>
      <c r="C85" s="83" t="s">
        <v>182</v>
      </c>
      <c r="D85" s="68"/>
      <c r="E85" s="16"/>
      <c r="F85" s="16">
        <v>1</v>
      </c>
      <c r="G85" s="16">
        <v>1646</v>
      </c>
      <c r="H85" s="120">
        <f t="shared" si="7"/>
        <v>1.6459999999999999</v>
      </c>
      <c r="I85" s="16">
        <v>0</v>
      </c>
    </row>
    <row r="86" spans="1:9" ht="15.75" hidden="1" customHeight="1">
      <c r="A86" s="38"/>
      <c r="B86" s="82" t="s">
        <v>183</v>
      </c>
      <c r="C86" s="83" t="s">
        <v>117</v>
      </c>
      <c r="D86" s="68"/>
      <c r="E86" s="16"/>
      <c r="F86" s="16">
        <v>1</v>
      </c>
      <c r="G86" s="16">
        <v>182.63</v>
      </c>
      <c r="H86" s="120">
        <f t="shared" si="7"/>
        <v>0.18262999999999999</v>
      </c>
      <c r="I86" s="16">
        <v>0</v>
      </c>
    </row>
    <row r="87" spans="1:9" ht="15.75" hidden="1" customHeight="1">
      <c r="A87" s="38"/>
      <c r="B87" s="82" t="s">
        <v>151</v>
      </c>
      <c r="C87" s="83" t="s">
        <v>97</v>
      </c>
      <c r="D87" s="68"/>
      <c r="E87" s="16"/>
      <c r="F87" s="16">
        <v>2</v>
      </c>
      <c r="G87" s="16">
        <v>185.81</v>
      </c>
      <c r="H87" s="120">
        <f t="shared" si="7"/>
        <v>0.37162000000000001</v>
      </c>
      <c r="I87" s="16">
        <v>0</v>
      </c>
    </row>
    <row r="88" spans="1:9" ht="31.5" hidden="1" customHeight="1">
      <c r="A88" s="38"/>
      <c r="B88" s="82" t="s">
        <v>95</v>
      </c>
      <c r="C88" s="83" t="s">
        <v>39</v>
      </c>
      <c r="D88" s="68"/>
      <c r="E88" s="16"/>
      <c r="F88" s="16">
        <v>0.01</v>
      </c>
      <c r="G88" s="16">
        <v>3397.65</v>
      </c>
      <c r="H88" s="120">
        <f t="shared" si="7"/>
        <v>3.39765E-2</v>
      </c>
      <c r="I88" s="16">
        <v>0</v>
      </c>
    </row>
    <row r="89" spans="1:9" ht="31.5" hidden="1" customHeight="1">
      <c r="A89" s="38"/>
      <c r="B89" s="82" t="s">
        <v>87</v>
      </c>
      <c r="C89" s="83" t="s">
        <v>140</v>
      </c>
      <c r="D89" s="68"/>
      <c r="E89" s="16"/>
      <c r="F89" s="16">
        <v>1</v>
      </c>
      <c r="G89" s="16">
        <v>79.09</v>
      </c>
      <c r="H89" s="120">
        <f t="shared" si="7"/>
        <v>7.9090000000000008E-2</v>
      </c>
      <c r="I89" s="16">
        <v>0</v>
      </c>
    </row>
    <row r="90" spans="1:9" ht="15.75" hidden="1" customHeight="1">
      <c r="A90" s="38"/>
      <c r="B90" s="82" t="s">
        <v>184</v>
      </c>
      <c r="C90" s="83" t="s">
        <v>185</v>
      </c>
      <c r="D90" s="68"/>
      <c r="E90" s="16"/>
      <c r="F90" s="16">
        <v>1</v>
      </c>
      <c r="G90" s="16">
        <v>1072.21</v>
      </c>
      <c r="H90" s="120">
        <f t="shared" si="7"/>
        <v>1.0722100000000001</v>
      </c>
      <c r="I90" s="16">
        <v>0</v>
      </c>
    </row>
    <row r="91" spans="1:9">
      <c r="A91" s="38"/>
      <c r="B91" s="62" t="s">
        <v>52</v>
      </c>
      <c r="C91" s="58"/>
      <c r="D91" s="71"/>
      <c r="E91" s="58">
        <v>1</v>
      </c>
      <c r="F91" s="58"/>
      <c r="G91" s="58"/>
      <c r="H91" s="58"/>
      <c r="I91" s="40">
        <f>SUM(I83:I90)</f>
        <v>51.39</v>
      </c>
    </row>
    <row r="92" spans="1:9" ht="16.5" customHeight="1">
      <c r="A92" s="38"/>
      <c r="B92" s="68" t="s">
        <v>85</v>
      </c>
      <c r="C92" s="19"/>
      <c r="D92" s="19"/>
      <c r="E92" s="59"/>
      <c r="F92" s="59"/>
      <c r="G92" s="60"/>
      <c r="H92" s="60"/>
      <c r="I92" s="22">
        <v>0</v>
      </c>
    </row>
    <row r="93" spans="1:9" ht="16.5" customHeight="1">
      <c r="A93" s="72"/>
      <c r="B93" s="63" t="s">
        <v>53</v>
      </c>
      <c r="C93" s="46"/>
      <c r="D93" s="46"/>
      <c r="E93" s="46"/>
      <c r="F93" s="46"/>
      <c r="G93" s="46"/>
      <c r="H93" s="46"/>
      <c r="I93" s="61">
        <f>I81+I91</f>
        <v>20207.445456666665</v>
      </c>
    </row>
    <row r="94" spans="1:9" ht="15.75" customHeight="1">
      <c r="A94" s="143" t="s">
        <v>190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 customHeight="1">
      <c r="A95" s="98"/>
      <c r="B95" s="144" t="s">
        <v>191</v>
      </c>
      <c r="C95" s="144"/>
      <c r="D95" s="144"/>
      <c r="E95" s="144"/>
      <c r="F95" s="144"/>
      <c r="G95" s="144"/>
      <c r="H95" s="104"/>
      <c r="I95" s="3"/>
    </row>
    <row r="96" spans="1:9">
      <c r="A96" s="97"/>
      <c r="B96" s="141" t="s">
        <v>6</v>
      </c>
      <c r="C96" s="141"/>
      <c r="D96" s="141"/>
      <c r="E96" s="141"/>
      <c r="F96" s="141"/>
      <c r="G96" s="141"/>
      <c r="H96" s="33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7" t="s">
        <v>7</v>
      </c>
      <c r="B98" s="137"/>
      <c r="C98" s="137"/>
      <c r="D98" s="137"/>
      <c r="E98" s="137"/>
      <c r="F98" s="137"/>
      <c r="G98" s="137"/>
      <c r="H98" s="137"/>
      <c r="I98" s="137"/>
    </row>
    <row r="99" spans="1:9" ht="15.75">
      <c r="A99" s="137" t="s">
        <v>8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>
      <c r="A100" s="138" t="s">
        <v>64</v>
      </c>
      <c r="B100" s="138"/>
      <c r="C100" s="138"/>
      <c r="D100" s="138"/>
      <c r="E100" s="138"/>
      <c r="F100" s="138"/>
      <c r="G100" s="138"/>
      <c r="H100" s="138"/>
      <c r="I100" s="138"/>
    </row>
    <row r="101" spans="1:9" ht="15.75">
      <c r="A101" s="11"/>
    </row>
    <row r="102" spans="1:9" ht="15.75">
      <c r="A102" s="139" t="s">
        <v>9</v>
      </c>
      <c r="B102" s="139"/>
      <c r="C102" s="139"/>
      <c r="D102" s="139"/>
      <c r="E102" s="139"/>
      <c r="F102" s="139"/>
      <c r="G102" s="139"/>
      <c r="H102" s="139"/>
      <c r="I102" s="139"/>
    </row>
    <row r="103" spans="1:9" ht="15.75">
      <c r="A103" s="4"/>
    </row>
    <row r="104" spans="1:9" ht="15.75">
      <c r="B104" s="94" t="s">
        <v>10</v>
      </c>
      <c r="C104" s="140" t="s">
        <v>165</v>
      </c>
      <c r="D104" s="140"/>
      <c r="E104" s="140"/>
      <c r="F104" s="102"/>
      <c r="I104" s="96"/>
    </row>
    <row r="105" spans="1:9">
      <c r="A105" s="97"/>
      <c r="C105" s="141" t="s">
        <v>11</v>
      </c>
      <c r="D105" s="141"/>
      <c r="E105" s="141"/>
      <c r="F105" s="33"/>
      <c r="I105" s="95" t="s">
        <v>12</v>
      </c>
    </row>
    <row r="106" spans="1:9" ht="15.75">
      <c r="A106" s="34"/>
      <c r="C106" s="12"/>
      <c r="D106" s="12"/>
      <c r="G106" s="12"/>
      <c r="H106" s="12"/>
    </row>
    <row r="107" spans="1:9" ht="15.75">
      <c r="B107" s="94" t="s">
        <v>13</v>
      </c>
      <c r="C107" s="142"/>
      <c r="D107" s="142"/>
      <c r="E107" s="142"/>
      <c r="F107" s="103"/>
      <c r="I107" s="96"/>
    </row>
    <row r="108" spans="1:9">
      <c r="A108" s="97"/>
      <c r="C108" s="134" t="s">
        <v>11</v>
      </c>
      <c r="D108" s="134"/>
      <c r="E108" s="134"/>
      <c r="F108" s="97"/>
      <c r="I108" s="95" t="s">
        <v>12</v>
      </c>
    </row>
    <row r="109" spans="1:9" ht="15.75">
      <c r="A109" s="4" t="s">
        <v>14</v>
      </c>
    </row>
    <row r="110" spans="1:9">
      <c r="A110" s="135" t="s">
        <v>15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47.25" customHeight="1">
      <c r="A111" s="136" t="s">
        <v>16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31.5" customHeight="1">
      <c r="A112" s="136" t="s">
        <v>17</v>
      </c>
      <c r="B112" s="136"/>
      <c r="C112" s="136"/>
      <c r="D112" s="136"/>
      <c r="E112" s="136"/>
      <c r="F112" s="136"/>
      <c r="G112" s="136"/>
      <c r="H112" s="136"/>
      <c r="I112" s="136"/>
    </row>
    <row r="113" spans="1:9" ht="31.5" customHeight="1">
      <c r="A113" s="136" t="s">
        <v>21</v>
      </c>
      <c r="B113" s="136"/>
      <c r="C113" s="136"/>
      <c r="D113" s="136"/>
      <c r="E113" s="136"/>
      <c r="F113" s="136"/>
      <c r="G113" s="136"/>
      <c r="H113" s="136"/>
      <c r="I113" s="136"/>
    </row>
    <row r="114" spans="1:9" ht="15.75">
      <c r="A114" s="136" t="s">
        <v>20</v>
      </c>
      <c r="B114" s="136"/>
      <c r="C114" s="136"/>
      <c r="D114" s="136"/>
      <c r="E114" s="136"/>
      <c r="F114" s="136"/>
      <c r="G114" s="136"/>
      <c r="H114" s="136"/>
      <c r="I114" s="136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100:I100"/>
    <mergeCell ref="A15:I15"/>
    <mergeCell ref="A29:I29"/>
    <mergeCell ref="A44:I44"/>
    <mergeCell ref="A55:I55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192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90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42460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hidden="1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customHeight="1">
      <c r="A21" s="38">
        <v>5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hidden="1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v>0</v>
      </c>
      <c r="J22" s="31"/>
      <c r="K22" s="8"/>
      <c r="L22" s="8"/>
      <c r="M22" s="8"/>
    </row>
    <row r="23" spans="1:13" ht="15.75" hidden="1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v>0</v>
      </c>
      <c r="J23" s="31"/>
      <c r="K23" s="8"/>
      <c r="L23" s="8"/>
      <c r="M23" s="8"/>
    </row>
    <row r="24" spans="1:13" ht="15.75" hidden="1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v>0</v>
      </c>
      <c r="J24" s="31"/>
      <c r="K24" s="8"/>
      <c r="L24" s="8"/>
      <c r="M24" s="8"/>
    </row>
    <row r="25" spans="1:13" ht="15.75" hidden="1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v>0</v>
      </c>
      <c r="J25" s="31"/>
      <c r="K25" s="8"/>
      <c r="L25" s="8"/>
      <c r="M25" s="8"/>
    </row>
    <row r="26" spans="1:13" ht="15.75" hidden="1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6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7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hidden="1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hidden="1" customHeight="1">
      <c r="A31" s="38">
        <v>8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1">SUM(F31*G31/1000)</f>
        <v>2.0347501356</v>
      </c>
      <c r="I31" s="16">
        <f t="shared" ref="I31:I34" si="2">F31/6*G31</f>
        <v>339.12502259999997</v>
      </c>
      <c r="J31" s="31"/>
      <c r="K31" s="8"/>
      <c r="L31" s="8"/>
      <c r="M31" s="8"/>
    </row>
    <row r="32" spans="1:13" ht="31.5" hidden="1" customHeight="1">
      <c r="A32" s="38">
        <v>9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1"/>
        <v>0.91238364360000002</v>
      </c>
      <c r="I32" s="16">
        <f t="shared" si="2"/>
        <v>152.0639406</v>
      </c>
      <c r="J32" s="31"/>
      <c r="K32" s="8"/>
      <c r="L32" s="8"/>
      <c r="M32" s="8"/>
    </row>
    <row r="33" spans="1:14" ht="15.75" hidden="1" customHeight="1">
      <c r="A33" s="38">
        <v>10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1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hidden="1" customHeight="1">
      <c r="A34" s="38">
        <v>10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2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1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1"/>
        <v>1.2147399999999999</v>
      </c>
      <c r="I36" s="16">
        <v>0</v>
      </c>
      <c r="J36" s="32"/>
    </row>
    <row r="37" spans="1:14" ht="15.75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customHeight="1">
      <c r="A38" s="38">
        <v>8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3">SUM(F38*G38/1000)</f>
        <v>4.8977999999999993</v>
      </c>
      <c r="I38" s="16">
        <f t="shared" ref="I38:I43" si="4">F38/6*G38</f>
        <v>816.3</v>
      </c>
      <c r="J38" s="32"/>
    </row>
    <row r="39" spans="1:14" ht="15.75" customHeight="1">
      <c r="A39" s="38">
        <v>9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4"/>
        <v>475.18799999999999</v>
      </c>
      <c r="J39" s="32"/>
      <c r="L39" s="25"/>
      <c r="M39" s="26"/>
      <c r="N39" s="27"/>
    </row>
    <row r="40" spans="1:14" ht="15.75" customHeight="1">
      <c r="A40" s="38">
        <v>10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3"/>
        <v>2.4587445555</v>
      </c>
      <c r="I40" s="16">
        <f t="shared" si="4"/>
        <v>409.79075924999995</v>
      </c>
      <c r="J40" s="32"/>
      <c r="L40" s="25"/>
      <c r="M40" s="26"/>
      <c r="N40" s="27"/>
    </row>
    <row r="41" spans="1:14" ht="47.25" customHeight="1">
      <c r="A41" s="38">
        <v>11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3"/>
        <v>9.1860641039999997</v>
      </c>
      <c r="I41" s="16">
        <f t="shared" si="4"/>
        <v>1531.0106839999999</v>
      </c>
      <c r="J41" s="32"/>
      <c r="L41" s="25"/>
      <c r="M41" s="26"/>
      <c r="N41" s="27"/>
    </row>
    <row r="42" spans="1:14" ht="15.75" customHeight="1">
      <c r="A42" s="38">
        <v>12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3"/>
        <v>0.87247215450000015</v>
      </c>
      <c r="I42" s="16">
        <f t="shared" si="4"/>
        <v>145.41202575000003</v>
      </c>
      <c r="J42" s="32"/>
      <c r="L42" s="25"/>
      <c r="M42" s="26"/>
      <c r="N42" s="27"/>
    </row>
    <row r="43" spans="1:14" ht="15.75" customHeight="1">
      <c r="A43" s="38">
        <v>13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3"/>
        <v>0.39768020000000004</v>
      </c>
      <c r="I43" s="16">
        <f t="shared" si="4"/>
        <v>66.280033333333336</v>
      </c>
      <c r="J43" s="32"/>
      <c r="L43" s="25"/>
      <c r="M43" s="26"/>
      <c r="N43" s="27"/>
    </row>
    <row r="44" spans="1:14" ht="15.75" hidden="1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hidden="1" customHeight="1">
      <c r="A45" s="38"/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5">SUM(F45*G45/1000)</f>
        <v>0.9703194249999999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5"/>
        <v>2.8373799999999998E-2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5"/>
        <v>0.63186269999999989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5"/>
        <v>0.78084119099999993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5"/>
        <v>6.0483632000000002E-2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5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hidden="1" customHeight="1">
      <c r="A51" s="38"/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5"/>
        <v>2.6053559999999996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5"/>
        <v>0.46279439999999999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5"/>
        <v>0.106443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5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customHeight="1">
      <c r="A55" s="131" t="s">
        <v>193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customHeight="1">
      <c r="A57" s="38">
        <v>14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hidden="1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hidden="1" customHeight="1">
      <c r="A61" s="38">
        <v>17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6">SUM(F61*G61/1000)</f>
        <v>1.1887000000000001</v>
      </c>
      <c r="I61" s="16">
        <f>G61</f>
        <v>237.74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6"/>
        <v>0.16302</v>
      </c>
      <c r="I62" s="16">
        <v>0</v>
      </c>
    </row>
    <row r="63" spans="1:22" ht="15.75" hidden="1" customHeight="1">
      <c r="A63" s="38"/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6"/>
        <v>9.733826800000001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6"/>
        <v>0.75801012000000001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6"/>
        <v>11.310677999999999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6"/>
        <v>0.19628199999999998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hidden="1" customHeight="1">
      <c r="A67" s="38"/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6"/>
        <v>0.18312600000000001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6"/>
        <v>0.15996000000000002</v>
      </c>
      <c r="I68" s="16">
        <v>0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/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6"/>
        <v>0.10724600000000001</v>
      </c>
      <c r="I70" s="16">
        <v>0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6"/>
        <v>0.91185000000000005</v>
      </c>
      <c r="I71" s="16">
        <v>0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6"/>
        <v>0</v>
      </c>
      <c r="I72" s="16"/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v>0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/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6"/>
        <v>0.294985</v>
      </c>
      <c r="I75" s="16">
        <v>0</v>
      </c>
    </row>
    <row r="76" spans="1:21" ht="15.75" hidden="1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11"/>
    </row>
    <row r="77" spans="1:21" ht="15.75" hidden="1" customHeight="1">
      <c r="A77" s="38"/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v>0</v>
      </c>
    </row>
    <row r="78" spans="1:21" ht="15.75" customHeight="1">
      <c r="A78" s="131" t="s">
        <v>194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15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16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I16+I17+I18+I20+I21+I27+I28+I38+I39+I40+I41+I42+I43+I57+I79+I80</f>
        <v>18855.575256666667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15.75" customHeight="1">
      <c r="A83" s="38">
        <v>17</v>
      </c>
      <c r="B83" s="82" t="s">
        <v>179</v>
      </c>
      <c r="C83" s="83" t="s">
        <v>180</v>
      </c>
      <c r="D83" s="68"/>
      <c r="E83" s="16"/>
      <c r="F83" s="16">
        <v>5</v>
      </c>
      <c r="G83" s="16">
        <v>1501</v>
      </c>
      <c r="H83" s="120">
        <f t="shared" ref="H83" si="7">G83*F83/1000</f>
        <v>7.5049999999999999</v>
      </c>
      <c r="I83" s="16">
        <f>G83*5</f>
        <v>7505</v>
      </c>
    </row>
    <row r="84" spans="1:9">
      <c r="A84" s="38"/>
      <c r="B84" s="62" t="s">
        <v>52</v>
      </c>
      <c r="C84" s="58"/>
      <c r="D84" s="71"/>
      <c r="E84" s="58">
        <v>1</v>
      </c>
      <c r="F84" s="58"/>
      <c r="G84" s="58"/>
      <c r="H84" s="58"/>
      <c r="I84" s="40">
        <f>SUM(I83:I83)</f>
        <v>7505</v>
      </c>
    </row>
    <row r="85" spans="1:9" ht="16.5" customHeight="1">
      <c r="A85" s="38"/>
      <c r="B85" s="68" t="s">
        <v>85</v>
      </c>
      <c r="C85" s="19"/>
      <c r="D85" s="19"/>
      <c r="E85" s="59"/>
      <c r="F85" s="59"/>
      <c r="G85" s="60"/>
      <c r="H85" s="60"/>
      <c r="I85" s="22">
        <v>0</v>
      </c>
    </row>
    <row r="86" spans="1:9" ht="16.5" customHeight="1">
      <c r="A86" s="72"/>
      <c r="B86" s="63" t="s">
        <v>53</v>
      </c>
      <c r="C86" s="46"/>
      <c r="D86" s="46"/>
      <c r="E86" s="46"/>
      <c r="F86" s="46"/>
      <c r="G86" s="46"/>
      <c r="H86" s="46"/>
      <c r="I86" s="61">
        <f>I81+I84</f>
        <v>26360.575256666667</v>
      </c>
    </row>
    <row r="87" spans="1:9" ht="15.75" customHeight="1">
      <c r="A87" s="143" t="s">
        <v>195</v>
      </c>
      <c r="B87" s="143"/>
      <c r="C87" s="143"/>
      <c r="D87" s="143"/>
      <c r="E87" s="143"/>
      <c r="F87" s="143"/>
      <c r="G87" s="143"/>
      <c r="H87" s="143"/>
      <c r="I87" s="143"/>
    </row>
    <row r="88" spans="1:9" ht="15.75" customHeight="1">
      <c r="A88" s="98"/>
      <c r="B88" s="144" t="s">
        <v>196</v>
      </c>
      <c r="C88" s="144"/>
      <c r="D88" s="144"/>
      <c r="E88" s="144"/>
      <c r="F88" s="144"/>
      <c r="G88" s="144"/>
      <c r="H88" s="104"/>
      <c r="I88" s="3"/>
    </row>
    <row r="89" spans="1:9">
      <c r="A89" s="97"/>
      <c r="B89" s="141" t="s">
        <v>6</v>
      </c>
      <c r="C89" s="141"/>
      <c r="D89" s="141"/>
      <c r="E89" s="141"/>
      <c r="F89" s="141"/>
      <c r="G89" s="141"/>
      <c r="H89" s="33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37" t="s">
        <v>7</v>
      </c>
      <c r="B91" s="137"/>
      <c r="C91" s="137"/>
      <c r="D91" s="137"/>
      <c r="E91" s="137"/>
      <c r="F91" s="137"/>
      <c r="G91" s="137"/>
      <c r="H91" s="137"/>
      <c r="I91" s="137"/>
    </row>
    <row r="92" spans="1:9" ht="15.75">
      <c r="A92" s="137" t="s">
        <v>8</v>
      </c>
      <c r="B92" s="137"/>
      <c r="C92" s="137"/>
      <c r="D92" s="137"/>
      <c r="E92" s="137"/>
      <c r="F92" s="137"/>
      <c r="G92" s="137"/>
      <c r="H92" s="137"/>
      <c r="I92" s="137"/>
    </row>
    <row r="93" spans="1:9" ht="15.75">
      <c r="A93" s="138" t="s">
        <v>64</v>
      </c>
      <c r="B93" s="138"/>
      <c r="C93" s="138"/>
      <c r="D93" s="138"/>
      <c r="E93" s="138"/>
      <c r="F93" s="138"/>
      <c r="G93" s="138"/>
      <c r="H93" s="138"/>
      <c r="I93" s="138"/>
    </row>
    <row r="94" spans="1:9" ht="15.75">
      <c r="A94" s="11"/>
    </row>
    <row r="95" spans="1:9" ht="15.75">
      <c r="A95" s="139" t="s">
        <v>9</v>
      </c>
      <c r="B95" s="139"/>
      <c r="C95" s="139"/>
      <c r="D95" s="139"/>
      <c r="E95" s="139"/>
      <c r="F95" s="139"/>
      <c r="G95" s="139"/>
      <c r="H95" s="139"/>
      <c r="I95" s="139"/>
    </row>
    <row r="96" spans="1:9" ht="15.75">
      <c r="A96" s="4"/>
    </row>
    <row r="97" spans="1:9" ht="15.75">
      <c r="B97" s="94" t="s">
        <v>10</v>
      </c>
      <c r="C97" s="140" t="s">
        <v>165</v>
      </c>
      <c r="D97" s="140"/>
      <c r="E97" s="140"/>
      <c r="F97" s="102"/>
      <c r="I97" s="96"/>
    </row>
    <row r="98" spans="1:9">
      <c r="A98" s="97"/>
      <c r="C98" s="141" t="s">
        <v>11</v>
      </c>
      <c r="D98" s="141"/>
      <c r="E98" s="141"/>
      <c r="F98" s="33"/>
      <c r="I98" s="95" t="s">
        <v>12</v>
      </c>
    </row>
    <row r="99" spans="1:9" ht="15.75">
      <c r="A99" s="34"/>
      <c r="C99" s="12"/>
      <c r="D99" s="12"/>
      <c r="G99" s="12"/>
      <c r="H99" s="12"/>
    </row>
    <row r="100" spans="1:9" ht="15.75">
      <c r="B100" s="94" t="s">
        <v>13</v>
      </c>
      <c r="C100" s="142"/>
      <c r="D100" s="142"/>
      <c r="E100" s="142"/>
      <c r="F100" s="103"/>
      <c r="I100" s="96"/>
    </row>
    <row r="101" spans="1:9">
      <c r="A101" s="97"/>
      <c r="C101" s="134" t="s">
        <v>11</v>
      </c>
      <c r="D101" s="134"/>
      <c r="E101" s="134"/>
      <c r="F101" s="97"/>
      <c r="I101" s="95" t="s">
        <v>12</v>
      </c>
    </row>
    <row r="102" spans="1:9" ht="15.75">
      <c r="A102" s="4" t="s">
        <v>14</v>
      </c>
    </row>
    <row r="103" spans="1:9">
      <c r="A103" s="135" t="s">
        <v>15</v>
      </c>
      <c r="B103" s="135"/>
      <c r="C103" s="135"/>
      <c r="D103" s="135"/>
      <c r="E103" s="135"/>
      <c r="F103" s="135"/>
      <c r="G103" s="135"/>
      <c r="H103" s="135"/>
      <c r="I103" s="135"/>
    </row>
    <row r="104" spans="1:9" ht="47.25" customHeight="1">
      <c r="A104" s="136" t="s">
        <v>16</v>
      </c>
      <c r="B104" s="136"/>
      <c r="C104" s="136"/>
      <c r="D104" s="136"/>
      <c r="E104" s="136"/>
      <c r="F104" s="136"/>
      <c r="G104" s="136"/>
      <c r="H104" s="136"/>
      <c r="I104" s="136"/>
    </row>
    <row r="105" spans="1:9" ht="31.5" customHeight="1">
      <c r="A105" s="136" t="s">
        <v>17</v>
      </c>
      <c r="B105" s="136"/>
      <c r="C105" s="136"/>
      <c r="D105" s="136"/>
      <c r="E105" s="136"/>
      <c r="F105" s="136"/>
      <c r="G105" s="136"/>
      <c r="H105" s="136"/>
      <c r="I105" s="136"/>
    </row>
    <row r="106" spans="1:9" ht="31.5" customHeight="1">
      <c r="A106" s="136" t="s">
        <v>21</v>
      </c>
      <c r="B106" s="136"/>
      <c r="C106" s="136"/>
      <c r="D106" s="136"/>
      <c r="E106" s="136"/>
      <c r="F106" s="136"/>
      <c r="G106" s="136"/>
      <c r="H106" s="136"/>
      <c r="I106" s="136"/>
    </row>
    <row r="107" spans="1:9" ht="15.75">
      <c r="A107" s="136" t="s">
        <v>20</v>
      </c>
      <c r="B107" s="136"/>
      <c r="C107" s="136"/>
      <c r="D107" s="136"/>
      <c r="E107" s="136"/>
      <c r="F107" s="136"/>
      <c r="G107" s="136"/>
      <c r="H107" s="136"/>
      <c r="I107" s="136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93:I93"/>
    <mergeCell ref="A15:I15"/>
    <mergeCell ref="A29:I29"/>
    <mergeCell ref="A44:I44"/>
    <mergeCell ref="A55:I55"/>
    <mergeCell ref="A87:I87"/>
    <mergeCell ref="B88:G88"/>
    <mergeCell ref="B89:G89"/>
    <mergeCell ref="A91:I91"/>
    <mergeCell ref="A92:I92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197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91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42490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hidden="1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hidden="1" customHeight="1">
      <c r="A21" s="38">
        <v>5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hidden="1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v>0</v>
      </c>
      <c r="J22" s="31"/>
      <c r="K22" s="8"/>
      <c r="L22" s="8"/>
      <c r="M22" s="8"/>
    </row>
    <row r="23" spans="1:13" ht="15.75" hidden="1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v>0</v>
      </c>
      <c r="J23" s="31"/>
      <c r="K23" s="8"/>
      <c r="L23" s="8"/>
      <c r="M23" s="8"/>
    </row>
    <row r="24" spans="1:13" ht="15.75" hidden="1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v>0</v>
      </c>
      <c r="J24" s="31"/>
      <c r="K24" s="8"/>
      <c r="L24" s="8"/>
      <c r="M24" s="8"/>
    </row>
    <row r="25" spans="1:13" ht="15.75" hidden="1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v>0</v>
      </c>
      <c r="J25" s="31"/>
      <c r="K25" s="8"/>
      <c r="L25" s="8"/>
      <c r="M25" s="8"/>
    </row>
    <row r="26" spans="1:13" ht="15.75" hidden="1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6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hidden="1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hidden="1" customHeight="1">
      <c r="A31" s="38">
        <v>8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1">SUM(F31*G31/1000)</f>
        <v>2.0347501356</v>
      </c>
      <c r="I31" s="16">
        <f t="shared" ref="I31:I34" si="2">F31/6*G31</f>
        <v>339.12502259999997</v>
      </c>
      <c r="J31" s="31"/>
      <c r="K31" s="8"/>
      <c r="L31" s="8"/>
      <c r="M31" s="8"/>
    </row>
    <row r="32" spans="1:13" ht="31.5" hidden="1" customHeight="1">
      <c r="A32" s="38">
        <v>9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1"/>
        <v>0.91238364360000002</v>
      </c>
      <c r="I32" s="16">
        <f t="shared" si="2"/>
        <v>152.0639406</v>
      </c>
      <c r="J32" s="31"/>
      <c r="K32" s="8"/>
      <c r="L32" s="8"/>
      <c r="M32" s="8"/>
    </row>
    <row r="33" spans="1:14" ht="15.75" hidden="1" customHeight="1">
      <c r="A33" s="38">
        <v>10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1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hidden="1" customHeight="1">
      <c r="A34" s="38">
        <v>10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2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1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1"/>
        <v>1.2147399999999999</v>
      </c>
      <c r="I36" s="16">
        <v>0</v>
      </c>
      <c r="J36" s="32"/>
    </row>
    <row r="37" spans="1:14" ht="15.75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customHeight="1">
      <c r="A38" s="38">
        <v>7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3">SUM(F38*G38/1000)</f>
        <v>4.8977999999999993</v>
      </c>
      <c r="I38" s="16">
        <f t="shared" ref="I38:I43" si="4">F38/6*G38</f>
        <v>816.3</v>
      </c>
      <c r="J38" s="32"/>
    </row>
    <row r="39" spans="1:14" ht="15.75" customHeight="1">
      <c r="A39" s="38">
        <v>8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4"/>
        <v>475.18799999999999</v>
      </c>
      <c r="J39" s="32"/>
      <c r="L39" s="25"/>
      <c r="M39" s="26"/>
      <c r="N39" s="27"/>
    </row>
    <row r="40" spans="1:14" ht="15.75" customHeight="1">
      <c r="A40" s="38">
        <v>9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3"/>
        <v>2.4587445555</v>
      </c>
      <c r="I40" s="16">
        <f t="shared" si="4"/>
        <v>409.79075924999995</v>
      </c>
      <c r="J40" s="32"/>
      <c r="L40" s="25"/>
      <c r="M40" s="26"/>
      <c r="N40" s="27"/>
    </row>
    <row r="41" spans="1:14" ht="47.25" customHeight="1">
      <c r="A41" s="38">
        <v>10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3"/>
        <v>9.1860641039999997</v>
      </c>
      <c r="I41" s="16">
        <f t="shared" si="4"/>
        <v>1531.0106839999999</v>
      </c>
      <c r="J41" s="32"/>
      <c r="L41" s="25"/>
      <c r="M41" s="26"/>
      <c r="N41" s="27"/>
    </row>
    <row r="42" spans="1:14" ht="15.75" customHeight="1">
      <c r="A42" s="38">
        <v>11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3"/>
        <v>0.87247215450000015</v>
      </c>
      <c r="I42" s="16">
        <f t="shared" si="4"/>
        <v>145.41202575000003</v>
      </c>
      <c r="J42" s="32"/>
      <c r="L42" s="25"/>
      <c r="M42" s="26"/>
      <c r="N42" s="27"/>
    </row>
    <row r="43" spans="1:14" ht="15.75" customHeight="1">
      <c r="A43" s="38">
        <v>12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3"/>
        <v>0.39768020000000004</v>
      </c>
      <c r="I43" s="16">
        <f t="shared" si="4"/>
        <v>66.280033333333336</v>
      </c>
      <c r="J43" s="32"/>
      <c r="L43" s="25"/>
      <c r="M43" s="26"/>
      <c r="N43" s="27"/>
    </row>
    <row r="44" spans="1:14" ht="15.75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hidden="1" customHeight="1">
      <c r="A45" s="38"/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5">SUM(F45*G45/1000)</f>
        <v>0.9703194249999999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5"/>
        <v>2.8373799999999998E-2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5"/>
        <v>0.63186269999999989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5"/>
        <v>0.78084119099999993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5"/>
        <v>6.0483632000000002E-2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5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customHeight="1">
      <c r="A51" s="38">
        <v>13</v>
      </c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5"/>
        <v>2.6053559999999996</v>
      </c>
      <c r="I51" s="16">
        <f>F51/2*G51</f>
        <v>1302.6779999999999</v>
      </c>
      <c r="J51" s="32"/>
      <c r="L51" s="25"/>
      <c r="M51" s="26"/>
      <c r="N51" s="27"/>
    </row>
    <row r="52" spans="1:22" ht="31.5" customHeight="1">
      <c r="A52" s="38">
        <v>14</v>
      </c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5"/>
        <v>0.46279439999999999</v>
      </c>
      <c r="I52" s="16">
        <f t="shared" ref="I52:I53" si="6">F52/2*G52</f>
        <v>231.3972</v>
      </c>
      <c r="J52" s="32"/>
      <c r="L52" s="25"/>
      <c r="M52" s="26"/>
      <c r="N52" s="27"/>
    </row>
    <row r="53" spans="1:22" ht="15.75" customHeight="1">
      <c r="A53" s="38">
        <v>15</v>
      </c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5"/>
        <v>0.106443</v>
      </c>
      <c r="I53" s="16">
        <f t="shared" si="6"/>
        <v>53.221499999999999</v>
      </c>
      <c r="J53" s="32"/>
      <c r="L53" s="25"/>
      <c r="M53" s="26"/>
      <c r="N53" s="27"/>
    </row>
    <row r="54" spans="1:22" ht="15.75" customHeight="1">
      <c r="A54" s="38">
        <v>16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5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customHeight="1">
      <c r="A55" s="131" t="s">
        <v>168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customHeight="1">
      <c r="A57" s="38">
        <v>17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hidden="1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hidden="1" customHeight="1">
      <c r="A61" s="38">
        <v>17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7">SUM(F61*G61/1000)</f>
        <v>1.1887000000000001</v>
      </c>
      <c r="I61" s="16">
        <f>G61</f>
        <v>237.74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7"/>
        <v>0.16302</v>
      </c>
      <c r="I62" s="16">
        <v>0</v>
      </c>
    </row>
    <row r="63" spans="1:22" ht="15.75" hidden="1" customHeight="1">
      <c r="A63" s="38"/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7"/>
        <v>9.733826800000001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7"/>
        <v>0.75801012000000001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7"/>
        <v>11.310677999999999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7"/>
        <v>0.19628199999999998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hidden="1" customHeight="1">
      <c r="A67" s="38"/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7"/>
        <v>0.18312600000000001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7"/>
        <v>0.15996000000000002</v>
      </c>
      <c r="I68" s="16">
        <v>0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/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7"/>
        <v>0.10724600000000001</v>
      </c>
      <c r="I70" s="16">
        <v>0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7"/>
        <v>0.91185000000000005</v>
      </c>
      <c r="I71" s="16">
        <v>0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7"/>
        <v>0</v>
      </c>
      <c r="I72" s="16"/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v>0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/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7"/>
        <v>0.294985</v>
      </c>
      <c r="I75" s="16">
        <v>0</v>
      </c>
    </row>
    <row r="76" spans="1:21" ht="15.75" hidden="1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11"/>
    </row>
    <row r="77" spans="1:21" ht="15.75" hidden="1" customHeight="1">
      <c r="A77" s="38"/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v>0</v>
      </c>
    </row>
    <row r="78" spans="1:21" ht="15.75" customHeight="1">
      <c r="A78" s="131" t="s">
        <v>169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18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19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I16+I17+I18+I20+I27+I28+I38+I39+I40+I41+I42+I43+I51+I52+I53+I54+I57+I79+I80</f>
        <v>22666.914156666666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31.5" hidden="1" customHeight="1">
      <c r="A83" s="38"/>
      <c r="B83" s="82" t="s">
        <v>177</v>
      </c>
      <c r="C83" s="83" t="s">
        <v>178</v>
      </c>
      <c r="D83" s="68"/>
      <c r="E83" s="16"/>
      <c r="F83" s="16">
        <v>1</v>
      </c>
      <c r="G83" s="16">
        <v>51.39</v>
      </c>
      <c r="H83" s="120">
        <f t="shared" ref="H83:H90" si="8">G83*F83/1000</f>
        <v>5.1389999999999998E-2</v>
      </c>
      <c r="I83" s="16">
        <v>0</v>
      </c>
    </row>
    <row r="84" spans="1:9" ht="15.75" hidden="1" customHeight="1">
      <c r="A84" s="38"/>
      <c r="B84" s="82" t="s">
        <v>179</v>
      </c>
      <c r="C84" s="83" t="s">
        <v>180</v>
      </c>
      <c r="D84" s="68"/>
      <c r="E84" s="16"/>
      <c r="F84" s="16">
        <v>5</v>
      </c>
      <c r="G84" s="16">
        <v>1501</v>
      </c>
      <c r="H84" s="120">
        <f t="shared" si="8"/>
        <v>7.5049999999999999</v>
      </c>
      <c r="I84" s="16">
        <v>0</v>
      </c>
    </row>
    <row r="85" spans="1:9" ht="15.75" hidden="1" customHeight="1">
      <c r="A85" s="38"/>
      <c r="B85" s="82" t="s">
        <v>181</v>
      </c>
      <c r="C85" s="83" t="s">
        <v>182</v>
      </c>
      <c r="D85" s="68"/>
      <c r="E85" s="16"/>
      <c r="F85" s="16">
        <v>1</v>
      </c>
      <c r="G85" s="16">
        <v>1646</v>
      </c>
      <c r="H85" s="120">
        <f t="shared" si="8"/>
        <v>1.6459999999999999</v>
      </c>
      <c r="I85" s="16">
        <v>0</v>
      </c>
    </row>
    <row r="86" spans="1:9" ht="15.75" hidden="1" customHeight="1">
      <c r="A86" s="38"/>
      <c r="B86" s="82" t="s">
        <v>183</v>
      </c>
      <c r="C86" s="83" t="s">
        <v>117</v>
      </c>
      <c r="D86" s="68"/>
      <c r="E86" s="16"/>
      <c r="F86" s="16">
        <v>1</v>
      </c>
      <c r="G86" s="16">
        <v>182.63</v>
      </c>
      <c r="H86" s="120">
        <f t="shared" si="8"/>
        <v>0.18262999999999999</v>
      </c>
      <c r="I86" s="16">
        <v>0</v>
      </c>
    </row>
    <row r="87" spans="1:9" ht="15.75" hidden="1" customHeight="1">
      <c r="A87" s="38"/>
      <c r="B87" s="82" t="s">
        <v>151</v>
      </c>
      <c r="C87" s="83" t="s">
        <v>97</v>
      </c>
      <c r="D87" s="68"/>
      <c r="E87" s="16"/>
      <c r="F87" s="16">
        <v>2</v>
      </c>
      <c r="G87" s="16">
        <v>185.81</v>
      </c>
      <c r="H87" s="120">
        <f t="shared" si="8"/>
        <v>0.37162000000000001</v>
      </c>
      <c r="I87" s="16">
        <v>0</v>
      </c>
    </row>
    <row r="88" spans="1:9" ht="31.5" hidden="1" customHeight="1">
      <c r="A88" s="38"/>
      <c r="B88" s="82" t="s">
        <v>95</v>
      </c>
      <c r="C88" s="83" t="s">
        <v>39</v>
      </c>
      <c r="D88" s="68"/>
      <c r="E88" s="16"/>
      <c r="F88" s="16">
        <v>0.01</v>
      </c>
      <c r="G88" s="16">
        <v>3397.65</v>
      </c>
      <c r="H88" s="120">
        <f t="shared" si="8"/>
        <v>3.39765E-2</v>
      </c>
      <c r="I88" s="16">
        <v>0</v>
      </c>
    </row>
    <row r="89" spans="1:9" ht="31.5" hidden="1" customHeight="1">
      <c r="A89" s="38"/>
      <c r="B89" s="82" t="s">
        <v>87</v>
      </c>
      <c r="C89" s="83" t="s">
        <v>140</v>
      </c>
      <c r="D89" s="68"/>
      <c r="E89" s="16"/>
      <c r="F89" s="16">
        <v>1</v>
      </c>
      <c r="G89" s="16">
        <v>79.09</v>
      </c>
      <c r="H89" s="120">
        <f t="shared" si="8"/>
        <v>7.9090000000000008E-2</v>
      </c>
      <c r="I89" s="16">
        <v>0</v>
      </c>
    </row>
    <row r="90" spans="1:9" ht="15.75" hidden="1" customHeight="1">
      <c r="A90" s="38"/>
      <c r="B90" s="82" t="s">
        <v>184</v>
      </c>
      <c r="C90" s="83" t="s">
        <v>185</v>
      </c>
      <c r="D90" s="68"/>
      <c r="E90" s="16"/>
      <c r="F90" s="16">
        <v>1</v>
      </c>
      <c r="G90" s="16">
        <v>1072.21</v>
      </c>
      <c r="H90" s="120">
        <f t="shared" si="8"/>
        <v>1.0722100000000001</v>
      </c>
      <c r="I90" s="16">
        <v>0</v>
      </c>
    </row>
    <row r="91" spans="1:9">
      <c r="A91" s="38"/>
      <c r="B91" s="62" t="s">
        <v>52</v>
      </c>
      <c r="C91" s="58"/>
      <c r="D91" s="71"/>
      <c r="E91" s="58">
        <v>1</v>
      </c>
      <c r="F91" s="58"/>
      <c r="G91" s="58"/>
      <c r="H91" s="58"/>
      <c r="I91" s="40">
        <f>SUM(I83:I90)</f>
        <v>0</v>
      </c>
    </row>
    <row r="92" spans="1:9" ht="16.5" customHeight="1">
      <c r="A92" s="38"/>
      <c r="B92" s="68" t="s">
        <v>85</v>
      </c>
      <c r="C92" s="19"/>
      <c r="D92" s="19"/>
      <c r="E92" s="59"/>
      <c r="F92" s="59"/>
      <c r="G92" s="60"/>
      <c r="H92" s="60"/>
      <c r="I92" s="22">
        <v>0</v>
      </c>
    </row>
    <row r="93" spans="1:9" ht="16.5" customHeight="1">
      <c r="A93" s="72"/>
      <c r="B93" s="63" t="s">
        <v>53</v>
      </c>
      <c r="C93" s="46"/>
      <c r="D93" s="46"/>
      <c r="E93" s="46"/>
      <c r="F93" s="46"/>
      <c r="G93" s="46"/>
      <c r="H93" s="46"/>
      <c r="I93" s="61">
        <f>I81+I91</f>
        <v>22666.914156666666</v>
      </c>
    </row>
    <row r="94" spans="1:9" ht="15.75" customHeight="1">
      <c r="A94" s="143" t="s">
        <v>198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 customHeight="1">
      <c r="A95" s="98"/>
      <c r="B95" s="144" t="s">
        <v>199</v>
      </c>
      <c r="C95" s="144"/>
      <c r="D95" s="144"/>
      <c r="E95" s="144"/>
      <c r="F95" s="144"/>
      <c r="G95" s="144"/>
      <c r="H95" s="104"/>
      <c r="I95" s="3"/>
    </row>
    <row r="96" spans="1:9">
      <c r="A96" s="97"/>
      <c r="B96" s="141" t="s">
        <v>6</v>
      </c>
      <c r="C96" s="141"/>
      <c r="D96" s="141"/>
      <c r="E96" s="141"/>
      <c r="F96" s="141"/>
      <c r="G96" s="141"/>
      <c r="H96" s="33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7" t="s">
        <v>7</v>
      </c>
      <c r="B98" s="137"/>
      <c r="C98" s="137"/>
      <c r="D98" s="137"/>
      <c r="E98" s="137"/>
      <c r="F98" s="137"/>
      <c r="G98" s="137"/>
      <c r="H98" s="137"/>
      <c r="I98" s="137"/>
    </row>
    <row r="99" spans="1:9" ht="15.75">
      <c r="A99" s="137" t="s">
        <v>8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>
      <c r="A100" s="138" t="s">
        <v>64</v>
      </c>
      <c r="B100" s="138"/>
      <c r="C100" s="138"/>
      <c r="D100" s="138"/>
      <c r="E100" s="138"/>
      <c r="F100" s="138"/>
      <c r="G100" s="138"/>
      <c r="H100" s="138"/>
      <c r="I100" s="138"/>
    </row>
    <row r="101" spans="1:9" ht="7.5" customHeight="1">
      <c r="A101" s="11"/>
    </row>
    <row r="102" spans="1:9" ht="15.75">
      <c r="A102" s="139" t="s">
        <v>9</v>
      </c>
      <c r="B102" s="139"/>
      <c r="C102" s="139"/>
      <c r="D102" s="139"/>
      <c r="E102" s="139"/>
      <c r="F102" s="139"/>
      <c r="G102" s="139"/>
      <c r="H102" s="139"/>
      <c r="I102" s="139"/>
    </row>
    <row r="103" spans="1:9" ht="15.75">
      <c r="A103" s="4"/>
    </row>
    <row r="104" spans="1:9" ht="15.75">
      <c r="B104" s="94" t="s">
        <v>10</v>
      </c>
      <c r="C104" s="140" t="s">
        <v>165</v>
      </c>
      <c r="D104" s="140"/>
      <c r="E104" s="140"/>
      <c r="F104" s="102"/>
      <c r="I104" s="96"/>
    </row>
    <row r="105" spans="1:9">
      <c r="A105" s="97"/>
      <c r="C105" s="141" t="s">
        <v>11</v>
      </c>
      <c r="D105" s="141"/>
      <c r="E105" s="141"/>
      <c r="F105" s="33"/>
      <c r="I105" s="95" t="s">
        <v>12</v>
      </c>
    </row>
    <row r="106" spans="1:9" ht="15.75">
      <c r="A106" s="34"/>
      <c r="C106" s="12"/>
      <c r="D106" s="12"/>
      <c r="G106" s="12"/>
      <c r="H106" s="12"/>
    </row>
    <row r="107" spans="1:9" ht="15.75">
      <c r="B107" s="94" t="s">
        <v>13</v>
      </c>
      <c r="C107" s="142"/>
      <c r="D107" s="142"/>
      <c r="E107" s="142"/>
      <c r="F107" s="103"/>
      <c r="I107" s="96"/>
    </row>
    <row r="108" spans="1:9">
      <c r="A108" s="97"/>
      <c r="C108" s="134" t="s">
        <v>11</v>
      </c>
      <c r="D108" s="134"/>
      <c r="E108" s="134"/>
      <c r="F108" s="97"/>
      <c r="I108" s="95" t="s">
        <v>12</v>
      </c>
    </row>
    <row r="109" spans="1:9" ht="15.75">
      <c r="A109" s="4" t="s">
        <v>14</v>
      </c>
    </row>
    <row r="110" spans="1:9">
      <c r="A110" s="135" t="s">
        <v>15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45" customHeight="1">
      <c r="A111" s="136" t="s">
        <v>16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30" customHeight="1">
      <c r="A112" s="136" t="s">
        <v>17</v>
      </c>
      <c r="B112" s="136"/>
      <c r="C112" s="136"/>
      <c r="D112" s="136"/>
      <c r="E112" s="136"/>
      <c r="F112" s="136"/>
      <c r="G112" s="136"/>
      <c r="H112" s="136"/>
      <c r="I112" s="136"/>
    </row>
    <row r="113" spans="1:9" ht="30" customHeight="1">
      <c r="A113" s="136" t="s">
        <v>21</v>
      </c>
      <c r="B113" s="136"/>
      <c r="C113" s="136"/>
      <c r="D113" s="136"/>
      <c r="E113" s="136"/>
      <c r="F113" s="136"/>
      <c r="G113" s="136"/>
      <c r="H113" s="136"/>
      <c r="I113" s="136"/>
    </row>
    <row r="114" spans="1:9" ht="15" customHeight="1">
      <c r="A114" s="136" t="s">
        <v>20</v>
      </c>
      <c r="B114" s="136"/>
      <c r="C114" s="136"/>
      <c r="D114" s="136"/>
      <c r="E114" s="136"/>
      <c r="F114" s="136"/>
      <c r="G114" s="136"/>
      <c r="H114" s="136"/>
      <c r="I114" s="136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100:I100"/>
    <mergeCell ref="A15:I15"/>
    <mergeCell ref="A29:I29"/>
    <mergeCell ref="A44:I44"/>
    <mergeCell ref="A55:I55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200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92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42521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f>F19/2*G19</f>
        <v>120.17249999999999</v>
      </c>
      <c r="J19" s="31"/>
      <c r="K19" s="8"/>
      <c r="L19" s="8"/>
      <c r="M19" s="8"/>
    </row>
    <row r="20" spans="1:13" ht="15.75" customHeight="1">
      <c r="A20" s="38">
        <v>5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customHeight="1">
      <c r="A21" s="38">
        <v>6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f>F22*G22</f>
        <v>271.54133999999999</v>
      </c>
      <c r="J22" s="31"/>
      <c r="K22" s="8"/>
      <c r="L22" s="8"/>
      <c r="M22" s="8"/>
    </row>
    <row r="23" spans="1:13" ht="15.75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f t="shared" ref="I23:I26" si="1">F23*G23</f>
        <v>6.0465</v>
      </c>
      <c r="J23" s="31"/>
      <c r="K23" s="8"/>
      <c r="L23" s="8"/>
      <c r="M23" s="8"/>
    </row>
    <row r="24" spans="1:13" ht="15.75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f t="shared" si="1"/>
        <v>22.0182</v>
      </c>
      <c r="J24" s="31"/>
      <c r="K24" s="8"/>
      <c r="L24" s="8"/>
      <c r="M24" s="8"/>
    </row>
    <row r="25" spans="1:13" ht="15.75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f t="shared" si="1"/>
        <v>11.599500000000001</v>
      </c>
      <c r="J25" s="31"/>
      <c r="K25" s="8"/>
      <c r="L25" s="8"/>
      <c r="M25" s="8"/>
    </row>
    <row r="26" spans="1:13" ht="15.75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f t="shared" si="1"/>
        <v>10.414199999999999</v>
      </c>
      <c r="J26" s="31"/>
      <c r="K26" s="8"/>
      <c r="L26" s="8"/>
      <c r="M26" s="8"/>
    </row>
    <row r="27" spans="1:13" ht="15.75" customHeight="1">
      <c r="A27" s="38">
        <v>12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13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customHeight="1">
      <c r="A31" s="38">
        <v>14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2">SUM(F31*G31/1000)</f>
        <v>2.0347501356</v>
      </c>
      <c r="I31" s="16">
        <f t="shared" ref="I31:I34" si="3">F31/6*G31</f>
        <v>339.12502259999997</v>
      </c>
      <c r="J31" s="31"/>
      <c r="K31" s="8"/>
      <c r="L31" s="8"/>
      <c r="M31" s="8"/>
    </row>
    <row r="32" spans="1:13" ht="31.5" customHeight="1">
      <c r="A32" s="38">
        <v>15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2"/>
        <v>0.91238364360000002</v>
      </c>
      <c r="I32" s="16">
        <f t="shared" si="3"/>
        <v>152.0639406</v>
      </c>
      <c r="J32" s="31"/>
      <c r="K32" s="8"/>
      <c r="L32" s="8"/>
      <c r="M32" s="8"/>
    </row>
    <row r="33" spans="1:14" ht="15.75" customHeight="1">
      <c r="A33" s="38">
        <v>16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2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customHeight="1">
      <c r="A34" s="38">
        <v>17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3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2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2"/>
        <v>1.2147399999999999</v>
      </c>
      <c r="I36" s="16">
        <v>0</v>
      </c>
      <c r="J36" s="32"/>
    </row>
    <row r="37" spans="1:14" ht="15.75" hidden="1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hidden="1" customHeight="1">
      <c r="A38" s="38">
        <v>8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4">SUM(F38*G38/1000)</f>
        <v>4.8977999999999993</v>
      </c>
      <c r="I38" s="16">
        <f t="shared" ref="I38:I43" si="5">F38/6*G38</f>
        <v>816.3</v>
      </c>
      <c r="J38" s="32"/>
    </row>
    <row r="39" spans="1:14" ht="15.75" hidden="1" customHeight="1">
      <c r="A39" s="38">
        <v>9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5"/>
        <v>475.18799999999999</v>
      </c>
      <c r="J39" s="32"/>
      <c r="L39" s="25"/>
      <c r="M39" s="26"/>
      <c r="N39" s="27"/>
    </row>
    <row r="40" spans="1:14" ht="15.75" hidden="1" customHeight="1">
      <c r="A40" s="38">
        <v>10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4"/>
        <v>2.4587445555</v>
      </c>
      <c r="I40" s="16">
        <f t="shared" si="5"/>
        <v>409.79075924999995</v>
      </c>
      <c r="J40" s="32"/>
      <c r="L40" s="25"/>
      <c r="M40" s="26"/>
      <c r="N40" s="27"/>
    </row>
    <row r="41" spans="1:14" ht="47.25" hidden="1" customHeight="1">
      <c r="A41" s="38">
        <v>11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4"/>
        <v>9.1860641039999997</v>
      </c>
      <c r="I41" s="16">
        <f t="shared" si="5"/>
        <v>1531.0106839999999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4"/>
        <v>0.87247215450000015</v>
      </c>
      <c r="I42" s="16">
        <f t="shared" si="5"/>
        <v>145.41202575000003</v>
      </c>
      <c r="J42" s="32"/>
      <c r="L42" s="25"/>
      <c r="M42" s="26"/>
      <c r="N42" s="27"/>
    </row>
    <row r="43" spans="1:14" ht="15.75" hidden="1" customHeight="1">
      <c r="A43" s="38">
        <v>13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4"/>
        <v>0.39768020000000004</v>
      </c>
      <c r="I43" s="16">
        <f t="shared" si="5"/>
        <v>66.280033333333336</v>
      </c>
      <c r="J43" s="32"/>
      <c r="L43" s="25"/>
      <c r="M43" s="26"/>
      <c r="N43" s="27"/>
    </row>
    <row r="44" spans="1:14" ht="15.75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customHeight="1">
      <c r="A45" s="38">
        <v>18</v>
      </c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6">SUM(F45*G45/1000)</f>
        <v>0.9703194249999999</v>
      </c>
      <c r="I45" s="16">
        <f t="shared" ref="I45:I48" si="7">F45/2*G45</f>
        <v>485.15971249999996</v>
      </c>
      <c r="J45" s="32"/>
      <c r="L45" s="25"/>
      <c r="M45" s="26"/>
      <c r="N45" s="27"/>
    </row>
    <row r="46" spans="1:14" ht="15.75" customHeight="1">
      <c r="A46" s="38">
        <v>19</v>
      </c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6"/>
        <v>2.8373799999999998E-2</v>
      </c>
      <c r="I46" s="16">
        <f t="shared" si="7"/>
        <v>14.1869</v>
      </c>
      <c r="J46" s="32"/>
      <c r="L46" s="25"/>
      <c r="M46" s="26"/>
      <c r="N46" s="27"/>
    </row>
    <row r="47" spans="1:14" ht="15.75" customHeight="1">
      <c r="A47" s="38">
        <v>20</v>
      </c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6"/>
        <v>0.63186269999999989</v>
      </c>
      <c r="I47" s="16">
        <f t="shared" si="7"/>
        <v>315.93134999999995</v>
      </c>
      <c r="J47" s="32"/>
      <c r="L47" s="25"/>
      <c r="M47" s="26"/>
      <c r="N47" s="27"/>
    </row>
    <row r="48" spans="1:14" ht="15.75" customHeight="1">
      <c r="A48" s="38">
        <v>21</v>
      </c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6"/>
        <v>0.78084119099999993</v>
      </c>
      <c r="I48" s="16">
        <f t="shared" si="7"/>
        <v>390.42059549999999</v>
      </c>
      <c r="J48" s="32"/>
      <c r="L48" s="25"/>
      <c r="M48" s="26"/>
      <c r="N48" s="27"/>
    </row>
    <row r="49" spans="1:22" ht="15.75" customHeight="1">
      <c r="A49" s="38">
        <v>22</v>
      </c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6"/>
        <v>6.0483632000000002E-2</v>
      </c>
      <c r="I49" s="16">
        <f>F49/2*G49</f>
        <v>30.241816</v>
      </c>
      <c r="J49" s="32"/>
      <c r="L49" s="25"/>
      <c r="M49" s="26"/>
      <c r="N49" s="27"/>
    </row>
    <row r="50" spans="1:22" ht="15.75" customHeight="1">
      <c r="A50" s="38">
        <v>23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6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hidden="1" customHeight="1">
      <c r="A51" s="38"/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6"/>
        <v>2.6053559999999996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6"/>
        <v>0.46279439999999999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6"/>
        <v>0.106443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6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customHeight="1">
      <c r="A55" s="131" t="s">
        <v>168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hidden="1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hidden="1" customHeight="1">
      <c r="A61" s="38">
        <v>17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8">SUM(F61*G61/1000)</f>
        <v>1.1887000000000001</v>
      </c>
      <c r="I61" s="16">
        <f>G61</f>
        <v>237.74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8"/>
        <v>0.16302</v>
      </c>
      <c r="I62" s="16">
        <v>0</v>
      </c>
    </row>
    <row r="63" spans="1:22" ht="15.75" customHeight="1">
      <c r="A63" s="38">
        <v>24</v>
      </c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8"/>
        <v>9.733826800000001</v>
      </c>
      <c r="I63" s="16">
        <f>F63*G63</f>
        <v>9733.8268000000007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8">
        <v>25</v>
      </c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8"/>
        <v>0.75801012000000001</v>
      </c>
      <c r="I64" s="16">
        <f t="shared" ref="I64:I77" si="9">F64*G64</f>
        <v>758.01012000000003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8">
        <v>26</v>
      </c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8"/>
        <v>11.310677999999999</v>
      </c>
      <c r="I65" s="16">
        <f t="shared" si="9"/>
        <v>11310.678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8">
        <v>27</v>
      </c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8"/>
        <v>0.19628199999999998</v>
      </c>
      <c r="I66" s="16">
        <f t="shared" si="9"/>
        <v>196.28199999999998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customHeight="1">
      <c r="A67" s="38">
        <v>28</v>
      </c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8"/>
        <v>0.18312600000000001</v>
      </c>
      <c r="I67" s="16">
        <f t="shared" si="9"/>
        <v>183.126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8"/>
        <v>0.15996000000000002</v>
      </c>
      <c r="I68" s="16">
        <f t="shared" si="9"/>
        <v>159.96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>
        <f t="shared" si="9"/>
        <v>0</v>
      </c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8"/>
        <v>0.10724600000000001</v>
      </c>
      <c r="I70" s="16">
        <f t="shared" si="9"/>
        <v>107.24600000000001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8"/>
        <v>0.91185000000000005</v>
      </c>
      <c r="I71" s="16">
        <f t="shared" si="9"/>
        <v>911.85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8"/>
        <v>0</v>
      </c>
      <c r="I72" s="16">
        <f t="shared" si="9"/>
        <v>0</v>
      </c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f t="shared" si="9"/>
        <v>383.25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 t="e">
        <f t="shared" si="9"/>
        <v>#VALUE!</v>
      </c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8"/>
        <v>0.294985</v>
      </c>
      <c r="I75" s="16">
        <f t="shared" si="9"/>
        <v>294.98500000000001</v>
      </c>
    </row>
    <row r="76" spans="1:21" ht="15.75" hidden="1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6">
        <f t="shared" si="9"/>
        <v>0</v>
      </c>
    </row>
    <row r="77" spans="1:21" ht="15.75" hidden="1" customHeight="1">
      <c r="A77" s="38"/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f t="shared" si="9"/>
        <v>3124.9</v>
      </c>
    </row>
    <row r="78" spans="1:21" ht="15.75" customHeight="1">
      <c r="A78" s="131" t="s">
        <v>169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29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30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I16+I17+I18+I19+I20+I21+I22+I23+I24+I25+I26+I27+I28+I31+I32+I33+I34+I45+I46+I47+I48+I49+I50+I63+I64+I65+I66+I67+I79+I80</f>
        <v>41229.090507644432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15.75" customHeight="1">
      <c r="A83" s="38">
        <v>31</v>
      </c>
      <c r="B83" s="82" t="s">
        <v>181</v>
      </c>
      <c r="C83" s="83" t="s">
        <v>182</v>
      </c>
      <c r="D83" s="68"/>
      <c r="E83" s="16"/>
      <c r="F83" s="16">
        <v>1</v>
      </c>
      <c r="G83" s="16">
        <v>1646</v>
      </c>
      <c r="H83" s="120">
        <f t="shared" ref="H83" si="10">G83*F83/1000</f>
        <v>1.6459999999999999</v>
      </c>
      <c r="I83" s="16">
        <f>G83</f>
        <v>1646</v>
      </c>
    </row>
    <row r="84" spans="1:9">
      <c r="A84" s="38"/>
      <c r="B84" s="62" t="s">
        <v>52</v>
      </c>
      <c r="C84" s="58"/>
      <c r="D84" s="71"/>
      <c r="E84" s="58">
        <v>1</v>
      </c>
      <c r="F84" s="58"/>
      <c r="G84" s="58"/>
      <c r="H84" s="58"/>
      <c r="I84" s="40">
        <f>SUM(I83:I83)</f>
        <v>1646</v>
      </c>
    </row>
    <row r="85" spans="1:9" ht="16.5" customHeight="1">
      <c r="A85" s="38"/>
      <c r="B85" s="68" t="s">
        <v>85</v>
      </c>
      <c r="C85" s="19"/>
      <c r="D85" s="19"/>
      <c r="E85" s="59"/>
      <c r="F85" s="59"/>
      <c r="G85" s="60"/>
      <c r="H85" s="60"/>
      <c r="I85" s="22">
        <v>0</v>
      </c>
    </row>
    <row r="86" spans="1:9" ht="16.5" customHeight="1">
      <c r="A86" s="72"/>
      <c r="B86" s="63" t="s">
        <v>53</v>
      </c>
      <c r="C86" s="46"/>
      <c r="D86" s="46"/>
      <c r="E86" s="46"/>
      <c r="F86" s="46"/>
      <c r="G86" s="46"/>
      <c r="H86" s="46"/>
      <c r="I86" s="61">
        <f>I81+I84</f>
        <v>42875.090507644432</v>
      </c>
    </row>
    <row r="87" spans="1:9" ht="15.75" customHeight="1">
      <c r="A87" s="143" t="s">
        <v>201</v>
      </c>
      <c r="B87" s="143"/>
      <c r="C87" s="143"/>
      <c r="D87" s="143"/>
      <c r="E87" s="143"/>
      <c r="F87" s="143"/>
      <c r="G87" s="143"/>
      <c r="H87" s="143"/>
      <c r="I87" s="143"/>
    </row>
    <row r="88" spans="1:9" ht="15.75" customHeight="1">
      <c r="A88" s="98"/>
      <c r="B88" s="144" t="s">
        <v>202</v>
      </c>
      <c r="C88" s="144"/>
      <c r="D88" s="144"/>
      <c r="E88" s="144"/>
      <c r="F88" s="144"/>
      <c r="G88" s="144"/>
      <c r="H88" s="104"/>
      <c r="I88" s="3"/>
    </row>
    <row r="89" spans="1:9">
      <c r="A89" s="97"/>
      <c r="B89" s="141" t="s">
        <v>6</v>
      </c>
      <c r="C89" s="141"/>
      <c r="D89" s="141"/>
      <c r="E89" s="141"/>
      <c r="F89" s="141"/>
      <c r="G89" s="141"/>
      <c r="H89" s="33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37" t="s">
        <v>7</v>
      </c>
      <c r="B91" s="137"/>
      <c r="C91" s="137"/>
      <c r="D91" s="137"/>
      <c r="E91" s="137"/>
      <c r="F91" s="137"/>
      <c r="G91" s="137"/>
      <c r="H91" s="137"/>
      <c r="I91" s="137"/>
    </row>
    <row r="92" spans="1:9" ht="15.75">
      <c r="A92" s="137" t="s">
        <v>8</v>
      </c>
      <c r="B92" s="137"/>
      <c r="C92" s="137"/>
      <c r="D92" s="137"/>
      <c r="E92" s="137"/>
      <c r="F92" s="137"/>
      <c r="G92" s="137"/>
      <c r="H92" s="137"/>
      <c r="I92" s="137"/>
    </row>
    <row r="93" spans="1:9" ht="15.75">
      <c r="A93" s="138" t="s">
        <v>64</v>
      </c>
      <c r="B93" s="138"/>
      <c r="C93" s="138"/>
      <c r="D93" s="138"/>
      <c r="E93" s="138"/>
      <c r="F93" s="138"/>
      <c r="G93" s="138"/>
      <c r="H93" s="138"/>
      <c r="I93" s="138"/>
    </row>
    <row r="94" spans="1:9" ht="15.75">
      <c r="A94" s="11"/>
    </row>
    <row r="95" spans="1:9" ht="15.75">
      <c r="A95" s="139" t="s">
        <v>9</v>
      </c>
      <c r="B95" s="139"/>
      <c r="C95" s="139"/>
      <c r="D95" s="139"/>
      <c r="E95" s="139"/>
      <c r="F95" s="139"/>
      <c r="G95" s="139"/>
      <c r="H95" s="139"/>
      <c r="I95" s="139"/>
    </row>
    <row r="96" spans="1:9" ht="15.75">
      <c r="A96" s="4"/>
    </row>
    <row r="97" spans="1:9" ht="15.75">
      <c r="B97" s="94" t="s">
        <v>10</v>
      </c>
      <c r="C97" s="140" t="s">
        <v>165</v>
      </c>
      <c r="D97" s="140"/>
      <c r="E97" s="140"/>
      <c r="F97" s="102"/>
      <c r="I97" s="96"/>
    </row>
    <row r="98" spans="1:9">
      <c r="A98" s="97"/>
      <c r="C98" s="141" t="s">
        <v>11</v>
      </c>
      <c r="D98" s="141"/>
      <c r="E98" s="141"/>
      <c r="F98" s="33"/>
      <c r="I98" s="95" t="s">
        <v>12</v>
      </c>
    </row>
    <row r="99" spans="1:9" ht="15.75">
      <c r="A99" s="34"/>
      <c r="C99" s="12"/>
      <c r="D99" s="12"/>
      <c r="G99" s="12"/>
      <c r="H99" s="12"/>
    </row>
    <row r="100" spans="1:9" ht="15.75">
      <c r="B100" s="94" t="s">
        <v>13</v>
      </c>
      <c r="C100" s="142"/>
      <c r="D100" s="142"/>
      <c r="E100" s="142"/>
      <c r="F100" s="103"/>
      <c r="I100" s="96"/>
    </row>
    <row r="101" spans="1:9">
      <c r="A101" s="97"/>
      <c r="C101" s="134" t="s">
        <v>11</v>
      </c>
      <c r="D101" s="134"/>
      <c r="E101" s="134"/>
      <c r="F101" s="97"/>
      <c r="I101" s="95" t="s">
        <v>12</v>
      </c>
    </row>
    <row r="102" spans="1:9" ht="15.75">
      <c r="A102" s="4" t="s">
        <v>14</v>
      </c>
    </row>
    <row r="103" spans="1:9">
      <c r="A103" s="135" t="s">
        <v>15</v>
      </c>
      <c r="B103" s="135"/>
      <c r="C103" s="135"/>
      <c r="D103" s="135"/>
      <c r="E103" s="135"/>
      <c r="F103" s="135"/>
      <c r="G103" s="135"/>
      <c r="H103" s="135"/>
      <c r="I103" s="135"/>
    </row>
    <row r="104" spans="1:9" ht="45" customHeight="1">
      <c r="A104" s="136" t="s">
        <v>16</v>
      </c>
      <c r="B104" s="136"/>
      <c r="C104" s="136"/>
      <c r="D104" s="136"/>
      <c r="E104" s="136"/>
      <c r="F104" s="136"/>
      <c r="G104" s="136"/>
      <c r="H104" s="136"/>
      <c r="I104" s="136"/>
    </row>
    <row r="105" spans="1:9" ht="30" customHeight="1">
      <c r="A105" s="136" t="s">
        <v>17</v>
      </c>
      <c r="B105" s="136"/>
      <c r="C105" s="136"/>
      <c r="D105" s="136"/>
      <c r="E105" s="136"/>
      <c r="F105" s="136"/>
      <c r="G105" s="136"/>
      <c r="H105" s="136"/>
      <c r="I105" s="136"/>
    </row>
    <row r="106" spans="1:9" ht="30" customHeight="1">
      <c r="A106" s="136" t="s">
        <v>21</v>
      </c>
      <c r="B106" s="136"/>
      <c r="C106" s="136"/>
      <c r="D106" s="136"/>
      <c r="E106" s="136"/>
      <c r="F106" s="136"/>
      <c r="G106" s="136"/>
      <c r="H106" s="136"/>
      <c r="I106" s="136"/>
    </row>
    <row r="107" spans="1:9" ht="14.25" customHeight="1">
      <c r="A107" s="136" t="s">
        <v>20</v>
      </c>
      <c r="B107" s="136"/>
      <c r="C107" s="136"/>
      <c r="D107" s="136"/>
      <c r="E107" s="136"/>
      <c r="F107" s="136"/>
      <c r="G107" s="136"/>
      <c r="H107" s="136"/>
      <c r="I107" s="136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93:I93"/>
    <mergeCell ref="A15:I15"/>
    <mergeCell ref="A29:I29"/>
    <mergeCell ref="A44:I44"/>
    <mergeCell ref="A55:I55"/>
    <mergeCell ref="A87:I87"/>
    <mergeCell ref="B88:G88"/>
    <mergeCell ref="B89:G89"/>
    <mergeCell ref="A91:I91"/>
    <mergeCell ref="A92:I92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203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58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42551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hidden="1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hidden="1" customHeight="1">
      <c r="A21" s="38">
        <v>5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hidden="1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v>0</v>
      </c>
      <c r="J22" s="31"/>
      <c r="K22" s="8"/>
      <c r="L22" s="8"/>
      <c r="M22" s="8"/>
    </row>
    <row r="23" spans="1:13" ht="15.75" hidden="1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v>0</v>
      </c>
      <c r="J23" s="31"/>
      <c r="K23" s="8"/>
      <c r="L23" s="8"/>
      <c r="M23" s="8"/>
    </row>
    <row r="24" spans="1:13" ht="15.75" hidden="1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v>0</v>
      </c>
      <c r="J24" s="31"/>
      <c r="K24" s="8"/>
      <c r="L24" s="8"/>
      <c r="M24" s="8"/>
    </row>
    <row r="25" spans="1:13" ht="15.75" hidden="1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v>0</v>
      </c>
      <c r="J25" s="31"/>
      <c r="K25" s="8"/>
      <c r="L25" s="8"/>
      <c r="M25" s="8"/>
    </row>
    <row r="26" spans="1:13" ht="15.75" hidden="1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6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customHeight="1">
      <c r="A31" s="38">
        <v>7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1">SUM(F31*G31/1000)</f>
        <v>2.0347501356</v>
      </c>
      <c r="I31" s="16">
        <f t="shared" ref="I31:I34" si="2">F31/6*G31</f>
        <v>339.12502259999997</v>
      </c>
      <c r="J31" s="31"/>
      <c r="K31" s="8"/>
      <c r="L31" s="8"/>
      <c r="M31" s="8"/>
    </row>
    <row r="32" spans="1:13" ht="31.5" customHeight="1">
      <c r="A32" s="38">
        <v>8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1"/>
        <v>0.91238364360000002</v>
      </c>
      <c r="I32" s="16">
        <f t="shared" si="2"/>
        <v>152.0639406</v>
      </c>
      <c r="J32" s="31"/>
      <c r="K32" s="8"/>
      <c r="L32" s="8"/>
      <c r="M32" s="8"/>
    </row>
    <row r="33" spans="1:14" ht="15.75" hidden="1" customHeight="1">
      <c r="A33" s="38">
        <v>10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1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customHeight="1">
      <c r="A34" s="38">
        <v>9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2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1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1"/>
        <v>1.2147399999999999</v>
      </c>
      <c r="I36" s="16">
        <v>0</v>
      </c>
      <c r="J36" s="32"/>
    </row>
    <row r="37" spans="1:14" ht="15.75" hidden="1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hidden="1" customHeight="1">
      <c r="A38" s="38">
        <v>8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3">SUM(F38*G38/1000)</f>
        <v>4.8977999999999993</v>
      </c>
      <c r="I38" s="16">
        <f t="shared" ref="I38:I43" si="4">F38/6*G38</f>
        <v>816.3</v>
      </c>
      <c r="J38" s="32"/>
    </row>
    <row r="39" spans="1:14" ht="15.75" hidden="1" customHeight="1">
      <c r="A39" s="38">
        <v>9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4"/>
        <v>475.18799999999999</v>
      </c>
      <c r="J39" s="32"/>
      <c r="L39" s="25"/>
      <c r="M39" s="26"/>
      <c r="N39" s="27"/>
    </row>
    <row r="40" spans="1:14" ht="15.75" hidden="1" customHeight="1">
      <c r="A40" s="38">
        <v>10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3"/>
        <v>2.4587445555</v>
      </c>
      <c r="I40" s="16">
        <f t="shared" si="4"/>
        <v>409.79075924999995</v>
      </c>
      <c r="J40" s="32"/>
      <c r="L40" s="25"/>
      <c r="M40" s="26"/>
      <c r="N40" s="27"/>
    </row>
    <row r="41" spans="1:14" ht="47.25" hidden="1" customHeight="1">
      <c r="A41" s="38">
        <v>11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3"/>
        <v>9.1860641039999997</v>
      </c>
      <c r="I41" s="16">
        <f t="shared" si="4"/>
        <v>1531.0106839999999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3"/>
        <v>0.87247215450000015</v>
      </c>
      <c r="I42" s="16">
        <f t="shared" si="4"/>
        <v>145.41202575000003</v>
      </c>
      <c r="J42" s="32"/>
      <c r="L42" s="25"/>
      <c r="M42" s="26"/>
      <c r="N42" s="27"/>
    </row>
    <row r="43" spans="1:14" ht="15.75" hidden="1" customHeight="1">
      <c r="A43" s="38">
        <v>13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3"/>
        <v>0.39768020000000004</v>
      </c>
      <c r="I43" s="16">
        <f t="shared" si="4"/>
        <v>66.280033333333336</v>
      </c>
      <c r="J43" s="32"/>
      <c r="L43" s="25"/>
      <c r="M43" s="26"/>
      <c r="N43" s="27"/>
    </row>
    <row r="44" spans="1:14" ht="15.75" hidden="1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hidden="1" customHeight="1">
      <c r="A45" s="38"/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5">SUM(F45*G45/1000)</f>
        <v>0.9703194249999999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5"/>
        <v>2.8373799999999998E-2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5"/>
        <v>0.63186269999999989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5"/>
        <v>0.78084119099999993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5"/>
        <v>6.0483632000000002E-2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5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hidden="1" customHeight="1">
      <c r="A51" s="38"/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5"/>
        <v>2.6053559999999996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5"/>
        <v>0.46279439999999999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5"/>
        <v>0.106443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5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hidden="1" customHeight="1">
      <c r="A55" s="131" t="s">
        <v>168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hidden="1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hidden="1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hidden="1" customHeight="1">
      <c r="A61" s="38">
        <v>17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6">SUM(F61*G61/1000)</f>
        <v>1.1887000000000001</v>
      </c>
      <c r="I61" s="16">
        <f>G61</f>
        <v>237.74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6"/>
        <v>0.16302</v>
      </c>
      <c r="I62" s="16">
        <v>0</v>
      </c>
    </row>
    <row r="63" spans="1:22" ht="15.75" hidden="1" customHeight="1">
      <c r="A63" s="38"/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6"/>
        <v>9.733826800000001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6"/>
        <v>0.75801012000000001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6"/>
        <v>11.310677999999999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6"/>
        <v>0.19628199999999998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hidden="1" customHeight="1">
      <c r="A67" s="38"/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6"/>
        <v>0.18312600000000001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6"/>
        <v>0.15996000000000002</v>
      </c>
      <c r="I68" s="16">
        <v>0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/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6"/>
        <v>0.10724600000000001</v>
      </c>
      <c r="I70" s="16">
        <v>0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6"/>
        <v>0.91185000000000005</v>
      </c>
      <c r="I71" s="16">
        <v>0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6"/>
        <v>0</v>
      </c>
      <c r="I72" s="16"/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v>0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/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6"/>
        <v>0.294985</v>
      </c>
      <c r="I75" s="16">
        <v>0</v>
      </c>
    </row>
    <row r="76" spans="1:21" ht="15.75" hidden="1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11"/>
    </row>
    <row r="77" spans="1:21" ht="15.75" hidden="1" customHeight="1">
      <c r="A77" s="38"/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v>0</v>
      </c>
    </row>
    <row r="78" spans="1:21" ht="15.75" customHeight="1">
      <c r="A78" s="131" t="s">
        <v>204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10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11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I16+I17+I18+I20+I27+I28+I31+I32+I34+I79+I80</f>
        <v>15306.434093644442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15.75" customHeight="1">
      <c r="A83" s="38">
        <v>12</v>
      </c>
      <c r="B83" s="82" t="s">
        <v>183</v>
      </c>
      <c r="C83" s="83" t="s">
        <v>117</v>
      </c>
      <c r="D83" s="68"/>
      <c r="E83" s="16"/>
      <c r="F83" s="16">
        <v>1</v>
      </c>
      <c r="G83" s="16">
        <v>182.63</v>
      </c>
      <c r="H83" s="120">
        <f t="shared" ref="H83" si="7">G83*F83/1000</f>
        <v>0.18262999999999999</v>
      </c>
      <c r="I83" s="16">
        <f>G83</f>
        <v>182.63</v>
      </c>
    </row>
    <row r="84" spans="1:9">
      <c r="A84" s="38"/>
      <c r="B84" s="62" t="s">
        <v>52</v>
      </c>
      <c r="C84" s="58"/>
      <c r="D84" s="71"/>
      <c r="E84" s="58">
        <v>1</v>
      </c>
      <c r="F84" s="58"/>
      <c r="G84" s="58"/>
      <c r="H84" s="58"/>
      <c r="I84" s="40">
        <f>SUM(I83:I83)</f>
        <v>182.63</v>
      </c>
    </row>
    <row r="85" spans="1:9" ht="16.5" customHeight="1">
      <c r="A85" s="38"/>
      <c r="B85" s="68" t="s">
        <v>85</v>
      </c>
      <c r="C85" s="19"/>
      <c r="D85" s="19"/>
      <c r="E85" s="59"/>
      <c r="F85" s="59"/>
      <c r="G85" s="60"/>
      <c r="H85" s="60"/>
      <c r="I85" s="22">
        <v>0</v>
      </c>
    </row>
    <row r="86" spans="1:9" ht="16.5" customHeight="1">
      <c r="A86" s="72"/>
      <c r="B86" s="63" t="s">
        <v>53</v>
      </c>
      <c r="C86" s="46"/>
      <c r="D86" s="46"/>
      <c r="E86" s="46"/>
      <c r="F86" s="46"/>
      <c r="G86" s="46"/>
      <c r="H86" s="46"/>
      <c r="I86" s="61">
        <f>I81+I84</f>
        <v>15489.064093644442</v>
      </c>
    </row>
    <row r="87" spans="1:9" ht="15.75" customHeight="1">
      <c r="A87" s="143" t="s">
        <v>205</v>
      </c>
      <c r="B87" s="143"/>
      <c r="C87" s="143"/>
      <c r="D87" s="143"/>
      <c r="E87" s="143"/>
      <c r="F87" s="143"/>
      <c r="G87" s="143"/>
      <c r="H87" s="143"/>
      <c r="I87" s="143"/>
    </row>
    <row r="88" spans="1:9" ht="15.75" customHeight="1">
      <c r="A88" s="98"/>
      <c r="B88" s="144" t="s">
        <v>206</v>
      </c>
      <c r="C88" s="144"/>
      <c r="D88" s="144"/>
      <c r="E88" s="144"/>
      <c r="F88" s="144"/>
      <c r="G88" s="144"/>
      <c r="H88" s="104"/>
      <c r="I88" s="3"/>
    </row>
    <row r="89" spans="1:9">
      <c r="A89" s="97"/>
      <c r="B89" s="141" t="s">
        <v>6</v>
      </c>
      <c r="C89" s="141"/>
      <c r="D89" s="141"/>
      <c r="E89" s="141"/>
      <c r="F89" s="141"/>
      <c r="G89" s="141"/>
      <c r="H89" s="33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37" t="s">
        <v>7</v>
      </c>
      <c r="B91" s="137"/>
      <c r="C91" s="137"/>
      <c r="D91" s="137"/>
      <c r="E91" s="137"/>
      <c r="F91" s="137"/>
      <c r="G91" s="137"/>
      <c r="H91" s="137"/>
      <c r="I91" s="137"/>
    </row>
    <row r="92" spans="1:9" ht="15.75">
      <c r="A92" s="137" t="s">
        <v>8</v>
      </c>
      <c r="B92" s="137"/>
      <c r="C92" s="137"/>
      <c r="D92" s="137"/>
      <c r="E92" s="137"/>
      <c r="F92" s="137"/>
      <c r="G92" s="137"/>
      <c r="H92" s="137"/>
      <c r="I92" s="137"/>
    </row>
    <row r="93" spans="1:9" ht="15.75">
      <c r="A93" s="138" t="s">
        <v>64</v>
      </c>
      <c r="B93" s="138"/>
      <c r="C93" s="138"/>
      <c r="D93" s="138"/>
      <c r="E93" s="138"/>
      <c r="F93" s="138"/>
      <c r="G93" s="138"/>
      <c r="H93" s="138"/>
      <c r="I93" s="138"/>
    </row>
    <row r="94" spans="1:9" ht="15.75">
      <c r="A94" s="11"/>
    </row>
    <row r="95" spans="1:9" ht="15.75">
      <c r="A95" s="139" t="s">
        <v>9</v>
      </c>
      <c r="B95" s="139"/>
      <c r="C95" s="139"/>
      <c r="D95" s="139"/>
      <c r="E95" s="139"/>
      <c r="F95" s="139"/>
      <c r="G95" s="139"/>
      <c r="H95" s="139"/>
      <c r="I95" s="139"/>
    </row>
    <row r="96" spans="1:9" ht="15.75">
      <c r="A96" s="4"/>
    </row>
    <row r="97" spans="1:9" ht="15.75">
      <c r="B97" s="94" t="s">
        <v>10</v>
      </c>
      <c r="C97" s="140" t="s">
        <v>165</v>
      </c>
      <c r="D97" s="140"/>
      <c r="E97" s="140"/>
      <c r="F97" s="102"/>
      <c r="I97" s="96"/>
    </row>
    <row r="98" spans="1:9">
      <c r="A98" s="97"/>
      <c r="C98" s="141" t="s">
        <v>11</v>
      </c>
      <c r="D98" s="141"/>
      <c r="E98" s="141"/>
      <c r="F98" s="33"/>
      <c r="I98" s="95" t="s">
        <v>12</v>
      </c>
    </row>
    <row r="99" spans="1:9" ht="15.75">
      <c r="A99" s="34"/>
      <c r="C99" s="12"/>
      <c r="D99" s="12"/>
      <c r="G99" s="12"/>
      <c r="H99" s="12"/>
    </row>
    <row r="100" spans="1:9" ht="15.75">
      <c r="B100" s="94" t="s">
        <v>13</v>
      </c>
      <c r="C100" s="142"/>
      <c r="D100" s="142"/>
      <c r="E100" s="142"/>
      <c r="F100" s="103"/>
      <c r="I100" s="96"/>
    </row>
    <row r="101" spans="1:9">
      <c r="A101" s="97"/>
      <c r="C101" s="134" t="s">
        <v>11</v>
      </c>
      <c r="D101" s="134"/>
      <c r="E101" s="134"/>
      <c r="F101" s="97"/>
      <c r="I101" s="95" t="s">
        <v>12</v>
      </c>
    </row>
    <row r="102" spans="1:9" ht="15.75">
      <c r="A102" s="4" t="s">
        <v>14</v>
      </c>
    </row>
    <row r="103" spans="1:9">
      <c r="A103" s="135" t="s">
        <v>15</v>
      </c>
      <c r="B103" s="135"/>
      <c r="C103" s="135"/>
      <c r="D103" s="135"/>
      <c r="E103" s="135"/>
      <c r="F103" s="135"/>
      <c r="G103" s="135"/>
      <c r="H103" s="135"/>
      <c r="I103" s="135"/>
    </row>
    <row r="104" spans="1:9" ht="45" customHeight="1">
      <c r="A104" s="136" t="s">
        <v>16</v>
      </c>
      <c r="B104" s="136"/>
      <c r="C104" s="136"/>
      <c r="D104" s="136"/>
      <c r="E104" s="136"/>
      <c r="F104" s="136"/>
      <c r="G104" s="136"/>
      <c r="H104" s="136"/>
      <c r="I104" s="136"/>
    </row>
    <row r="105" spans="1:9" ht="30" customHeight="1">
      <c r="A105" s="136" t="s">
        <v>17</v>
      </c>
      <c r="B105" s="136"/>
      <c r="C105" s="136"/>
      <c r="D105" s="136"/>
      <c r="E105" s="136"/>
      <c r="F105" s="136"/>
      <c r="G105" s="136"/>
      <c r="H105" s="136"/>
      <c r="I105" s="136"/>
    </row>
    <row r="106" spans="1:9" ht="30" customHeight="1">
      <c r="A106" s="136" t="s">
        <v>21</v>
      </c>
      <c r="B106" s="136"/>
      <c r="C106" s="136"/>
      <c r="D106" s="136"/>
      <c r="E106" s="136"/>
      <c r="F106" s="136"/>
      <c r="G106" s="136"/>
      <c r="H106" s="136"/>
      <c r="I106" s="136"/>
    </row>
    <row r="107" spans="1:9" ht="14.25" customHeight="1">
      <c r="A107" s="136" t="s">
        <v>20</v>
      </c>
      <c r="B107" s="136"/>
      <c r="C107" s="136"/>
      <c r="D107" s="136"/>
      <c r="E107" s="136"/>
      <c r="F107" s="136"/>
      <c r="G107" s="136"/>
      <c r="H107" s="136"/>
      <c r="I107" s="136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93:I93"/>
    <mergeCell ref="A15:I15"/>
    <mergeCell ref="A29:I29"/>
    <mergeCell ref="A44:I44"/>
    <mergeCell ref="A55:I55"/>
    <mergeCell ref="A87:I87"/>
    <mergeCell ref="B88:G88"/>
    <mergeCell ref="B89:G89"/>
    <mergeCell ref="A91:I91"/>
    <mergeCell ref="A92:I92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207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93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42582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hidden="1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customHeight="1">
      <c r="A21" s="38">
        <v>5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hidden="1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v>0</v>
      </c>
      <c r="J22" s="31"/>
      <c r="K22" s="8"/>
      <c r="L22" s="8"/>
      <c r="M22" s="8"/>
    </row>
    <row r="23" spans="1:13" ht="15.75" hidden="1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v>0</v>
      </c>
      <c r="J23" s="31"/>
      <c r="K23" s="8"/>
      <c r="L23" s="8"/>
      <c r="M23" s="8"/>
    </row>
    <row r="24" spans="1:13" ht="15.75" hidden="1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v>0</v>
      </c>
      <c r="J24" s="31"/>
      <c r="K24" s="8"/>
      <c r="L24" s="8"/>
      <c r="M24" s="8"/>
    </row>
    <row r="25" spans="1:13" ht="15.75" hidden="1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v>0</v>
      </c>
      <c r="J25" s="31"/>
      <c r="K25" s="8"/>
      <c r="L25" s="8"/>
      <c r="M25" s="8"/>
    </row>
    <row r="26" spans="1:13" ht="15.75" hidden="1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6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7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customHeight="1">
      <c r="A31" s="38">
        <v>8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1">SUM(F31*G31/1000)</f>
        <v>2.0347501356</v>
      </c>
      <c r="I31" s="16">
        <f t="shared" ref="I31:I34" si="2">F31/6*G31</f>
        <v>339.12502259999997</v>
      </c>
      <c r="J31" s="31"/>
      <c r="K31" s="8"/>
      <c r="L31" s="8"/>
      <c r="M31" s="8"/>
    </row>
    <row r="32" spans="1:13" ht="31.5" customHeight="1">
      <c r="A32" s="38">
        <v>9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1"/>
        <v>0.91238364360000002</v>
      </c>
      <c r="I32" s="16">
        <f t="shared" si="2"/>
        <v>152.0639406</v>
      </c>
      <c r="J32" s="31"/>
      <c r="K32" s="8"/>
      <c r="L32" s="8"/>
      <c r="M32" s="8"/>
    </row>
    <row r="33" spans="1:14" ht="15.75" hidden="1" customHeight="1">
      <c r="A33" s="38">
        <v>10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1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customHeight="1">
      <c r="A34" s="38">
        <v>10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2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1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1"/>
        <v>1.2147399999999999</v>
      </c>
      <c r="I36" s="16">
        <v>0</v>
      </c>
      <c r="J36" s="32"/>
    </row>
    <row r="37" spans="1:14" ht="15.75" hidden="1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hidden="1" customHeight="1">
      <c r="A38" s="38">
        <v>8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3">SUM(F38*G38/1000)</f>
        <v>4.8977999999999993</v>
      </c>
      <c r="I38" s="16">
        <f t="shared" ref="I38:I43" si="4">F38/6*G38</f>
        <v>816.3</v>
      </c>
      <c r="J38" s="32"/>
    </row>
    <row r="39" spans="1:14" ht="15.75" hidden="1" customHeight="1">
      <c r="A39" s="38">
        <v>9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4"/>
        <v>475.18799999999999</v>
      </c>
      <c r="J39" s="32"/>
      <c r="L39" s="25"/>
      <c r="M39" s="26"/>
      <c r="N39" s="27"/>
    </row>
    <row r="40" spans="1:14" ht="15.75" hidden="1" customHeight="1">
      <c r="A40" s="38">
        <v>10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3"/>
        <v>2.4587445555</v>
      </c>
      <c r="I40" s="16">
        <f t="shared" si="4"/>
        <v>409.79075924999995</v>
      </c>
      <c r="J40" s="32"/>
      <c r="L40" s="25"/>
      <c r="M40" s="26"/>
      <c r="N40" s="27"/>
    </row>
    <row r="41" spans="1:14" ht="47.25" hidden="1" customHeight="1">
      <c r="A41" s="38">
        <v>11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3"/>
        <v>9.1860641039999997</v>
      </c>
      <c r="I41" s="16">
        <f t="shared" si="4"/>
        <v>1531.0106839999999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3"/>
        <v>0.87247215450000015</v>
      </c>
      <c r="I42" s="16">
        <f t="shared" si="4"/>
        <v>145.41202575000003</v>
      </c>
      <c r="J42" s="32"/>
      <c r="L42" s="25"/>
      <c r="M42" s="26"/>
      <c r="N42" s="27"/>
    </row>
    <row r="43" spans="1:14" ht="15.75" hidden="1" customHeight="1">
      <c r="A43" s="38">
        <v>13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3"/>
        <v>0.39768020000000004</v>
      </c>
      <c r="I43" s="16">
        <f t="shared" si="4"/>
        <v>66.280033333333336</v>
      </c>
      <c r="J43" s="32"/>
      <c r="L43" s="25"/>
      <c r="M43" s="26"/>
      <c r="N43" s="27"/>
    </row>
    <row r="44" spans="1:14" ht="15.75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hidden="1" customHeight="1">
      <c r="A45" s="38"/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5">SUM(F45*G45/1000)</f>
        <v>0.9703194249999999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5"/>
        <v>2.8373799999999998E-2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5"/>
        <v>0.63186269999999989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5"/>
        <v>0.78084119099999993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5"/>
        <v>6.0483632000000002E-2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5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hidden="1" customHeight="1">
      <c r="A51" s="38"/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5"/>
        <v>2.6053559999999996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5"/>
        <v>0.46279439999999999</v>
      </c>
      <c r="I52" s="16">
        <v>0</v>
      </c>
      <c r="J52" s="32"/>
      <c r="L52" s="25"/>
      <c r="M52" s="26"/>
      <c r="N52" s="27"/>
    </row>
    <row r="53" spans="1:22" ht="15.75" customHeight="1">
      <c r="A53" s="38">
        <v>11</v>
      </c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5"/>
        <v>0.106443</v>
      </c>
      <c r="I53" s="16">
        <f>F53/2*G53</f>
        <v>53.221499999999999</v>
      </c>
      <c r="J53" s="32"/>
      <c r="L53" s="25"/>
      <c r="M53" s="26"/>
      <c r="N53" s="27"/>
    </row>
    <row r="54" spans="1:22" ht="15.75" hidden="1" customHeight="1">
      <c r="A54" s="38">
        <v>15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5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hidden="1" customHeight="1">
      <c r="A55" s="131" t="s">
        <v>168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hidden="1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hidden="1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hidden="1" customHeight="1">
      <c r="A61" s="38">
        <v>17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6">SUM(F61*G61/1000)</f>
        <v>1.1887000000000001</v>
      </c>
      <c r="I61" s="16">
        <f>G61</f>
        <v>237.74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6"/>
        <v>0.16302</v>
      </c>
      <c r="I62" s="16">
        <v>0</v>
      </c>
    </row>
    <row r="63" spans="1:22" ht="15.75" hidden="1" customHeight="1">
      <c r="A63" s="38"/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6"/>
        <v>9.733826800000001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6"/>
        <v>0.75801012000000001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6"/>
        <v>11.310677999999999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6"/>
        <v>0.19628199999999998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hidden="1" customHeight="1">
      <c r="A67" s="38"/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6"/>
        <v>0.18312600000000001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6"/>
        <v>0.15996000000000002</v>
      </c>
      <c r="I68" s="16">
        <v>0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/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6"/>
        <v>0.10724600000000001</v>
      </c>
      <c r="I70" s="16">
        <v>0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6"/>
        <v>0.91185000000000005</v>
      </c>
      <c r="I71" s="16">
        <v>0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6"/>
        <v>0</v>
      </c>
      <c r="I72" s="16"/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v>0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/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6"/>
        <v>0.294985</v>
      </c>
      <c r="I75" s="16">
        <v>0</v>
      </c>
    </row>
    <row r="76" spans="1:21" ht="15.75" hidden="1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11"/>
    </row>
    <row r="77" spans="1:21" ht="15.75" hidden="1" customHeight="1">
      <c r="A77" s="38"/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v>0</v>
      </c>
    </row>
    <row r="78" spans="1:21" ht="15.75" customHeight="1">
      <c r="A78" s="131" t="s">
        <v>194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12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13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I16+I17+I18+I20+I21+I27+I28+I31+I32+I34+I53+I79+I80</f>
        <v>15361.853393644444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15.75" customHeight="1">
      <c r="A83" s="38">
        <v>14</v>
      </c>
      <c r="B83" s="82" t="s">
        <v>151</v>
      </c>
      <c r="C83" s="83" t="s">
        <v>97</v>
      </c>
      <c r="D83" s="68"/>
      <c r="E83" s="16"/>
      <c r="F83" s="16">
        <v>2</v>
      </c>
      <c r="G83" s="16">
        <v>185.81</v>
      </c>
      <c r="H83" s="120">
        <f t="shared" ref="H83" si="7">G83*F83/1000</f>
        <v>0.37162000000000001</v>
      </c>
      <c r="I83" s="16">
        <f>G83</f>
        <v>185.81</v>
      </c>
    </row>
    <row r="84" spans="1:9">
      <c r="A84" s="38"/>
      <c r="B84" s="62" t="s">
        <v>52</v>
      </c>
      <c r="C84" s="58"/>
      <c r="D84" s="71"/>
      <c r="E84" s="58">
        <v>1</v>
      </c>
      <c r="F84" s="58"/>
      <c r="G84" s="58"/>
      <c r="H84" s="58"/>
      <c r="I84" s="40">
        <f>SUM(I83:I83)</f>
        <v>185.81</v>
      </c>
    </row>
    <row r="85" spans="1:9" ht="16.5" customHeight="1">
      <c r="A85" s="38"/>
      <c r="B85" s="68" t="s">
        <v>85</v>
      </c>
      <c r="C85" s="19"/>
      <c r="D85" s="19"/>
      <c r="E85" s="59"/>
      <c r="F85" s="59"/>
      <c r="G85" s="60"/>
      <c r="H85" s="60"/>
      <c r="I85" s="22">
        <v>0</v>
      </c>
    </row>
    <row r="86" spans="1:9" ht="16.5" customHeight="1">
      <c r="A86" s="72"/>
      <c r="B86" s="63" t="s">
        <v>53</v>
      </c>
      <c r="C86" s="46"/>
      <c r="D86" s="46"/>
      <c r="E86" s="46"/>
      <c r="F86" s="46"/>
      <c r="G86" s="46"/>
      <c r="H86" s="46"/>
      <c r="I86" s="61">
        <f>I81+I84</f>
        <v>15547.663393644443</v>
      </c>
    </row>
    <row r="87" spans="1:9" ht="15.75" customHeight="1">
      <c r="A87" s="143" t="s">
        <v>208</v>
      </c>
      <c r="B87" s="143"/>
      <c r="C87" s="143"/>
      <c r="D87" s="143"/>
      <c r="E87" s="143"/>
      <c r="F87" s="143"/>
      <c r="G87" s="143"/>
      <c r="H87" s="143"/>
      <c r="I87" s="143"/>
    </row>
    <row r="88" spans="1:9" ht="15.75" customHeight="1">
      <c r="A88" s="98"/>
      <c r="B88" s="144" t="s">
        <v>209</v>
      </c>
      <c r="C88" s="144"/>
      <c r="D88" s="144"/>
      <c r="E88" s="144"/>
      <c r="F88" s="144"/>
      <c r="G88" s="144"/>
      <c r="H88" s="104"/>
      <c r="I88" s="3"/>
    </row>
    <row r="89" spans="1:9">
      <c r="A89" s="97"/>
      <c r="B89" s="141" t="s">
        <v>6</v>
      </c>
      <c r="C89" s="141"/>
      <c r="D89" s="141"/>
      <c r="E89" s="141"/>
      <c r="F89" s="141"/>
      <c r="G89" s="141"/>
      <c r="H89" s="33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37" t="s">
        <v>7</v>
      </c>
      <c r="B91" s="137"/>
      <c r="C91" s="137"/>
      <c r="D91" s="137"/>
      <c r="E91" s="137"/>
      <c r="F91" s="137"/>
      <c r="G91" s="137"/>
      <c r="H91" s="137"/>
      <c r="I91" s="137"/>
    </row>
    <row r="92" spans="1:9" ht="15.75">
      <c r="A92" s="137" t="s">
        <v>8</v>
      </c>
      <c r="B92" s="137"/>
      <c r="C92" s="137"/>
      <c r="D92" s="137"/>
      <c r="E92" s="137"/>
      <c r="F92" s="137"/>
      <c r="G92" s="137"/>
      <c r="H92" s="137"/>
      <c r="I92" s="137"/>
    </row>
    <row r="93" spans="1:9" ht="15.75">
      <c r="A93" s="138" t="s">
        <v>64</v>
      </c>
      <c r="B93" s="138"/>
      <c r="C93" s="138"/>
      <c r="D93" s="138"/>
      <c r="E93" s="138"/>
      <c r="F93" s="138"/>
      <c r="G93" s="138"/>
      <c r="H93" s="138"/>
      <c r="I93" s="138"/>
    </row>
    <row r="94" spans="1:9" ht="15.75">
      <c r="A94" s="11"/>
    </row>
    <row r="95" spans="1:9" ht="15.75">
      <c r="A95" s="139" t="s">
        <v>9</v>
      </c>
      <c r="B95" s="139"/>
      <c r="C95" s="139"/>
      <c r="D95" s="139"/>
      <c r="E95" s="139"/>
      <c r="F95" s="139"/>
      <c r="G95" s="139"/>
      <c r="H95" s="139"/>
      <c r="I95" s="139"/>
    </row>
    <row r="96" spans="1:9" ht="15.75">
      <c r="A96" s="4"/>
    </row>
    <row r="97" spans="1:9" ht="15.75">
      <c r="B97" s="94" t="s">
        <v>10</v>
      </c>
      <c r="C97" s="140" t="s">
        <v>165</v>
      </c>
      <c r="D97" s="140"/>
      <c r="E97" s="140"/>
      <c r="F97" s="102"/>
      <c r="I97" s="96"/>
    </row>
    <row r="98" spans="1:9">
      <c r="A98" s="97"/>
      <c r="C98" s="141" t="s">
        <v>11</v>
      </c>
      <c r="D98" s="141"/>
      <c r="E98" s="141"/>
      <c r="F98" s="33"/>
      <c r="I98" s="95" t="s">
        <v>12</v>
      </c>
    </row>
    <row r="99" spans="1:9" ht="15.75">
      <c r="A99" s="34"/>
      <c r="C99" s="12"/>
      <c r="D99" s="12"/>
      <c r="G99" s="12"/>
      <c r="H99" s="12"/>
    </row>
    <row r="100" spans="1:9" ht="15.75">
      <c r="B100" s="94" t="s">
        <v>13</v>
      </c>
      <c r="C100" s="142"/>
      <c r="D100" s="142"/>
      <c r="E100" s="142"/>
      <c r="F100" s="103"/>
      <c r="I100" s="96"/>
    </row>
    <row r="101" spans="1:9">
      <c r="A101" s="97"/>
      <c r="C101" s="134" t="s">
        <v>11</v>
      </c>
      <c r="D101" s="134"/>
      <c r="E101" s="134"/>
      <c r="F101" s="97"/>
      <c r="I101" s="95" t="s">
        <v>12</v>
      </c>
    </row>
    <row r="102" spans="1:9" ht="15.75">
      <c r="A102" s="4" t="s">
        <v>14</v>
      </c>
    </row>
    <row r="103" spans="1:9">
      <c r="A103" s="135" t="s">
        <v>15</v>
      </c>
      <c r="B103" s="135"/>
      <c r="C103" s="135"/>
      <c r="D103" s="135"/>
      <c r="E103" s="135"/>
      <c r="F103" s="135"/>
      <c r="G103" s="135"/>
      <c r="H103" s="135"/>
      <c r="I103" s="135"/>
    </row>
    <row r="104" spans="1:9" ht="45" customHeight="1">
      <c r="A104" s="136" t="s">
        <v>16</v>
      </c>
      <c r="B104" s="136"/>
      <c r="C104" s="136"/>
      <c r="D104" s="136"/>
      <c r="E104" s="136"/>
      <c r="F104" s="136"/>
      <c r="G104" s="136"/>
      <c r="H104" s="136"/>
      <c r="I104" s="136"/>
    </row>
    <row r="105" spans="1:9" ht="30" customHeight="1">
      <c r="A105" s="136" t="s">
        <v>17</v>
      </c>
      <c r="B105" s="136"/>
      <c r="C105" s="136"/>
      <c r="D105" s="136"/>
      <c r="E105" s="136"/>
      <c r="F105" s="136"/>
      <c r="G105" s="136"/>
      <c r="H105" s="136"/>
      <c r="I105" s="136"/>
    </row>
    <row r="106" spans="1:9" ht="30" customHeight="1">
      <c r="A106" s="136" t="s">
        <v>21</v>
      </c>
      <c r="B106" s="136"/>
      <c r="C106" s="136"/>
      <c r="D106" s="136"/>
      <c r="E106" s="136"/>
      <c r="F106" s="136"/>
      <c r="G106" s="136"/>
      <c r="H106" s="136"/>
      <c r="I106" s="136"/>
    </row>
    <row r="107" spans="1:9" ht="14.25" customHeight="1">
      <c r="A107" s="136" t="s">
        <v>20</v>
      </c>
      <c r="B107" s="136"/>
      <c r="C107" s="136"/>
      <c r="D107" s="136"/>
      <c r="E107" s="136"/>
      <c r="F107" s="136"/>
      <c r="G107" s="136"/>
      <c r="H107" s="136"/>
      <c r="I107" s="136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93:I93"/>
    <mergeCell ref="A15:I15"/>
    <mergeCell ref="A29:I29"/>
    <mergeCell ref="A44:I44"/>
    <mergeCell ref="A55:I55"/>
    <mergeCell ref="A87:I87"/>
    <mergeCell ref="B88:G88"/>
    <mergeCell ref="B89:G89"/>
    <mergeCell ref="A91:I91"/>
    <mergeCell ref="A92:I92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210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65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42613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hidden="1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hidden="1" customHeight="1">
      <c r="A21" s="38">
        <v>5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hidden="1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v>0</v>
      </c>
      <c r="J22" s="31"/>
      <c r="K22" s="8"/>
      <c r="L22" s="8"/>
      <c r="M22" s="8"/>
    </row>
    <row r="23" spans="1:13" ht="15.75" hidden="1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v>0</v>
      </c>
      <c r="J23" s="31"/>
      <c r="K23" s="8"/>
      <c r="L23" s="8"/>
      <c r="M23" s="8"/>
    </row>
    <row r="24" spans="1:13" ht="15.75" hidden="1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v>0</v>
      </c>
      <c r="J24" s="31"/>
      <c r="K24" s="8"/>
      <c r="L24" s="8"/>
      <c r="M24" s="8"/>
    </row>
    <row r="25" spans="1:13" ht="15.75" hidden="1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v>0</v>
      </c>
      <c r="J25" s="31"/>
      <c r="K25" s="8"/>
      <c r="L25" s="8"/>
      <c r="M25" s="8"/>
    </row>
    <row r="26" spans="1:13" ht="15.75" hidden="1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6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customHeight="1">
      <c r="A31" s="38">
        <v>7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1">SUM(F31*G31/1000)</f>
        <v>2.0347501356</v>
      </c>
      <c r="I31" s="16">
        <f t="shared" ref="I31:I34" si="2">F31/6*G31</f>
        <v>339.12502259999997</v>
      </c>
      <c r="J31" s="31"/>
      <c r="K31" s="8"/>
      <c r="L31" s="8"/>
      <c r="M31" s="8"/>
    </row>
    <row r="32" spans="1:13" ht="31.5" customHeight="1">
      <c r="A32" s="38">
        <v>8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1"/>
        <v>0.91238364360000002</v>
      </c>
      <c r="I32" s="16">
        <f t="shared" si="2"/>
        <v>152.0639406</v>
      </c>
      <c r="J32" s="31"/>
      <c r="K32" s="8"/>
      <c r="L32" s="8"/>
      <c r="M32" s="8"/>
    </row>
    <row r="33" spans="1:14" ht="15.75" hidden="1" customHeight="1">
      <c r="A33" s="38">
        <v>10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1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customHeight="1">
      <c r="A34" s="38">
        <v>9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2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1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1"/>
        <v>1.2147399999999999</v>
      </c>
      <c r="I36" s="16">
        <v>0</v>
      </c>
      <c r="J36" s="32"/>
    </row>
    <row r="37" spans="1:14" ht="15.75" hidden="1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hidden="1" customHeight="1">
      <c r="A38" s="38">
        <v>8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3">SUM(F38*G38/1000)</f>
        <v>4.8977999999999993</v>
      </c>
      <c r="I38" s="16">
        <f t="shared" ref="I38:I43" si="4">F38/6*G38</f>
        <v>816.3</v>
      </c>
      <c r="J38" s="32"/>
    </row>
    <row r="39" spans="1:14" ht="15.75" hidden="1" customHeight="1">
      <c r="A39" s="38">
        <v>9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4"/>
        <v>475.18799999999999</v>
      </c>
      <c r="J39" s="32"/>
      <c r="L39" s="25"/>
      <c r="M39" s="26"/>
      <c r="N39" s="27"/>
    </row>
    <row r="40" spans="1:14" ht="15.75" hidden="1" customHeight="1">
      <c r="A40" s="38">
        <v>10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3"/>
        <v>2.4587445555</v>
      </c>
      <c r="I40" s="16">
        <f t="shared" si="4"/>
        <v>409.79075924999995</v>
      </c>
      <c r="J40" s="32"/>
      <c r="L40" s="25"/>
      <c r="M40" s="26"/>
      <c r="N40" s="27"/>
    </row>
    <row r="41" spans="1:14" ht="47.25" hidden="1" customHeight="1">
      <c r="A41" s="38">
        <v>11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3"/>
        <v>9.1860641039999997</v>
      </c>
      <c r="I41" s="16">
        <f t="shared" si="4"/>
        <v>1531.0106839999999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3"/>
        <v>0.87247215450000015</v>
      </c>
      <c r="I42" s="16">
        <f t="shared" si="4"/>
        <v>145.41202575000003</v>
      </c>
      <c r="J42" s="32"/>
      <c r="L42" s="25"/>
      <c r="M42" s="26"/>
      <c r="N42" s="27"/>
    </row>
    <row r="43" spans="1:14" ht="15.75" hidden="1" customHeight="1">
      <c r="A43" s="38">
        <v>13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3"/>
        <v>0.39768020000000004</v>
      </c>
      <c r="I43" s="16">
        <f t="shared" si="4"/>
        <v>66.280033333333336</v>
      </c>
      <c r="J43" s="32"/>
      <c r="L43" s="25"/>
      <c r="M43" s="26"/>
      <c r="N43" s="27"/>
    </row>
    <row r="44" spans="1:14" ht="15.75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hidden="1" customHeight="1">
      <c r="A45" s="38"/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5">SUM(F45*G45/1000)</f>
        <v>0.9703194249999999</v>
      </c>
      <c r="I45" s="16">
        <v>0</v>
      </c>
      <c r="J45" s="32"/>
      <c r="L45" s="25"/>
      <c r="M45" s="26"/>
      <c r="N45" s="27"/>
    </row>
    <row r="46" spans="1:14" ht="15.75" hidden="1" customHeight="1">
      <c r="A46" s="38"/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5"/>
        <v>2.8373799999999998E-2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5"/>
        <v>0.63186269999999989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5"/>
        <v>0.78084119099999993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5"/>
        <v>6.0483632000000002E-2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5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hidden="1" customHeight="1">
      <c r="A51" s="38"/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5"/>
        <v>2.6053559999999996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5"/>
        <v>0.46279439999999999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5"/>
        <v>0.106443</v>
      </c>
      <c r="I53" s="16">
        <v>0</v>
      </c>
      <c r="J53" s="32"/>
      <c r="L53" s="25"/>
      <c r="M53" s="26"/>
      <c r="N53" s="27"/>
    </row>
    <row r="54" spans="1:22" ht="15.75" customHeight="1">
      <c r="A54" s="38">
        <v>10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5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customHeight="1">
      <c r="A55" s="131" t="s">
        <v>168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hidden="1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customHeight="1">
      <c r="A61" s="38">
        <v>11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6">SUM(F61*G61/1000)</f>
        <v>1.1887000000000001</v>
      </c>
      <c r="I61" s="16">
        <f>G61*2</f>
        <v>475.48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6"/>
        <v>0.16302</v>
      </c>
      <c r="I62" s="16">
        <v>0</v>
      </c>
    </row>
    <row r="63" spans="1:22" ht="15.75" hidden="1" customHeight="1">
      <c r="A63" s="38"/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6"/>
        <v>9.733826800000001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6"/>
        <v>0.75801012000000001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6"/>
        <v>11.310677999999999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6"/>
        <v>0.19628199999999998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hidden="1" customHeight="1">
      <c r="A67" s="38"/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6"/>
        <v>0.18312600000000001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6"/>
        <v>0.15996000000000002</v>
      </c>
      <c r="I68" s="16">
        <v>0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/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6"/>
        <v>0.10724600000000001</v>
      </c>
      <c r="I70" s="16">
        <v>0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6"/>
        <v>0.91185000000000005</v>
      </c>
      <c r="I71" s="16">
        <v>0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6"/>
        <v>0</v>
      </c>
      <c r="I72" s="16"/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v>0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/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6"/>
        <v>0.294985</v>
      </c>
      <c r="I75" s="16">
        <v>0</v>
      </c>
    </row>
    <row r="76" spans="1:21" ht="15.75" hidden="1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11"/>
    </row>
    <row r="77" spans="1:21" ht="15.75" hidden="1" customHeight="1">
      <c r="A77" s="38"/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v>0</v>
      </c>
    </row>
    <row r="78" spans="1:21" ht="15.75" customHeight="1">
      <c r="A78" s="131" t="s">
        <v>169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12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13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I16+I17+I18+I20+I27+I28+I31+I32+I34+I54+I61+I79+I80</f>
        <v>18008.15409364444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31.5" hidden="1" customHeight="1">
      <c r="A83" s="38"/>
      <c r="B83" s="82" t="s">
        <v>177</v>
      </c>
      <c r="C83" s="83" t="s">
        <v>178</v>
      </c>
      <c r="D83" s="68"/>
      <c r="E83" s="16"/>
      <c r="F83" s="16">
        <v>1</v>
      </c>
      <c r="G83" s="16">
        <v>51.39</v>
      </c>
      <c r="H83" s="120">
        <f t="shared" ref="H83:H90" si="7">G83*F83/1000</f>
        <v>5.1389999999999998E-2</v>
      </c>
      <c r="I83" s="16">
        <v>0</v>
      </c>
    </row>
    <row r="84" spans="1:9" ht="15.75" hidden="1" customHeight="1">
      <c r="A84" s="38"/>
      <c r="B84" s="82" t="s">
        <v>179</v>
      </c>
      <c r="C84" s="83" t="s">
        <v>180</v>
      </c>
      <c r="D84" s="68"/>
      <c r="E84" s="16"/>
      <c r="F84" s="16">
        <v>5</v>
      </c>
      <c r="G84" s="16">
        <v>1501</v>
      </c>
      <c r="H84" s="120">
        <f t="shared" si="7"/>
        <v>7.5049999999999999</v>
      </c>
      <c r="I84" s="16">
        <v>0</v>
      </c>
    </row>
    <row r="85" spans="1:9" ht="15.75" hidden="1" customHeight="1">
      <c r="A85" s="38"/>
      <c r="B85" s="82" t="s">
        <v>181</v>
      </c>
      <c r="C85" s="83" t="s">
        <v>182</v>
      </c>
      <c r="D85" s="68"/>
      <c r="E85" s="16"/>
      <c r="F85" s="16">
        <v>1</v>
      </c>
      <c r="G85" s="16">
        <v>1646</v>
      </c>
      <c r="H85" s="120">
        <f t="shared" si="7"/>
        <v>1.6459999999999999</v>
      </c>
      <c r="I85" s="16">
        <v>0</v>
      </c>
    </row>
    <row r="86" spans="1:9" ht="15.75" hidden="1" customHeight="1">
      <c r="A86" s="38"/>
      <c r="B86" s="82" t="s">
        <v>183</v>
      </c>
      <c r="C86" s="83" t="s">
        <v>117</v>
      </c>
      <c r="D86" s="68"/>
      <c r="E86" s="16"/>
      <c r="F86" s="16">
        <v>1</v>
      </c>
      <c r="G86" s="16">
        <v>182.63</v>
      </c>
      <c r="H86" s="120">
        <f t="shared" si="7"/>
        <v>0.18262999999999999</v>
      </c>
      <c r="I86" s="16">
        <v>0</v>
      </c>
    </row>
    <row r="87" spans="1:9" ht="15.75" hidden="1" customHeight="1">
      <c r="A87" s="38"/>
      <c r="B87" s="82" t="s">
        <v>151</v>
      </c>
      <c r="C87" s="83" t="s">
        <v>97</v>
      </c>
      <c r="D87" s="68"/>
      <c r="E87" s="16"/>
      <c r="F87" s="16">
        <v>2</v>
      </c>
      <c r="G87" s="16">
        <v>185.81</v>
      </c>
      <c r="H87" s="120">
        <f t="shared" si="7"/>
        <v>0.37162000000000001</v>
      </c>
      <c r="I87" s="16">
        <v>0</v>
      </c>
    </row>
    <row r="88" spans="1:9" ht="31.5" hidden="1" customHeight="1">
      <c r="A88" s="38"/>
      <c r="B88" s="82" t="s">
        <v>95</v>
      </c>
      <c r="C88" s="83" t="s">
        <v>39</v>
      </c>
      <c r="D88" s="68"/>
      <c r="E88" s="16"/>
      <c r="F88" s="16">
        <v>0.01</v>
      </c>
      <c r="G88" s="16">
        <v>3397.65</v>
      </c>
      <c r="H88" s="120">
        <f t="shared" si="7"/>
        <v>3.39765E-2</v>
      </c>
      <c r="I88" s="16">
        <v>0</v>
      </c>
    </row>
    <row r="89" spans="1:9" ht="31.5" hidden="1" customHeight="1">
      <c r="A89" s="38"/>
      <c r="B89" s="82" t="s">
        <v>87</v>
      </c>
      <c r="C89" s="83" t="s">
        <v>140</v>
      </c>
      <c r="D89" s="68"/>
      <c r="E89" s="16"/>
      <c r="F89" s="16">
        <v>1</v>
      </c>
      <c r="G89" s="16">
        <v>79.09</v>
      </c>
      <c r="H89" s="120">
        <f t="shared" si="7"/>
        <v>7.9090000000000008E-2</v>
      </c>
      <c r="I89" s="16">
        <v>0</v>
      </c>
    </row>
    <row r="90" spans="1:9" ht="15.75" hidden="1" customHeight="1">
      <c r="A90" s="38"/>
      <c r="B90" s="82" t="s">
        <v>184</v>
      </c>
      <c r="C90" s="83" t="s">
        <v>185</v>
      </c>
      <c r="D90" s="68"/>
      <c r="E90" s="16"/>
      <c r="F90" s="16">
        <v>1</v>
      </c>
      <c r="G90" s="16">
        <v>1072.21</v>
      </c>
      <c r="H90" s="120">
        <f t="shared" si="7"/>
        <v>1.0722100000000001</v>
      </c>
      <c r="I90" s="16">
        <v>0</v>
      </c>
    </row>
    <row r="91" spans="1:9">
      <c r="A91" s="38"/>
      <c r="B91" s="62" t="s">
        <v>52</v>
      </c>
      <c r="C91" s="58"/>
      <c r="D91" s="71"/>
      <c r="E91" s="58">
        <v>1</v>
      </c>
      <c r="F91" s="58"/>
      <c r="G91" s="58"/>
      <c r="H91" s="58"/>
      <c r="I91" s="40">
        <f>SUM(I83:I90)</f>
        <v>0</v>
      </c>
    </row>
    <row r="92" spans="1:9" ht="16.5" customHeight="1">
      <c r="A92" s="38"/>
      <c r="B92" s="68" t="s">
        <v>85</v>
      </c>
      <c r="C92" s="19"/>
      <c r="D92" s="19"/>
      <c r="E92" s="59"/>
      <c r="F92" s="59"/>
      <c r="G92" s="60"/>
      <c r="H92" s="60"/>
      <c r="I92" s="22">
        <v>0</v>
      </c>
    </row>
    <row r="93" spans="1:9" ht="16.5" customHeight="1">
      <c r="A93" s="72"/>
      <c r="B93" s="63" t="s">
        <v>53</v>
      </c>
      <c r="C93" s="46"/>
      <c r="D93" s="46"/>
      <c r="E93" s="46"/>
      <c r="F93" s="46"/>
      <c r="G93" s="46"/>
      <c r="H93" s="46"/>
      <c r="I93" s="61">
        <f>I81+I91</f>
        <v>18008.15409364444</v>
      </c>
    </row>
    <row r="94" spans="1:9" ht="15.75" customHeight="1">
      <c r="A94" s="143" t="s">
        <v>211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 customHeight="1">
      <c r="A95" s="98"/>
      <c r="B95" s="144" t="s">
        <v>212</v>
      </c>
      <c r="C95" s="144"/>
      <c r="D95" s="144"/>
      <c r="E95" s="144"/>
      <c r="F95" s="144"/>
      <c r="G95" s="144"/>
      <c r="H95" s="104"/>
      <c r="I95" s="3"/>
    </row>
    <row r="96" spans="1:9">
      <c r="A96" s="97"/>
      <c r="B96" s="141" t="s">
        <v>6</v>
      </c>
      <c r="C96" s="141"/>
      <c r="D96" s="141"/>
      <c r="E96" s="141"/>
      <c r="F96" s="141"/>
      <c r="G96" s="141"/>
      <c r="H96" s="33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7" t="s">
        <v>7</v>
      </c>
      <c r="B98" s="137"/>
      <c r="C98" s="137"/>
      <c r="D98" s="137"/>
      <c r="E98" s="137"/>
      <c r="F98" s="137"/>
      <c r="G98" s="137"/>
      <c r="H98" s="137"/>
      <c r="I98" s="137"/>
    </row>
    <row r="99" spans="1:9" ht="15.75">
      <c r="A99" s="137" t="s">
        <v>8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>
      <c r="A100" s="138" t="s">
        <v>64</v>
      </c>
      <c r="B100" s="138"/>
      <c r="C100" s="138"/>
      <c r="D100" s="138"/>
      <c r="E100" s="138"/>
      <c r="F100" s="138"/>
      <c r="G100" s="138"/>
      <c r="H100" s="138"/>
      <c r="I100" s="138"/>
    </row>
    <row r="101" spans="1:9" ht="15.75">
      <c r="A101" s="11"/>
    </row>
    <row r="102" spans="1:9" ht="15.75">
      <c r="A102" s="139" t="s">
        <v>9</v>
      </c>
      <c r="B102" s="139"/>
      <c r="C102" s="139"/>
      <c r="D102" s="139"/>
      <c r="E102" s="139"/>
      <c r="F102" s="139"/>
      <c r="G102" s="139"/>
      <c r="H102" s="139"/>
      <c r="I102" s="139"/>
    </row>
    <row r="103" spans="1:9" ht="15.75">
      <c r="A103" s="4"/>
    </row>
    <row r="104" spans="1:9" ht="15.75">
      <c r="B104" s="94" t="s">
        <v>10</v>
      </c>
      <c r="C104" s="140" t="s">
        <v>165</v>
      </c>
      <c r="D104" s="140"/>
      <c r="E104" s="140"/>
      <c r="F104" s="102"/>
      <c r="I104" s="96"/>
    </row>
    <row r="105" spans="1:9">
      <c r="A105" s="97"/>
      <c r="C105" s="141" t="s">
        <v>11</v>
      </c>
      <c r="D105" s="141"/>
      <c r="E105" s="141"/>
      <c r="F105" s="33"/>
      <c r="I105" s="95" t="s">
        <v>12</v>
      </c>
    </row>
    <row r="106" spans="1:9" ht="15.75">
      <c r="A106" s="34"/>
      <c r="C106" s="12"/>
      <c r="D106" s="12"/>
      <c r="G106" s="12"/>
      <c r="H106" s="12"/>
    </row>
    <row r="107" spans="1:9" ht="15.75">
      <c r="B107" s="94" t="s">
        <v>13</v>
      </c>
      <c r="C107" s="142"/>
      <c r="D107" s="142"/>
      <c r="E107" s="142"/>
      <c r="F107" s="103"/>
      <c r="I107" s="96"/>
    </row>
    <row r="108" spans="1:9">
      <c r="A108" s="97"/>
      <c r="C108" s="134" t="s">
        <v>11</v>
      </c>
      <c r="D108" s="134"/>
      <c r="E108" s="134"/>
      <c r="F108" s="97"/>
      <c r="I108" s="95" t="s">
        <v>12</v>
      </c>
    </row>
    <row r="109" spans="1:9" ht="15.75">
      <c r="A109" s="4" t="s">
        <v>14</v>
      </c>
    </row>
    <row r="110" spans="1:9">
      <c r="A110" s="135" t="s">
        <v>15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45" customHeight="1">
      <c r="A111" s="136" t="s">
        <v>16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30" customHeight="1">
      <c r="A112" s="136" t="s">
        <v>17</v>
      </c>
      <c r="B112" s="136"/>
      <c r="C112" s="136"/>
      <c r="D112" s="136"/>
      <c r="E112" s="136"/>
      <c r="F112" s="136"/>
      <c r="G112" s="136"/>
      <c r="H112" s="136"/>
      <c r="I112" s="136"/>
    </row>
    <row r="113" spans="1:9" ht="30" customHeight="1">
      <c r="A113" s="136" t="s">
        <v>21</v>
      </c>
      <c r="B113" s="136"/>
      <c r="C113" s="136"/>
      <c r="D113" s="136"/>
      <c r="E113" s="136"/>
      <c r="F113" s="136"/>
      <c r="G113" s="136"/>
      <c r="H113" s="136"/>
      <c r="I113" s="136"/>
    </row>
    <row r="114" spans="1:9" ht="14.25" customHeight="1">
      <c r="A114" s="136" t="s">
        <v>20</v>
      </c>
      <c r="B114" s="136"/>
      <c r="C114" s="136"/>
      <c r="D114" s="136"/>
      <c r="E114" s="136"/>
      <c r="F114" s="136"/>
      <c r="G114" s="136"/>
      <c r="H114" s="136"/>
      <c r="I114" s="136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100:I100"/>
    <mergeCell ref="A15:I15"/>
    <mergeCell ref="A29:I29"/>
    <mergeCell ref="A44:I44"/>
    <mergeCell ref="A55:I55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100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46" t="s">
        <v>213</v>
      </c>
      <c r="B3" s="146"/>
      <c r="C3" s="146"/>
      <c r="D3" s="146"/>
      <c r="E3" s="146"/>
      <c r="F3" s="146"/>
      <c r="G3" s="146"/>
      <c r="H3" s="146"/>
      <c r="I3" s="146"/>
      <c r="J3" s="3"/>
      <c r="K3" s="3"/>
      <c r="L3" s="3"/>
    </row>
    <row r="4" spans="1:13" ht="31.5" customHeight="1">
      <c r="A4" s="147" t="s">
        <v>162</v>
      </c>
      <c r="B4" s="147"/>
      <c r="C4" s="147"/>
      <c r="D4" s="147"/>
      <c r="E4" s="147"/>
      <c r="F4" s="147"/>
      <c r="G4" s="147"/>
      <c r="H4" s="147"/>
      <c r="I4" s="147"/>
    </row>
    <row r="5" spans="1:13" ht="15.75">
      <c r="A5" s="146" t="s">
        <v>94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>
      <c r="A6" s="2"/>
      <c r="B6" s="93"/>
      <c r="C6" s="93"/>
      <c r="D6" s="93"/>
      <c r="E6" s="93"/>
      <c r="F6" s="93"/>
      <c r="G6" s="93"/>
      <c r="H6" s="93"/>
      <c r="I6" s="39">
        <v>42643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9" t="s">
        <v>219</v>
      </c>
      <c r="B8" s="149"/>
      <c r="C8" s="149"/>
      <c r="D8" s="149"/>
      <c r="E8" s="149"/>
      <c r="F8" s="149"/>
      <c r="G8" s="149"/>
      <c r="H8" s="149"/>
      <c r="I8" s="149"/>
      <c r="J8" s="99"/>
      <c r="K8" s="99"/>
      <c r="L8" s="5"/>
      <c r="M8" s="5"/>
    </row>
    <row r="9" spans="1:13" ht="15.75">
      <c r="A9" s="4"/>
      <c r="L9" s="2"/>
      <c r="M9" s="2"/>
    </row>
    <row r="10" spans="1:13" ht="55.5" customHeight="1">
      <c r="A10" s="150" t="s">
        <v>220</v>
      </c>
      <c r="B10" s="150"/>
      <c r="C10" s="150"/>
      <c r="D10" s="150"/>
      <c r="E10" s="150"/>
      <c r="F10" s="150"/>
      <c r="G10" s="150"/>
      <c r="H10" s="150"/>
      <c r="I10" s="150"/>
      <c r="J10" s="100"/>
      <c r="K10" s="100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62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customHeight="1">
      <c r="A16" s="38">
        <v>1</v>
      </c>
      <c r="B16" s="105" t="s">
        <v>103</v>
      </c>
      <c r="C16" s="106" t="s">
        <v>104</v>
      </c>
      <c r="D16" s="105" t="s">
        <v>105</v>
      </c>
      <c r="E16" s="107">
        <v>37.6</v>
      </c>
      <c r="F16" s="108">
        <f>SUM(E16*156/100)</f>
        <v>58.656000000000006</v>
      </c>
      <c r="G16" s="108">
        <v>187.48</v>
      </c>
      <c r="H16" s="109">
        <f t="shared" ref="H16:H26" si="0">SUM(F16*G16/1000)</f>
        <v>10.99682688</v>
      </c>
      <c r="I16" s="16">
        <f>F16/12*G16</f>
        <v>916.40224000000012</v>
      </c>
      <c r="J16" s="30"/>
      <c r="K16" s="8"/>
      <c r="L16" s="8"/>
      <c r="M16" s="8"/>
    </row>
    <row r="17" spans="1:13" ht="31.5" customHeight="1">
      <c r="A17" s="38">
        <v>2</v>
      </c>
      <c r="B17" s="105" t="s">
        <v>171</v>
      </c>
      <c r="C17" s="106" t="s">
        <v>104</v>
      </c>
      <c r="D17" s="105" t="s">
        <v>107</v>
      </c>
      <c r="E17" s="107">
        <v>75.2</v>
      </c>
      <c r="F17" s="108">
        <f>SUM(E17*104/100)</f>
        <v>78.207999999999998</v>
      </c>
      <c r="G17" s="108">
        <v>187.48</v>
      </c>
      <c r="H17" s="109">
        <f t="shared" si="0"/>
        <v>14.662435839999999</v>
      </c>
      <c r="I17" s="16">
        <f>F17/12*G17</f>
        <v>1221.8696533333332</v>
      </c>
      <c r="J17" s="31"/>
      <c r="K17" s="8"/>
      <c r="L17" s="8"/>
      <c r="M17" s="8"/>
    </row>
    <row r="18" spans="1:13" ht="31.5" customHeight="1">
      <c r="A18" s="38">
        <v>3</v>
      </c>
      <c r="B18" s="105" t="s">
        <v>172</v>
      </c>
      <c r="C18" s="106" t="s">
        <v>104</v>
      </c>
      <c r="D18" s="105" t="s">
        <v>109</v>
      </c>
      <c r="E18" s="107">
        <f>SUM(E16+E17)</f>
        <v>112.80000000000001</v>
      </c>
      <c r="F18" s="108">
        <f>SUM(E18*24/100)</f>
        <v>27.072000000000003</v>
      </c>
      <c r="G18" s="108">
        <v>539.30999999999995</v>
      </c>
      <c r="H18" s="109">
        <f t="shared" si="0"/>
        <v>14.600200320000001</v>
      </c>
      <c r="I18" s="16">
        <f>F18/12*G18</f>
        <v>1216.68336</v>
      </c>
      <c r="J18" s="31"/>
      <c r="K18" s="8"/>
      <c r="L18" s="8"/>
      <c r="M18" s="8"/>
    </row>
    <row r="19" spans="1:13" ht="15.75" hidden="1" customHeight="1">
      <c r="A19" s="38">
        <v>4</v>
      </c>
      <c r="B19" s="105" t="s">
        <v>118</v>
      </c>
      <c r="C19" s="106" t="s">
        <v>119</v>
      </c>
      <c r="D19" s="105" t="s">
        <v>120</v>
      </c>
      <c r="E19" s="107">
        <v>15</v>
      </c>
      <c r="F19" s="108">
        <f>SUM(E19/10)</f>
        <v>1.5</v>
      </c>
      <c r="G19" s="108">
        <v>160.22999999999999</v>
      </c>
      <c r="H19" s="109">
        <f t="shared" si="0"/>
        <v>0.24034499999999998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05" t="s">
        <v>121</v>
      </c>
      <c r="C20" s="106" t="s">
        <v>104</v>
      </c>
      <c r="D20" s="105" t="s">
        <v>30</v>
      </c>
      <c r="E20" s="107">
        <v>8.76</v>
      </c>
      <c r="F20" s="108">
        <f>SUM(E20*12/100)</f>
        <v>1.0512000000000001</v>
      </c>
      <c r="G20" s="108">
        <v>205.16</v>
      </c>
      <c r="H20" s="109">
        <f t="shared" si="0"/>
        <v>0.215664192</v>
      </c>
      <c r="I20" s="16">
        <f>F20/12*G20</f>
        <v>17.972016000000004</v>
      </c>
      <c r="J20" s="31"/>
      <c r="K20" s="8"/>
      <c r="L20" s="8"/>
      <c r="M20" s="8"/>
    </row>
    <row r="21" spans="1:13" ht="15.75" customHeight="1">
      <c r="A21" s="38">
        <v>5</v>
      </c>
      <c r="B21" s="105" t="s">
        <v>122</v>
      </c>
      <c r="C21" s="106" t="s">
        <v>104</v>
      </c>
      <c r="D21" s="105" t="s">
        <v>123</v>
      </c>
      <c r="E21" s="107">
        <v>1.08</v>
      </c>
      <c r="F21" s="108">
        <f>SUM(E21*6/100)</f>
        <v>6.480000000000001E-2</v>
      </c>
      <c r="G21" s="108">
        <v>203.5</v>
      </c>
      <c r="H21" s="109">
        <f t="shared" si="0"/>
        <v>1.3186800000000002E-2</v>
      </c>
      <c r="I21" s="16">
        <f>F21/6*G21</f>
        <v>2.1978000000000004</v>
      </c>
      <c r="J21" s="31"/>
      <c r="K21" s="8"/>
      <c r="L21" s="8"/>
      <c r="M21" s="8"/>
    </row>
    <row r="22" spans="1:13" ht="15.75" hidden="1" customHeight="1">
      <c r="A22" s="38">
        <v>7</v>
      </c>
      <c r="B22" s="105" t="s">
        <v>124</v>
      </c>
      <c r="C22" s="106" t="s">
        <v>54</v>
      </c>
      <c r="D22" s="105" t="s">
        <v>120</v>
      </c>
      <c r="E22" s="107">
        <v>107.1</v>
      </c>
      <c r="F22" s="108">
        <f>SUM(E22/100)</f>
        <v>1.071</v>
      </c>
      <c r="G22" s="108">
        <v>253.54</v>
      </c>
      <c r="H22" s="109">
        <f t="shared" si="0"/>
        <v>0.27154133999999996</v>
      </c>
      <c r="I22" s="16">
        <v>0</v>
      </c>
      <c r="J22" s="31"/>
      <c r="K22" s="8"/>
      <c r="L22" s="8"/>
      <c r="M22" s="8"/>
    </row>
    <row r="23" spans="1:13" ht="15.75" hidden="1" customHeight="1">
      <c r="A23" s="38">
        <v>8</v>
      </c>
      <c r="B23" s="105" t="s">
        <v>125</v>
      </c>
      <c r="C23" s="106" t="s">
        <v>54</v>
      </c>
      <c r="D23" s="105" t="s">
        <v>120</v>
      </c>
      <c r="E23" s="110">
        <v>14.5</v>
      </c>
      <c r="F23" s="108">
        <f>SUM(E23/100)</f>
        <v>0.14499999999999999</v>
      </c>
      <c r="G23" s="108">
        <v>41.7</v>
      </c>
      <c r="H23" s="109">
        <f t="shared" si="0"/>
        <v>6.0464999999999998E-3</v>
      </c>
      <c r="I23" s="16">
        <v>0</v>
      </c>
      <c r="J23" s="31"/>
      <c r="K23" s="8"/>
      <c r="L23" s="8"/>
      <c r="M23" s="8"/>
    </row>
    <row r="24" spans="1:13" ht="15.75" hidden="1" customHeight="1">
      <c r="A24" s="38">
        <v>9</v>
      </c>
      <c r="B24" s="105" t="s">
        <v>126</v>
      </c>
      <c r="C24" s="106" t="s">
        <v>54</v>
      </c>
      <c r="D24" s="105" t="s">
        <v>127</v>
      </c>
      <c r="E24" s="107">
        <v>6</v>
      </c>
      <c r="F24" s="108">
        <f>E24/100</f>
        <v>0.06</v>
      </c>
      <c r="G24" s="108">
        <v>366.97</v>
      </c>
      <c r="H24" s="109">
        <f t="shared" si="0"/>
        <v>2.2018200000000002E-2</v>
      </c>
      <c r="I24" s="16">
        <v>0</v>
      </c>
      <c r="J24" s="31"/>
      <c r="K24" s="8"/>
      <c r="L24" s="8"/>
      <c r="M24" s="8"/>
    </row>
    <row r="25" spans="1:13" ht="15.75" hidden="1" customHeight="1">
      <c r="A25" s="38">
        <v>10</v>
      </c>
      <c r="B25" s="105" t="s">
        <v>128</v>
      </c>
      <c r="C25" s="106" t="s">
        <v>54</v>
      </c>
      <c r="D25" s="105" t="s">
        <v>55</v>
      </c>
      <c r="E25" s="107">
        <v>5.7</v>
      </c>
      <c r="F25" s="108">
        <f>E25/100</f>
        <v>5.7000000000000002E-2</v>
      </c>
      <c r="G25" s="108">
        <v>203.5</v>
      </c>
      <c r="H25" s="109">
        <f t="shared" si="0"/>
        <v>1.15995E-2</v>
      </c>
      <c r="I25" s="16">
        <v>0</v>
      </c>
      <c r="J25" s="31"/>
      <c r="K25" s="8"/>
      <c r="L25" s="8"/>
      <c r="M25" s="8"/>
    </row>
    <row r="26" spans="1:13" ht="15.75" hidden="1" customHeight="1">
      <c r="A26" s="38">
        <v>11</v>
      </c>
      <c r="B26" s="105" t="s">
        <v>129</v>
      </c>
      <c r="C26" s="106" t="s">
        <v>54</v>
      </c>
      <c r="D26" s="105" t="s">
        <v>120</v>
      </c>
      <c r="E26" s="107">
        <v>2.5499999999999998</v>
      </c>
      <c r="F26" s="108">
        <f>SUM(E26/100)</f>
        <v>2.5499999999999998E-2</v>
      </c>
      <c r="G26" s="108">
        <v>408.4</v>
      </c>
      <c r="H26" s="109">
        <f t="shared" si="0"/>
        <v>1.0414199999999998E-2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6</v>
      </c>
      <c r="B27" s="105" t="s">
        <v>69</v>
      </c>
      <c r="C27" s="106" t="s">
        <v>33</v>
      </c>
      <c r="D27" s="105" t="s">
        <v>173</v>
      </c>
      <c r="E27" s="107">
        <v>0.1</v>
      </c>
      <c r="F27" s="108">
        <f>SUM(E27*365)</f>
        <v>36.5</v>
      </c>
      <c r="G27" s="108">
        <v>138.44999999999999</v>
      </c>
      <c r="H27" s="109">
        <f>SUM(F27*G27/1000)</f>
        <v>5.0534249999999989</v>
      </c>
      <c r="I27" s="16">
        <f>F27/12*G27</f>
        <v>421.11874999999992</v>
      </c>
      <c r="J27" s="32"/>
    </row>
    <row r="28" spans="1:13" ht="15.75" customHeight="1">
      <c r="A28" s="38">
        <v>7</v>
      </c>
      <c r="B28" s="113" t="s">
        <v>23</v>
      </c>
      <c r="C28" s="106" t="s">
        <v>24</v>
      </c>
      <c r="D28" s="113" t="s">
        <v>174</v>
      </c>
      <c r="E28" s="107">
        <v>1042.5999999999999</v>
      </c>
      <c r="F28" s="108">
        <f>SUM(E28*12)</f>
        <v>12511.199999999999</v>
      </c>
      <c r="G28" s="108">
        <v>6.15</v>
      </c>
      <c r="H28" s="109">
        <f>SUM(F28*G28/1000)</f>
        <v>76.943880000000007</v>
      </c>
      <c r="I28" s="16">
        <f>F28/12*G28</f>
        <v>6411.99</v>
      </c>
      <c r="J28" s="32"/>
    </row>
    <row r="29" spans="1:13" ht="15.75" customHeight="1">
      <c r="A29" s="131" t="s">
        <v>99</v>
      </c>
      <c r="B29" s="132"/>
      <c r="C29" s="132"/>
      <c r="D29" s="132"/>
      <c r="E29" s="132"/>
      <c r="F29" s="132"/>
      <c r="G29" s="132"/>
      <c r="H29" s="132"/>
      <c r="I29" s="133"/>
      <c r="J29" s="31"/>
      <c r="K29" s="8"/>
      <c r="L29" s="8"/>
      <c r="M29" s="8"/>
    </row>
    <row r="30" spans="1:13" ht="15.75" customHeight="1">
      <c r="A30" s="38"/>
      <c r="B30" s="126" t="s">
        <v>28</v>
      </c>
      <c r="C30" s="106"/>
      <c r="D30" s="105"/>
      <c r="E30" s="107"/>
      <c r="F30" s="108"/>
      <c r="G30" s="108"/>
      <c r="H30" s="109"/>
      <c r="I30" s="16"/>
      <c r="J30" s="31"/>
      <c r="K30" s="8"/>
      <c r="L30" s="8"/>
      <c r="M30" s="8"/>
    </row>
    <row r="31" spans="1:13" ht="31.5" customHeight="1">
      <c r="A31" s="38">
        <v>8</v>
      </c>
      <c r="B31" s="105" t="s">
        <v>135</v>
      </c>
      <c r="C31" s="106" t="s">
        <v>112</v>
      </c>
      <c r="D31" s="105" t="s">
        <v>130</v>
      </c>
      <c r="E31" s="108">
        <v>266.57</v>
      </c>
      <c r="F31" s="108">
        <f>SUM(E31*52/1000)</f>
        <v>13.86164</v>
      </c>
      <c r="G31" s="108">
        <v>146.79</v>
      </c>
      <c r="H31" s="109">
        <f t="shared" ref="H31:H36" si="1">SUM(F31*G31/1000)</f>
        <v>2.0347501356</v>
      </c>
      <c r="I31" s="16">
        <f t="shared" ref="I31:I34" si="2">F31/6*G31</f>
        <v>339.12502259999997</v>
      </c>
      <c r="J31" s="31"/>
      <c r="K31" s="8"/>
      <c r="L31" s="8"/>
      <c r="M31" s="8"/>
    </row>
    <row r="32" spans="1:13" ht="31.5" customHeight="1">
      <c r="A32" s="38">
        <v>9</v>
      </c>
      <c r="B32" s="105" t="s">
        <v>134</v>
      </c>
      <c r="C32" s="106" t="s">
        <v>112</v>
      </c>
      <c r="D32" s="105" t="s">
        <v>131</v>
      </c>
      <c r="E32" s="108">
        <v>48.03</v>
      </c>
      <c r="F32" s="108">
        <f>SUM(E32*78/1000)</f>
        <v>3.74634</v>
      </c>
      <c r="G32" s="108">
        <v>243.54</v>
      </c>
      <c r="H32" s="109">
        <f t="shared" si="1"/>
        <v>0.91238364360000002</v>
      </c>
      <c r="I32" s="16">
        <f t="shared" si="2"/>
        <v>152.0639406</v>
      </c>
      <c r="J32" s="31"/>
      <c r="K32" s="8"/>
      <c r="L32" s="8"/>
      <c r="M32" s="8"/>
    </row>
    <row r="33" spans="1:14" ht="15.75" hidden="1" customHeight="1">
      <c r="A33" s="38">
        <v>10</v>
      </c>
      <c r="B33" s="105" t="s">
        <v>27</v>
      </c>
      <c r="C33" s="106" t="s">
        <v>112</v>
      </c>
      <c r="D33" s="105" t="s">
        <v>55</v>
      </c>
      <c r="E33" s="108">
        <v>266.57</v>
      </c>
      <c r="F33" s="108">
        <f>SUM(E33/1000)</f>
        <v>0.26656999999999997</v>
      </c>
      <c r="G33" s="108">
        <v>2844</v>
      </c>
      <c r="H33" s="109">
        <f t="shared" si="1"/>
        <v>0.7581250799999999</v>
      </c>
      <c r="I33" s="16">
        <f>F33*G33</f>
        <v>758.12507999999991</v>
      </c>
      <c r="J33" s="31"/>
      <c r="K33" s="8"/>
      <c r="L33" s="8"/>
      <c r="M33" s="8"/>
    </row>
    <row r="34" spans="1:14" ht="15.75" customHeight="1">
      <c r="A34" s="38">
        <v>10</v>
      </c>
      <c r="B34" s="105" t="s">
        <v>133</v>
      </c>
      <c r="C34" s="106" t="s">
        <v>31</v>
      </c>
      <c r="D34" s="105" t="s">
        <v>68</v>
      </c>
      <c r="E34" s="112">
        <v>0.33333333333333331</v>
      </c>
      <c r="F34" s="108">
        <f>155/3</f>
        <v>51.666666666666664</v>
      </c>
      <c r="G34" s="108">
        <v>53.38</v>
      </c>
      <c r="H34" s="109">
        <f>SUM(G34*155/3/1000)</f>
        <v>2.7579666666666669</v>
      </c>
      <c r="I34" s="16">
        <f t="shared" si="2"/>
        <v>459.6611111111111</v>
      </c>
      <c r="J34" s="31"/>
      <c r="K34" s="8"/>
    </row>
    <row r="35" spans="1:14" ht="15.75" hidden="1" customHeight="1">
      <c r="A35" s="38"/>
      <c r="B35" s="105" t="s">
        <v>70</v>
      </c>
      <c r="C35" s="106" t="s">
        <v>33</v>
      </c>
      <c r="D35" s="105" t="s">
        <v>72</v>
      </c>
      <c r="E35" s="107"/>
      <c r="F35" s="108">
        <v>1</v>
      </c>
      <c r="G35" s="108">
        <v>180.15</v>
      </c>
      <c r="H35" s="109">
        <f t="shared" si="1"/>
        <v>0.18015</v>
      </c>
      <c r="I35" s="16">
        <v>0</v>
      </c>
      <c r="J35" s="32"/>
    </row>
    <row r="36" spans="1:14" ht="15.75" hidden="1" customHeight="1">
      <c r="A36" s="38"/>
      <c r="B36" s="105" t="s">
        <v>71</v>
      </c>
      <c r="C36" s="106" t="s">
        <v>32</v>
      </c>
      <c r="D36" s="105" t="s">
        <v>72</v>
      </c>
      <c r="E36" s="107"/>
      <c r="F36" s="108">
        <v>1</v>
      </c>
      <c r="G36" s="108">
        <v>1214.74</v>
      </c>
      <c r="H36" s="109">
        <f t="shared" si="1"/>
        <v>1.2147399999999999</v>
      </c>
      <c r="I36" s="16">
        <v>0</v>
      </c>
      <c r="J36" s="32"/>
    </row>
    <row r="37" spans="1:14" ht="15.75" hidden="1" customHeight="1">
      <c r="A37" s="38"/>
      <c r="B37" s="126" t="s">
        <v>5</v>
      </c>
      <c r="C37" s="106"/>
      <c r="D37" s="105"/>
      <c r="E37" s="107"/>
      <c r="F37" s="108"/>
      <c r="G37" s="108"/>
      <c r="H37" s="109" t="s">
        <v>174</v>
      </c>
      <c r="I37" s="16"/>
      <c r="J37" s="32"/>
    </row>
    <row r="38" spans="1:14" ht="15.75" hidden="1" customHeight="1">
      <c r="A38" s="38">
        <v>8</v>
      </c>
      <c r="B38" s="105" t="s">
        <v>26</v>
      </c>
      <c r="C38" s="106" t="s">
        <v>32</v>
      </c>
      <c r="D38" s="105"/>
      <c r="E38" s="107"/>
      <c r="F38" s="108">
        <v>3</v>
      </c>
      <c r="G38" s="108">
        <v>1632.6</v>
      </c>
      <c r="H38" s="109">
        <f t="shared" ref="H38:H43" si="3">SUM(F38*G38/1000)</f>
        <v>4.8977999999999993</v>
      </c>
      <c r="I38" s="16">
        <f t="shared" ref="I38:I43" si="4">F38/6*G38</f>
        <v>816.3</v>
      </c>
      <c r="J38" s="32"/>
    </row>
    <row r="39" spans="1:14" ht="15.75" hidden="1" customHeight="1">
      <c r="A39" s="38">
        <v>9</v>
      </c>
      <c r="B39" s="105" t="s">
        <v>136</v>
      </c>
      <c r="C39" s="106" t="s">
        <v>29</v>
      </c>
      <c r="D39" s="105" t="s">
        <v>110</v>
      </c>
      <c r="E39" s="107">
        <v>48.03</v>
      </c>
      <c r="F39" s="108">
        <v>1.44</v>
      </c>
      <c r="G39" s="108">
        <v>1979.95</v>
      </c>
      <c r="H39" s="109">
        <f>G39*F39/1000</f>
        <v>2.8511280000000001</v>
      </c>
      <c r="I39" s="16">
        <f t="shared" si="4"/>
        <v>475.18799999999999</v>
      </c>
      <c r="J39" s="32"/>
      <c r="L39" s="25"/>
      <c r="M39" s="26"/>
      <c r="N39" s="27"/>
    </row>
    <row r="40" spans="1:14" ht="15.75" hidden="1" customHeight="1">
      <c r="A40" s="38">
        <v>10</v>
      </c>
      <c r="B40" s="105" t="s">
        <v>73</v>
      </c>
      <c r="C40" s="106" t="s">
        <v>29</v>
      </c>
      <c r="D40" s="105" t="s">
        <v>111</v>
      </c>
      <c r="E40" s="108">
        <v>48.03</v>
      </c>
      <c r="F40" s="108">
        <f>SUM(E40*155/1000)</f>
        <v>7.4446500000000002</v>
      </c>
      <c r="G40" s="108">
        <v>330.27</v>
      </c>
      <c r="H40" s="109">
        <f t="shared" si="3"/>
        <v>2.4587445555</v>
      </c>
      <c r="I40" s="16">
        <f t="shared" si="4"/>
        <v>409.79075924999995</v>
      </c>
      <c r="J40" s="32"/>
      <c r="L40" s="25"/>
      <c r="M40" s="26"/>
      <c r="N40" s="27"/>
    </row>
    <row r="41" spans="1:14" ht="47.25" hidden="1" customHeight="1">
      <c r="A41" s="38">
        <v>11</v>
      </c>
      <c r="B41" s="105" t="s">
        <v>96</v>
      </c>
      <c r="C41" s="106" t="s">
        <v>112</v>
      </c>
      <c r="D41" s="105" t="s">
        <v>137</v>
      </c>
      <c r="E41" s="108">
        <v>48.03</v>
      </c>
      <c r="F41" s="108">
        <f>SUM(E41*35/1000)</f>
        <v>1.6810499999999999</v>
      </c>
      <c r="G41" s="108">
        <v>5464.48</v>
      </c>
      <c r="H41" s="109">
        <f t="shared" si="3"/>
        <v>9.1860641039999997</v>
      </c>
      <c r="I41" s="16">
        <f t="shared" si="4"/>
        <v>1531.0106839999999</v>
      </c>
      <c r="J41" s="32"/>
      <c r="L41" s="25"/>
      <c r="M41" s="26"/>
      <c r="N41" s="27"/>
    </row>
    <row r="42" spans="1:14" ht="15.75" hidden="1" customHeight="1">
      <c r="A42" s="38">
        <v>12</v>
      </c>
      <c r="B42" s="105" t="s">
        <v>113</v>
      </c>
      <c r="C42" s="106" t="s">
        <v>112</v>
      </c>
      <c r="D42" s="105" t="s">
        <v>74</v>
      </c>
      <c r="E42" s="108">
        <v>48.03</v>
      </c>
      <c r="F42" s="108">
        <f>SUM(E42*45/1000)</f>
        <v>2.1613500000000001</v>
      </c>
      <c r="G42" s="108">
        <v>403.67</v>
      </c>
      <c r="H42" s="109">
        <f t="shared" si="3"/>
        <v>0.87247215450000015</v>
      </c>
      <c r="I42" s="16">
        <f t="shared" si="4"/>
        <v>145.41202575000003</v>
      </c>
      <c r="J42" s="32"/>
      <c r="L42" s="25"/>
      <c r="M42" s="26"/>
      <c r="N42" s="27"/>
    </row>
    <row r="43" spans="1:14" ht="15.75" hidden="1" customHeight="1">
      <c r="A43" s="38">
        <v>13</v>
      </c>
      <c r="B43" s="105" t="s">
        <v>75</v>
      </c>
      <c r="C43" s="106" t="s">
        <v>33</v>
      </c>
      <c r="D43" s="105"/>
      <c r="E43" s="107"/>
      <c r="F43" s="108">
        <v>0.53</v>
      </c>
      <c r="G43" s="108">
        <v>750.34</v>
      </c>
      <c r="H43" s="109">
        <f t="shared" si="3"/>
        <v>0.39768020000000004</v>
      </c>
      <c r="I43" s="16">
        <f t="shared" si="4"/>
        <v>66.280033333333336</v>
      </c>
      <c r="J43" s="32"/>
      <c r="L43" s="25"/>
      <c r="M43" s="26"/>
      <c r="N43" s="27"/>
    </row>
    <row r="44" spans="1:14" ht="15.75" customHeight="1">
      <c r="A44" s="131" t="s">
        <v>166</v>
      </c>
      <c r="B44" s="132"/>
      <c r="C44" s="132"/>
      <c r="D44" s="132"/>
      <c r="E44" s="132"/>
      <c r="F44" s="132"/>
      <c r="G44" s="132"/>
      <c r="H44" s="132"/>
      <c r="I44" s="133"/>
      <c r="J44" s="32"/>
      <c r="L44" s="25"/>
      <c r="M44" s="26"/>
      <c r="N44" s="27"/>
    </row>
    <row r="45" spans="1:14" ht="15.75" customHeight="1">
      <c r="A45" s="38">
        <v>11</v>
      </c>
      <c r="B45" s="105" t="s">
        <v>138</v>
      </c>
      <c r="C45" s="106" t="s">
        <v>112</v>
      </c>
      <c r="D45" s="105" t="s">
        <v>43</v>
      </c>
      <c r="E45" s="107">
        <v>636.25</v>
      </c>
      <c r="F45" s="108">
        <f>SUM(E45*2/1000)</f>
        <v>1.2725</v>
      </c>
      <c r="G45" s="16">
        <v>762.53</v>
      </c>
      <c r="H45" s="109">
        <f t="shared" ref="H45:H54" si="5">SUM(F45*G45/1000)</f>
        <v>0.9703194249999999</v>
      </c>
      <c r="I45" s="16">
        <f t="shared" ref="I45:I48" si="6">F45/2*G45</f>
        <v>485.15971249999996</v>
      </c>
      <c r="J45" s="32"/>
      <c r="L45" s="25"/>
      <c r="M45" s="26"/>
      <c r="N45" s="27"/>
    </row>
    <row r="46" spans="1:14" ht="15.75" customHeight="1">
      <c r="A46" s="38">
        <v>12</v>
      </c>
      <c r="B46" s="105" t="s">
        <v>36</v>
      </c>
      <c r="C46" s="106" t="s">
        <v>112</v>
      </c>
      <c r="D46" s="105" t="s">
        <v>43</v>
      </c>
      <c r="E46" s="107">
        <v>26</v>
      </c>
      <c r="F46" s="108">
        <f>SUM(E46*2/1000)</f>
        <v>5.1999999999999998E-2</v>
      </c>
      <c r="G46" s="16">
        <v>545.65</v>
      </c>
      <c r="H46" s="109">
        <f t="shared" si="5"/>
        <v>2.8373799999999998E-2</v>
      </c>
      <c r="I46" s="16">
        <f t="shared" si="6"/>
        <v>14.1869</v>
      </c>
      <c r="J46" s="32"/>
      <c r="L46" s="25"/>
      <c r="M46" s="26"/>
      <c r="N46" s="27"/>
    </row>
    <row r="47" spans="1:14" ht="15.75" customHeight="1">
      <c r="A47" s="38">
        <v>13</v>
      </c>
      <c r="B47" s="105" t="s">
        <v>37</v>
      </c>
      <c r="C47" s="106" t="s">
        <v>112</v>
      </c>
      <c r="D47" s="105" t="s">
        <v>43</v>
      </c>
      <c r="E47" s="107">
        <v>579</v>
      </c>
      <c r="F47" s="108">
        <f>SUM(E47*2/1000)</f>
        <v>1.1579999999999999</v>
      </c>
      <c r="G47" s="16">
        <v>545.65</v>
      </c>
      <c r="H47" s="109">
        <f t="shared" si="5"/>
        <v>0.63186269999999989</v>
      </c>
      <c r="I47" s="16">
        <f t="shared" si="6"/>
        <v>315.93134999999995</v>
      </c>
      <c r="J47" s="32"/>
      <c r="L47" s="25"/>
      <c r="M47" s="26"/>
      <c r="N47" s="27"/>
    </row>
    <row r="48" spans="1:14" ht="15.75" customHeight="1">
      <c r="A48" s="38">
        <v>14</v>
      </c>
      <c r="B48" s="105" t="s">
        <v>38</v>
      </c>
      <c r="C48" s="106" t="s">
        <v>112</v>
      </c>
      <c r="D48" s="105" t="s">
        <v>43</v>
      </c>
      <c r="E48" s="107">
        <v>683.33</v>
      </c>
      <c r="F48" s="108">
        <f>SUM(E48*2/1000)</f>
        <v>1.36666</v>
      </c>
      <c r="G48" s="16">
        <v>571.35</v>
      </c>
      <c r="H48" s="109">
        <f t="shared" si="5"/>
        <v>0.78084119099999993</v>
      </c>
      <c r="I48" s="16">
        <f t="shared" si="6"/>
        <v>390.42059549999999</v>
      </c>
      <c r="J48" s="32"/>
      <c r="L48" s="25"/>
      <c r="M48" s="26"/>
      <c r="N48" s="27"/>
    </row>
    <row r="49" spans="1:22" ht="15.75" customHeight="1">
      <c r="A49" s="38">
        <v>15</v>
      </c>
      <c r="B49" s="105" t="s">
        <v>34</v>
      </c>
      <c r="C49" s="106" t="s">
        <v>35</v>
      </c>
      <c r="D49" s="105" t="s">
        <v>43</v>
      </c>
      <c r="E49" s="107">
        <v>44.11</v>
      </c>
      <c r="F49" s="108">
        <f>SUM(E49*2/100)</f>
        <v>0.88219999999999998</v>
      </c>
      <c r="G49" s="16">
        <v>68.56</v>
      </c>
      <c r="H49" s="109">
        <f t="shared" si="5"/>
        <v>6.0483632000000002E-2</v>
      </c>
      <c r="I49" s="16">
        <f>F49/2*G49</f>
        <v>30.241816</v>
      </c>
      <c r="J49" s="32"/>
      <c r="L49" s="25"/>
      <c r="M49" s="26"/>
      <c r="N49" s="27"/>
    </row>
    <row r="50" spans="1:22" ht="15.75" customHeight="1">
      <c r="A50" s="38">
        <v>16</v>
      </c>
      <c r="B50" s="105" t="s">
        <v>59</v>
      </c>
      <c r="C50" s="106" t="s">
        <v>112</v>
      </c>
      <c r="D50" s="105" t="s">
        <v>167</v>
      </c>
      <c r="E50" s="107">
        <v>1140</v>
      </c>
      <c r="F50" s="108">
        <f>SUM(E50*5/1000)</f>
        <v>5.7</v>
      </c>
      <c r="G50" s="16">
        <v>1142.7</v>
      </c>
      <c r="H50" s="109">
        <f t="shared" si="5"/>
        <v>6.5133900000000002</v>
      </c>
      <c r="I50" s="16">
        <f>F50/5*G50</f>
        <v>1302.6780000000001</v>
      </c>
      <c r="J50" s="32"/>
      <c r="L50" s="25"/>
      <c r="M50" s="26"/>
      <c r="N50" s="27"/>
    </row>
    <row r="51" spans="1:22" ht="31.5" hidden="1" customHeight="1">
      <c r="A51" s="38"/>
      <c r="B51" s="105" t="s">
        <v>114</v>
      </c>
      <c r="C51" s="106" t="s">
        <v>112</v>
      </c>
      <c r="D51" s="105" t="s">
        <v>43</v>
      </c>
      <c r="E51" s="107">
        <v>1140</v>
      </c>
      <c r="F51" s="108">
        <f>SUM(E51*2/1000)</f>
        <v>2.2799999999999998</v>
      </c>
      <c r="G51" s="16">
        <v>1142.7</v>
      </c>
      <c r="H51" s="109">
        <f t="shared" si="5"/>
        <v>2.6053559999999996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05" t="s">
        <v>115</v>
      </c>
      <c r="C52" s="106" t="s">
        <v>39</v>
      </c>
      <c r="D52" s="105" t="s">
        <v>43</v>
      </c>
      <c r="E52" s="107">
        <v>9</v>
      </c>
      <c r="F52" s="108">
        <f>SUM(E52*2/100)</f>
        <v>0.18</v>
      </c>
      <c r="G52" s="16">
        <v>2571.08</v>
      </c>
      <c r="H52" s="109">
        <f t="shared" si="5"/>
        <v>0.46279439999999999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05" t="s">
        <v>40</v>
      </c>
      <c r="C53" s="106" t="s">
        <v>41</v>
      </c>
      <c r="D53" s="105" t="s">
        <v>43</v>
      </c>
      <c r="E53" s="107">
        <v>1</v>
      </c>
      <c r="F53" s="108">
        <v>0.02</v>
      </c>
      <c r="G53" s="16">
        <v>5322.15</v>
      </c>
      <c r="H53" s="109">
        <f t="shared" si="5"/>
        <v>0.106443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05" t="s">
        <v>42</v>
      </c>
      <c r="C54" s="106" t="s">
        <v>140</v>
      </c>
      <c r="D54" s="105" t="s">
        <v>76</v>
      </c>
      <c r="E54" s="107">
        <v>36</v>
      </c>
      <c r="F54" s="108">
        <f>SUM(E54)*3</f>
        <v>108</v>
      </c>
      <c r="G54" s="16">
        <v>61.84</v>
      </c>
      <c r="H54" s="109">
        <f t="shared" si="5"/>
        <v>6.6787200000000002</v>
      </c>
      <c r="I54" s="16">
        <f>E54*G54</f>
        <v>2226.2400000000002</v>
      </c>
      <c r="J54" s="32"/>
      <c r="L54" s="25"/>
      <c r="M54" s="26"/>
      <c r="N54" s="27"/>
    </row>
    <row r="55" spans="1:22" ht="15.75" customHeight="1">
      <c r="A55" s="131" t="s">
        <v>168</v>
      </c>
      <c r="B55" s="132"/>
      <c r="C55" s="132"/>
      <c r="D55" s="132"/>
      <c r="E55" s="132"/>
      <c r="F55" s="132"/>
      <c r="G55" s="132"/>
      <c r="H55" s="132"/>
      <c r="I55" s="133"/>
      <c r="J55" s="32"/>
      <c r="L55" s="25"/>
      <c r="M55" s="26"/>
      <c r="N55" s="27"/>
    </row>
    <row r="56" spans="1:22" ht="15.75" hidden="1" customHeight="1">
      <c r="A56" s="38"/>
      <c r="B56" s="126" t="s">
        <v>44</v>
      </c>
      <c r="C56" s="106"/>
      <c r="D56" s="105"/>
      <c r="E56" s="107"/>
      <c r="F56" s="108"/>
      <c r="G56" s="108"/>
      <c r="H56" s="109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05" t="s">
        <v>141</v>
      </c>
      <c r="C57" s="106" t="s">
        <v>104</v>
      </c>
      <c r="D57" s="105" t="s">
        <v>142</v>
      </c>
      <c r="E57" s="107">
        <v>72.33</v>
      </c>
      <c r="F57" s="108">
        <f>SUM(E57*6/100)</f>
        <v>4.3398000000000003</v>
      </c>
      <c r="G57" s="16">
        <v>1456.95</v>
      </c>
      <c r="H57" s="109">
        <f>SUM(F57*G57/1000)</f>
        <v>6.3228716100000009</v>
      </c>
      <c r="I57" s="16">
        <f>F57/6*G57</f>
        <v>1053.8119350000002</v>
      </c>
      <c r="J57" s="32"/>
      <c r="L57" s="25"/>
      <c r="M57" s="26"/>
      <c r="N57" s="27"/>
    </row>
    <row r="58" spans="1:22" ht="15.75" hidden="1" customHeight="1">
      <c r="A58" s="38"/>
      <c r="B58" s="126" t="s">
        <v>45</v>
      </c>
      <c r="C58" s="106"/>
      <c r="D58" s="105"/>
      <c r="E58" s="107"/>
      <c r="F58" s="108"/>
      <c r="G58" s="101"/>
      <c r="H58" s="109"/>
      <c r="I58" s="16"/>
      <c r="J58" s="32"/>
      <c r="L58" s="25"/>
      <c r="M58" s="26"/>
      <c r="N58" s="27"/>
    </row>
    <row r="59" spans="1:22" ht="15.75" hidden="1" customHeight="1">
      <c r="A59" s="38"/>
      <c r="B59" s="105" t="s">
        <v>143</v>
      </c>
      <c r="C59" s="106"/>
      <c r="D59" s="105" t="s">
        <v>55</v>
      </c>
      <c r="E59" s="107">
        <v>952</v>
      </c>
      <c r="F59" s="109">
        <v>9.52</v>
      </c>
      <c r="G59" s="16">
        <v>848.37</v>
      </c>
      <c r="H59" s="114">
        <f>F59*G59/1000</f>
        <v>8.0764823999999997</v>
      </c>
      <c r="I59" s="16">
        <v>0</v>
      </c>
      <c r="J59" s="32"/>
      <c r="L59" s="25"/>
    </row>
    <row r="60" spans="1:22" ht="15.75" customHeight="1">
      <c r="A60" s="38"/>
      <c r="B60" s="127" t="s">
        <v>46</v>
      </c>
      <c r="C60" s="115"/>
      <c r="D60" s="116"/>
      <c r="E60" s="117"/>
      <c r="F60" s="118"/>
      <c r="G60" s="118"/>
      <c r="H60" s="119" t="s">
        <v>174</v>
      </c>
      <c r="I60" s="16"/>
    </row>
    <row r="61" spans="1:22" ht="15.75" hidden="1" customHeight="1">
      <c r="A61" s="38">
        <v>17</v>
      </c>
      <c r="B61" s="18" t="s">
        <v>47</v>
      </c>
      <c r="C61" s="20" t="s">
        <v>140</v>
      </c>
      <c r="D61" s="18" t="s">
        <v>72</v>
      </c>
      <c r="E61" s="23">
        <v>5</v>
      </c>
      <c r="F61" s="108">
        <v>5</v>
      </c>
      <c r="G61" s="16">
        <v>237.74</v>
      </c>
      <c r="H61" s="120">
        <f t="shared" ref="H61:H75" si="7">SUM(F61*G61/1000)</f>
        <v>1.1887000000000001</v>
      </c>
      <c r="I61" s="16">
        <f>G61</f>
        <v>237.74</v>
      </c>
    </row>
    <row r="62" spans="1:22" ht="15.75" hidden="1" customHeight="1">
      <c r="A62" s="38"/>
      <c r="B62" s="18" t="s">
        <v>48</v>
      </c>
      <c r="C62" s="20" t="s">
        <v>140</v>
      </c>
      <c r="D62" s="18" t="s">
        <v>72</v>
      </c>
      <c r="E62" s="23">
        <v>2</v>
      </c>
      <c r="F62" s="108">
        <v>2</v>
      </c>
      <c r="G62" s="16">
        <v>81.510000000000005</v>
      </c>
      <c r="H62" s="120">
        <f t="shared" si="7"/>
        <v>0.16302</v>
      </c>
      <c r="I62" s="16">
        <v>0</v>
      </c>
    </row>
    <row r="63" spans="1:22" ht="15.75" hidden="1" customHeight="1">
      <c r="A63" s="38"/>
      <c r="B63" s="18" t="s">
        <v>49</v>
      </c>
      <c r="C63" s="20" t="s">
        <v>144</v>
      </c>
      <c r="D63" s="18" t="s">
        <v>55</v>
      </c>
      <c r="E63" s="107">
        <v>4292</v>
      </c>
      <c r="F63" s="16">
        <f>SUM(E63/100)</f>
        <v>42.92</v>
      </c>
      <c r="G63" s="16">
        <v>226.79</v>
      </c>
      <c r="H63" s="120">
        <f t="shared" si="7"/>
        <v>9.733826800000001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8" t="s">
        <v>50</v>
      </c>
      <c r="C64" s="20" t="s">
        <v>145</v>
      </c>
      <c r="D64" s="18"/>
      <c r="E64" s="107">
        <v>4292</v>
      </c>
      <c r="F64" s="16">
        <f>SUM(E64/1000)</f>
        <v>4.2919999999999998</v>
      </c>
      <c r="G64" s="16">
        <v>176.61</v>
      </c>
      <c r="H64" s="120">
        <f t="shared" si="7"/>
        <v>0.75801012000000001</v>
      </c>
      <c r="I64" s="16">
        <v>0</v>
      </c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51</v>
      </c>
      <c r="C65" s="20" t="s">
        <v>83</v>
      </c>
      <c r="D65" s="18" t="s">
        <v>55</v>
      </c>
      <c r="E65" s="107">
        <v>510</v>
      </c>
      <c r="F65" s="16">
        <f>SUM(E65/100)</f>
        <v>5.0999999999999996</v>
      </c>
      <c r="G65" s="16">
        <v>2217.7800000000002</v>
      </c>
      <c r="H65" s="120">
        <f t="shared" si="7"/>
        <v>11.310677999999999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21" t="s">
        <v>146</v>
      </c>
      <c r="C66" s="20" t="s">
        <v>33</v>
      </c>
      <c r="D66" s="18"/>
      <c r="E66" s="107">
        <v>4.5999999999999996</v>
      </c>
      <c r="F66" s="16">
        <f>SUM(E66)</f>
        <v>4.5999999999999996</v>
      </c>
      <c r="G66" s="16">
        <v>42.67</v>
      </c>
      <c r="H66" s="120">
        <f t="shared" si="7"/>
        <v>0.19628199999999998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4"/>
      <c r="S66" s="134"/>
      <c r="T66" s="134"/>
      <c r="U66" s="134"/>
    </row>
    <row r="67" spans="1:21" ht="15.75" hidden="1" customHeight="1">
      <c r="A67" s="38"/>
      <c r="B67" s="121" t="s">
        <v>147</v>
      </c>
      <c r="C67" s="20" t="s">
        <v>33</v>
      </c>
      <c r="D67" s="18"/>
      <c r="E67" s="107">
        <v>4.5999999999999996</v>
      </c>
      <c r="F67" s="16">
        <f>SUM(E67)</f>
        <v>4.5999999999999996</v>
      </c>
      <c r="G67" s="16">
        <v>39.81</v>
      </c>
      <c r="H67" s="120">
        <f t="shared" si="7"/>
        <v>0.18312600000000001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8">
        <v>17</v>
      </c>
      <c r="B68" s="18" t="s">
        <v>60</v>
      </c>
      <c r="C68" s="20" t="s">
        <v>61</v>
      </c>
      <c r="D68" s="18" t="s">
        <v>55</v>
      </c>
      <c r="E68" s="23">
        <v>3</v>
      </c>
      <c r="F68" s="108">
        <v>3</v>
      </c>
      <c r="G68" s="16">
        <v>53.32</v>
      </c>
      <c r="H68" s="120">
        <f t="shared" si="7"/>
        <v>0.15996000000000002</v>
      </c>
      <c r="I68" s="16">
        <f>G68*3</f>
        <v>159.96</v>
      </c>
    </row>
    <row r="69" spans="1:21" ht="15.75" hidden="1" customHeight="1">
      <c r="A69" s="38"/>
      <c r="B69" s="92" t="s">
        <v>77</v>
      </c>
      <c r="C69" s="20"/>
      <c r="D69" s="18"/>
      <c r="E69" s="23"/>
      <c r="F69" s="16"/>
      <c r="G69" s="16"/>
      <c r="H69" s="120" t="s">
        <v>174</v>
      </c>
      <c r="I69" s="16"/>
    </row>
    <row r="70" spans="1:21" ht="15.75" hidden="1" customHeight="1">
      <c r="A70" s="38"/>
      <c r="B70" s="18" t="s">
        <v>78</v>
      </c>
      <c r="C70" s="20" t="s">
        <v>80</v>
      </c>
      <c r="D70" s="18"/>
      <c r="E70" s="23">
        <v>2</v>
      </c>
      <c r="F70" s="16">
        <v>0.2</v>
      </c>
      <c r="G70" s="16">
        <v>536.23</v>
      </c>
      <c r="H70" s="120">
        <f t="shared" si="7"/>
        <v>0.10724600000000001</v>
      </c>
      <c r="I70" s="16">
        <v>0</v>
      </c>
    </row>
    <row r="71" spans="1:21" ht="15.75" hidden="1" customHeight="1">
      <c r="A71" s="38"/>
      <c r="B71" s="18" t="s">
        <v>79</v>
      </c>
      <c r="C71" s="20" t="s">
        <v>31</v>
      </c>
      <c r="D71" s="18"/>
      <c r="E71" s="23">
        <v>1</v>
      </c>
      <c r="F71" s="101">
        <v>1</v>
      </c>
      <c r="G71" s="16">
        <v>911.85</v>
      </c>
      <c r="H71" s="120">
        <f t="shared" si="7"/>
        <v>0.91185000000000005</v>
      </c>
      <c r="I71" s="16">
        <v>0</v>
      </c>
    </row>
    <row r="72" spans="1:21" ht="15.75" hidden="1" customHeight="1">
      <c r="A72" s="38"/>
      <c r="B72" s="18" t="s">
        <v>175</v>
      </c>
      <c r="C72" s="20" t="s">
        <v>176</v>
      </c>
      <c r="D72" s="18"/>
      <c r="E72" s="23"/>
      <c r="F72" s="16"/>
      <c r="G72" s="16">
        <v>31.54</v>
      </c>
      <c r="H72" s="120">
        <f t="shared" si="7"/>
        <v>0</v>
      </c>
      <c r="I72" s="16"/>
    </row>
    <row r="73" spans="1:21" ht="15.75" hidden="1" customHeight="1">
      <c r="A73" s="38"/>
      <c r="B73" s="18" t="s">
        <v>149</v>
      </c>
      <c r="C73" s="20" t="s">
        <v>31</v>
      </c>
      <c r="D73" s="18"/>
      <c r="E73" s="23">
        <v>1</v>
      </c>
      <c r="F73" s="16">
        <v>1</v>
      </c>
      <c r="G73" s="16">
        <v>383.25</v>
      </c>
      <c r="H73" s="120">
        <f>G73*F73/1000</f>
        <v>0.38324999999999998</v>
      </c>
      <c r="I73" s="16">
        <v>0</v>
      </c>
    </row>
    <row r="74" spans="1:21" ht="15.75" hidden="1" customHeight="1">
      <c r="A74" s="38"/>
      <c r="B74" s="123" t="s">
        <v>81</v>
      </c>
      <c r="C74" s="20"/>
      <c r="D74" s="18"/>
      <c r="E74" s="23"/>
      <c r="F74" s="16"/>
      <c r="G74" s="16" t="s">
        <v>174</v>
      </c>
      <c r="H74" s="120" t="s">
        <v>174</v>
      </c>
      <c r="I74" s="16"/>
    </row>
    <row r="75" spans="1:21" ht="15.75" hidden="1" customHeight="1">
      <c r="A75" s="38"/>
      <c r="B75" s="68" t="s">
        <v>186</v>
      </c>
      <c r="C75" s="20" t="s">
        <v>83</v>
      </c>
      <c r="D75" s="18"/>
      <c r="E75" s="23"/>
      <c r="F75" s="16">
        <v>0.1</v>
      </c>
      <c r="G75" s="16">
        <v>2949.85</v>
      </c>
      <c r="H75" s="120">
        <f t="shared" si="7"/>
        <v>0.294985</v>
      </c>
      <c r="I75" s="16">
        <v>0</v>
      </c>
    </row>
    <row r="76" spans="1:21" ht="15.75" customHeight="1">
      <c r="A76" s="38"/>
      <c r="B76" s="130" t="s">
        <v>116</v>
      </c>
      <c r="C76" s="130"/>
      <c r="D76" s="130"/>
      <c r="E76" s="130"/>
      <c r="F76" s="130"/>
      <c r="G76" s="111"/>
      <c r="H76" s="124">
        <f>SUM(H57:H75)</f>
        <v>39.790287929999998</v>
      </c>
      <c r="I76" s="111"/>
    </row>
    <row r="77" spans="1:21" ht="15.75" customHeight="1">
      <c r="A77" s="38">
        <v>18</v>
      </c>
      <c r="B77" s="128" t="s">
        <v>148</v>
      </c>
      <c r="C77" s="29"/>
      <c r="D77" s="28"/>
      <c r="E77" s="125"/>
      <c r="F77" s="129">
        <v>1</v>
      </c>
      <c r="G77" s="16">
        <v>3124.9</v>
      </c>
      <c r="H77" s="120">
        <f>G77*F77/1000</f>
        <v>3.1249000000000002</v>
      </c>
      <c r="I77" s="16">
        <f>G77</f>
        <v>3124.9</v>
      </c>
    </row>
    <row r="78" spans="1:21" ht="15.75" customHeight="1">
      <c r="A78" s="131" t="s">
        <v>169</v>
      </c>
      <c r="B78" s="132"/>
      <c r="C78" s="132"/>
      <c r="D78" s="132"/>
      <c r="E78" s="132"/>
      <c r="F78" s="132"/>
      <c r="G78" s="132"/>
      <c r="H78" s="132"/>
      <c r="I78" s="133"/>
    </row>
    <row r="79" spans="1:21" ht="15.75" customHeight="1">
      <c r="A79" s="38">
        <v>19</v>
      </c>
      <c r="B79" s="105" t="s">
        <v>150</v>
      </c>
      <c r="C79" s="20" t="s">
        <v>56</v>
      </c>
      <c r="D79" s="86" t="s">
        <v>57</v>
      </c>
      <c r="E79" s="16">
        <v>1042.5999999999999</v>
      </c>
      <c r="F79" s="16">
        <f>SUM(E79*12)</f>
        <v>12511.199999999999</v>
      </c>
      <c r="G79" s="16">
        <v>2.2400000000000002</v>
      </c>
      <c r="H79" s="120">
        <f>SUM(F79*G79/1000)</f>
        <v>28.025088</v>
      </c>
      <c r="I79" s="16">
        <f>F79/12*G79</f>
        <v>2335.424</v>
      </c>
    </row>
    <row r="80" spans="1:21" ht="31.5" customHeight="1">
      <c r="A80" s="38">
        <v>20</v>
      </c>
      <c r="B80" s="18" t="s">
        <v>84</v>
      </c>
      <c r="C80" s="20"/>
      <c r="D80" s="86" t="s">
        <v>57</v>
      </c>
      <c r="E80" s="107">
        <f>E79</f>
        <v>1042.5999999999999</v>
      </c>
      <c r="F80" s="16">
        <f>E80*12</f>
        <v>12511.199999999999</v>
      </c>
      <c r="G80" s="16">
        <v>1.74</v>
      </c>
      <c r="H80" s="120">
        <f>F80*G80/1000</f>
        <v>21.769487999999999</v>
      </c>
      <c r="I80" s="16">
        <f>F80/12*G80</f>
        <v>1814.1239999999998</v>
      </c>
    </row>
    <row r="81" spans="1:9" ht="15.75" customHeight="1">
      <c r="A81" s="38"/>
      <c r="B81" s="55" t="s">
        <v>88</v>
      </c>
      <c r="C81" s="123"/>
      <c r="D81" s="122"/>
      <c r="E81" s="111"/>
      <c r="F81" s="111"/>
      <c r="G81" s="111"/>
      <c r="H81" s="124">
        <f>H80</f>
        <v>21.769487999999999</v>
      </c>
      <c r="I81" s="111">
        <f>I16+I17+I18+I20+I21+I27+I28+I31+I32+I34+I45+I46+I47+I48+I49+I50+I68+I77+I79+I80</f>
        <v>21132.110267644443</v>
      </c>
    </row>
    <row r="82" spans="1:9" ht="15.75" customHeight="1">
      <c r="A82" s="38"/>
      <c r="B82" s="81" t="s">
        <v>63</v>
      </c>
      <c r="C82" s="20"/>
      <c r="D82" s="68"/>
      <c r="E82" s="16"/>
      <c r="F82" s="16"/>
      <c r="G82" s="16"/>
      <c r="H82" s="16"/>
      <c r="I82" s="16"/>
    </row>
    <row r="83" spans="1:9" ht="31.5" hidden="1" customHeight="1">
      <c r="A83" s="38"/>
      <c r="B83" s="82" t="s">
        <v>177</v>
      </c>
      <c r="C83" s="83" t="s">
        <v>178</v>
      </c>
      <c r="D83" s="68"/>
      <c r="E83" s="16"/>
      <c r="F83" s="16">
        <v>1</v>
      </c>
      <c r="G83" s="16">
        <v>51.39</v>
      </c>
      <c r="H83" s="120">
        <f t="shared" ref="H83:H90" si="8">G83*F83/1000</f>
        <v>5.1389999999999998E-2</v>
      </c>
      <c r="I83" s="16">
        <v>0</v>
      </c>
    </row>
    <row r="84" spans="1:9" ht="15.75" hidden="1" customHeight="1">
      <c r="A84" s="38"/>
      <c r="B84" s="82" t="s">
        <v>179</v>
      </c>
      <c r="C84" s="83" t="s">
        <v>180</v>
      </c>
      <c r="D84" s="68"/>
      <c r="E84" s="16"/>
      <c r="F84" s="16">
        <v>5</v>
      </c>
      <c r="G84" s="16">
        <v>1501</v>
      </c>
      <c r="H84" s="120">
        <f t="shared" si="8"/>
        <v>7.5049999999999999</v>
      </c>
      <c r="I84" s="16">
        <v>0</v>
      </c>
    </row>
    <row r="85" spans="1:9" ht="15.75" hidden="1" customHeight="1">
      <c r="A85" s="38"/>
      <c r="B85" s="82" t="s">
        <v>181</v>
      </c>
      <c r="C85" s="83" t="s">
        <v>182</v>
      </c>
      <c r="D85" s="68"/>
      <c r="E85" s="16"/>
      <c r="F85" s="16">
        <v>1</v>
      </c>
      <c r="G85" s="16">
        <v>1646</v>
      </c>
      <c r="H85" s="120">
        <f t="shared" si="8"/>
        <v>1.6459999999999999</v>
      </c>
      <c r="I85" s="16">
        <v>0</v>
      </c>
    </row>
    <row r="86" spans="1:9" ht="15.75" hidden="1" customHeight="1">
      <c r="A86" s="38"/>
      <c r="B86" s="82" t="s">
        <v>183</v>
      </c>
      <c r="C86" s="83" t="s">
        <v>117</v>
      </c>
      <c r="D86" s="68"/>
      <c r="E86" s="16"/>
      <c r="F86" s="16">
        <v>1</v>
      </c>
      <c r="G86" s="16">
        <v>182.63</v>
      </c>
      <c r="H86" s="120">
        <f t="shared" si="8"/>
        <v>0.18262999999999999</v>
      </c>
      <c r="I86" s="16">
        <v>0</v>
      </c>
    </row>
    <row r="87" spans="1:9" ht="15.75" hidden="1" customHeight="1">
      <c r="A87" s="38"/>
      <c r="B87" s="82" t="s">
        <v>151</v>
      </c>
      <c r="C87" s="83" t="s">
        <v>97</v>
      </c>
      <c r="D87" s="68"/>
      <c r="E87" s="16"/>
      <c r="F87" s="16">
        <v>2</v>
      </c>
      <c r="G87" s="16">
        <v>185.81</v>
      </c>
      <c r="H87" s="120">
        <f t="shared" si="8"/>
        <v>0.37162000000000001</v>
      </c>
      <c r="I87" s="16">
        <v>0</v>
      </c>
    </row>
    <row r="88" spans="1:9" ht="31.5" customHeight="1">
      <c r="A88" s="38">
        <v>21</v>
      </c>
      <c r="B88" s="82" t="s">
        <v>95</v>
      </c>
      <c r="C88" s="83" t="s">
        <v>39</v>
      </c>
      <c r="D88" s="68"/>
      <c r="E88" s="16"/>
      <c r="F88" s="16">
        <v>0.01</v>
      </c>
      <c r="G88" s="16">
        <v>3397.65</v>
      </c>
      <c r="H88" s="120">
        <f t="shared" si="8"/>
        <v>3.39765E-2</v>
      </c>
      <c r="I88" s="16">
        <f>G88*0.01</f>
        <v>33.976500000000001</v>
      </c>
    </row>
    <row r="89" spans="1:9" ht="31.5" hidden="1" customHeight="1">
      <c r="A89" s="38"/>
      <c r="B89" s="82" t="s">
        <v>87</v>
      </c>
      <c r="C89" s="83" t="s">
        <v>140</v>
      </c>
      <c r="D89" s="68"/>
      <c r="E89" s="16"/>
      <c r="F89" s="16">
        <v>1</v>
      </c>
      <c r="G89" s="16">
        <v>79.09</v>
      </c>
      <c r="H89" s="120">
        <f t="shared" si="8"/>
        <v>7.9090000000000008E-2</v>
      </c>
      <c r="I89" s="16">
        <v>0</v>
      </c>
    </row>
    <row r="90" spans="1:9" ht="15.75" hidden="1" customHeight="1">
      <c r="A90" s="38"/>
      <c r="B90" s="82" t="s">
        <v>184</v>
      </c>
      <c r="C90" s="83" t="s">
        <v>185</v>
      </c>
      <c r="D90" s="68"/>
      <c r="E90" s="16"/>
      <c r="F90" s="16">
        <v>1</v>
      </c>
      <c r="G90" s="16">
        <v>1072.21</v>
      </c>
      <c r="H90" s="120">
        <f t="shared" si="8"/>
        <v>1.0722100000000001</v>
      </c>
      <c r="I90" s="16">
        <v>0</v>
      </c>
    </row>
    <row r="91" spans="1:9">
      <c r="A91" s="38"/>
      <c r="B91" s="62" t="s">
        <v>52</v>
      </c>
      <c r="C91" s="58"/>
      <c r="D91" s="71"/>
      <c r="E91" s="58">
        <v>1</v>
      </c>
      <c r="F91" s="58"/>
      <c r="G91" s="58"/>
      <c r="H91" s="58"/>
      <c r="I91" s="40">
        <f>SUM(I83:I90)</f>
        <v>33.976500000000001</v>
      </c>
    </row>
    <row r="92" spans="1:9" ht="16.5" customHeight="1">
      <c r="A92" s="38"/>
      <c r="B92" s="68" t="s">
        <v>85</v>
      </c>
      <c r="C92" s="19"/>
      <c r="D92" s="19"/>
      <c r="E92" s="59"/>
      <c r="F92" s="59"/>
      <c r="G92" s="60"/>
      <c r="H92" s="60"/>
      <c r="I92" s="22">
        <v>0</v>
      </c>
    </row>
    <row r="93" spans="1:9" ht="16.5" customHeight="1">
      <c r="A93" s="72"/>
      <c r="B93" s="63" t="s">
        <v>53</v>
      </c>
      <c r="C93" s="46"/>
      <c r="D93" s="46"/>
      <c r="E93" s="46"/>
      <c r="F93" s="46"/>
      <c r="G93" s="46"/>
      <c r="H93" s="46"/>
      <c r="I93" s="61">
        <f>I81+I91</f>
        <v>21166.086767644443</v>
      </c>
    </row>
    <row r="94" spans="1:9" ht="15.75" customHeight="1">
      <c r="A94" s="143" t="s">
        <v>214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 customHeight="1">
      <c r="A95" s="98"/>
      <c r="B95" s="144" t="s">
        <v>215</v>
      </c>
      <c r="C95" s="144"/>
      <c r="D95" s="144"/>
      <c r="E95" s="144"/>
      <c r="F95" s="144"/>
      <c r="G95" s="144"/>
      <c r="H95" s="104"/>
      <c r="I95" s="3"/>
    </row>
    <row r="96" spans="1:9">
      <c r="A96" s="97"/>
      <c r="B96" s="141" t="s">
        <v>6</v>
      </c>
      <c r="C96" s="141"/>
      <c r="D96" s="141"/>
      <c r="E96" s="141"/>
      <c r="F96" s="141"/>
      <c r="G96" s="141"/>
      <c r="H96" s="33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7" t="s">
        <v>7</v>
      </c>
      <c r="B98" s="137"/>
      <c r="C98" s="137"/>
      <c r="D98" s="137"/>
      <c r="E98" s="137"/>
      <c r="F98" s="137"/>
      <c r="G98" s="137"/>
      <c r="H98" s="137"/>
      <c r="I98" s="137"/>
    </row>
    <row r="99" spans="1:9" ht="15.75">
      <c r="A99" s="137" t="s">
        <v>8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>
      <c r="A100" s="138" t="s">
        <v>64</v>
      </c>
      <c r="B100" s="138"/>
      <c r="C100" s="138"/>
      <c r="D100" s="138"/>
      <c r="E100" s="138"/>
      <c r="F100" s="138"/>
      <c r="G100" s="138"/>
      <c r="H100" s="138"/>
      <c r="I100" s="138"/>
    </row>
    <row r="101" spans="1:9" ht="7.5" customHeight="1">
      <c r="A101" s="11"/>
    </row>
    <row r="102" spans="1:9" ht="15.75">
      <c r="A102" s="139" t="s">
        <v>9</v>
      </c>
      <c r="B102" s="139"/>
      <c r="C102" s="139"/>
      <c r="D102" s="139"/>
      <c r="E102" s="139"/>
      <c r="F102" s="139"/>
      <c r="G102" s="139"/>
      <c r="H102" s="139"/>
      <c r="I102" s="139"/>
    </row>
    <row r="103" spans="1:9" ht="15.75">
      <c r="A103" s="4"/>
    </row>
    <row r="104" spans="1:9" ht="15.75">
      <c r="B104" s="94" t="s">
        <v>10</v>
      </c>
      <c r="C104" s="140" t="s">
        <v>165</v>
      </c>
      <c r="D104" s="140"/>
      <c r="E104" s="140"/>
      <c r="F104" s="102"/>
      <c r="I104" s="96"/>
    </row>
    <row r="105" spans="1:9">
      <c r="A105" s="97"/>
      <c r="C105" s="141" t="s">
        <v>11</v>
      </c>
      <c r="D105" s="141"/>
      <c r="E105" s="141"/>
      <c r="F105" s="33"/>
      <c r="I105" s="95" t="s">
        <v>12</v>
      </c>
    </row>
    <row r="106" spans="1:9" ht="15.75">
      <c r="A106" s="34"/>
      <c r="C106" s="12"/>
      <c r="D106" s="12"/>
      <c r="G106" s="12"/>
      <c r="H106" s="12"/>
    </row>
    <row r="107" spans="1:9" ht="15.75">
      <c r="B107" s="94" t="s">
        <v>13</v>
      </c>
      <c r="C107" s="142"/>
      <c r="D107" s="142"/>
      <c r="E107" s="142"/>
      <c r="F107" s="103"/>
      <c r="I107" s="96"/>
    </row>
    <row r="108" spans="1:9">
      <c r="A108" s="97"/>
      <c r="C108" s="134" t="s">
        <v>11</v>
      </c>
      <c r="D108" s="134"/>
      <c r="E108" s="134"/>
      <c r="F108" s="97"/>
      <c r="I108" s="95" t="s">
        <v>12</v>
      </c>
    </row>
    <row r="109" spans="1:9" ht="15.75">
      <c r="A109" s="4" t="s">
        <v>14</v>
      </c>
    </row>
    <row r="110" spans="1:9">
      <c r="A110" s="135" t="s">
        <v>15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ht="45" customHeight="1">
      <c r="A111" s="136" t="s">
        <v>16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30" customHeight="1">
      <c r="A112" s="136" t="s">
        <v>17</v>
      </c>
      <c r="B112" s="136"/>
      <c r="C112" s="136"/>
      <c r="D112" s="136"/>
      <c r="E112" s="136"/>
      <c r="F112" s="136"/>
      <c r="G112" s="136"/>
      <c r="H112" s="136"/>
      <c r="I112" s="136"/>
    </row>
    <row r="113" spans="1:9" ht="30" customHeight="1">
      <c r="A113" s="136" t="s">
        <v>21</v>
      </c>
      <c r="B113" s="136"/>
      <c r="C113" s="136"/>
      <c r="D113" s="136"/>
      <c r="E113" s="136"/>
      <c r="F113" s="136"/>
      <c r="G113" s="136"/>
      <c r="H113" s="136"/>
      <c r="I113" s="136"/>
    </row>
    <row r="114" spans="1:9" ht="14.25" customHeight="1">
      <c r="A114" s="136" t="s">
        <v>20</v>
      </c>
      <c r="B114" s="136"/>
      <c r="C114" s="136"/>
      <c r="D114" s="136"/>
      <c r="E114" s="136"/>
      <c r="F114" s="136"/>
      <c r="G114" s="136"/>
      <c r="H114" s="136"/>
      <c r="I114" s="136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100:I100"/>
    <mergeCell ref="A15:I15"/>
    <mergeCell ref="A29:I29"/>
    <mergeCell ref="A44:I44"/>
    <mergeCell ref="A55:I55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7.874015748031496E-2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2017-04-18T08:21:15Z</cp:lastPrinted>
  <dcterms:created xsi:type="dcterms:W3CDTF">2016-03-25T08:33:47Z</dcterms:created>
  <dcterms:modified xsi:type="dcterms:W3CDTF">2017-04-18T08:30:26Z</dcterms:modified>
</cp:coreProperties>
</file>