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480" yWindow="225" windowWidth="16695" windowHeight="7845"/>
  </bookViews>
  <sheets>
    <sheet name="Окт.,49" sheetId="1" r:id="rId1"/>
  </sheets>
  <definedNames>
    <definedName name="_xlnm.Print_Area" localSheetId="0">'Окт.,49'!$A$1:$W$107</definedName>
  </definedNames>
  <calcPr calcId="124519"/>
</workbook>
</file>

<file path=xl/calcChain.xml><?xml version="1.0" encoding="utf-8"?>
<calcChain xmlns="http://schemas.openxmlformats.org/spreadsheetml/2006/main">
  <c r="C104" i="1"/>
  <c r="C107" s="1"/>
  <c r="U92"/>
  <c r="T92"/>
  <c r="H92"/>
  <c r="T60"/>
  <c r="Q60"/>
  <c r="S60"/>
  <c r="U90"/>
  <c r="S90"/>
  <c r="H90"/>
  <c r="F90"/>
  <c r="U93"/>
  <c r="T74"/>
  <c r="S74"/>
  <c r="R74"/>
  <c r="Q74"/>
  <c r="T88"/>
  <c r="S88"/>
  <c r="R88"/>
  <c r="Q88"/>
  <c r="C105"/>
  <c r="C102"/>
  <c r="T94"/>
  <c r="T93"/>
  <c r="M93"/>
  <c r="H93"/>
  <c r="U94"/>
  <c r="U55"/>
  <c r="U57"/>
  <c r="U61"/>
  <c r="U62"/>
  <c r="U63"/>
  <c r="U64"/>
  <c r="U65"/>
  <c r="U66"/>
  <c r="U70"/>
  <c r="U71"/>
  <c r="U72"/>
  <c r="U73"/>
  <c r="U74"/>
  <c r="U76"/>
  <c r="S50"/>
  <c r="U50" l="1"/>
  <c r="U51"/>
  <c r="T39"/>
  <c r="U26" l="1"/>
  <c r="U29"/>
  <c r="U30"/>
  <c r="U14"/>
  <c r="U17"/>
  <c r="U18"/>
  <c r="U19"/>
  <c r="U20"/>
  <c r="U21"/>
  <c r="S91" l="1"/>
  <c r="U91" s="1"/>
  <c r="R60" l="1"/>
  <c r="U60" s="1"/>
  <c r="R89"/>
  <c r="U89" s="1"/>
  <c r="H89"/>
  <c r="U88" l="1"/>
  <c r="U95" s="1"/>
  <c r="F74"/>
  <c r="H74" s="1"/>
  <c r="H71" l="1"/>
  <c r="F70"/>
  <c r="H70" s="1"/>
  <c r="F68"/>
  <c r="T68" l="1"/>
  <c r="S68"/>
  <c r="H68"/>
  <c r="R68"/>
  <c r="Q68"/>
  <c r="U68" l="1"/>
  <c r="F61"/>
  <c r="F60"/>
  <c r="F58"/>
  <c r="H55"/>
  <c r="F43"/>
  <c r="H39"/>
  <c r="E27"/>
  <c r="O60"/>
  <c r="P60"/>
  <c r="P88"/>
  <c r="T58" l="1"/>
  <c r="S58"/>
  <c r="R58"/>
  <c r="H58"/>
  <c r="Q58"/>
  <c r="O88"/>
  <c r="N60"/>
  <c r="M60"/>
  <c r="N88"/>
  <c r="N72"/>
  <c r="U58" l="1"/>
  <c r="L50"/>
  <c r="M94"/>
  <c r="H94"/>
  <c r="M88"/>
  <c r="M72"/>
  <c r="I51" l="1"/>
  <c r="K88" l="1"/>
  <c r="L88"/>
  <c r="L60"/>
  <c r="J88" l="1"/>
  <c r="I88"/>
  <c r="R78"/>
  <c r="U78" s="1"/>
  <c r="S39" l="1"/>
  <c r="U39" s="1"/>
  <c r="T34"/>
  <c r="S34"/>
  <c r="Q67"/>
  <c r="U67" s="1"/>
  <c r="P51"/>
  <c r="L51"/>
  <c r="F27"/>
  <c r="H27" s="1"/>
  <c r="L39"/>
  <c r="L34"/>
  <c r="K39"/>
  <c r="K34"/>
  <c r="H78"/>
  <c r="H91"/>
  <c r="J39"/>
  <c r="J34"/>
  <c r="I34"/>
  <c r="I39"/>
  <c r="U34" l="1"/>
  <c r="Q27"/>
  <c r="M27"/>
  <c r="P27"/>
  <c r="R27"/>
  <c r="N27"/>
  <c r="O27"/>
  <c r="H88"/>
  <c r="H95" s="1"/>
  <c r="F57"/>
  <c r="M43"/>
  <c r="F37"/>
  <c r="H37" s="1"/>
  <c r="F35"/>
  <c r="H35" s="1"/>
  <c r="F16"/>
  <c r="Q16" s="1"/>
  <c r="U16" s="1"/>
  <c r="F15"/>
  <c r="Q15" s="1"/>
  <c r="U15" s="1"/>
  <c r="F20"/>
  <c r="H20" s="1"/>
  <c r="F46"/>
  <c r="M46" s="1"/>
  <c r="U27" l="1"/>
  <c r="M20"/>
  <c r="M16"/>
  <c r="M15"/>
  <c r="H46"/>
  <c r="Q46"/>
  <c r="U46" s="1"/>
  <c r="I37"/>
  <c r="S37"/>
  <c r="L37"/>
  <c r="K37"/>
  <c r="J37"/>
  <c r="T37"/>
  <c r="S35"/>
  <c r="T35"/>
  <c r="L35"/>
  <c r="K35"/>
  <c r="J35"/>
  <c r="Q43"/>
  <c r="U43" s="1"/>
  <c r="I35"/>
  <c r="U35" l="1"/>
  <c r="U37"/>
  <c r="H73"/>
  <c r="F14" l="1"/>
  <c r="M14" s="1"/>
  <c r="F17"/>
  <c r="F18"/>
  <c r="F19"/>
  <c r="M18" l="1"/>
  <c r="M19"/>
  <c r="M17"/>
  <c r="H57"/>
  <c r="F98" l="1"/>
  <c r="H97"/>
  <c r="E81"/>
  <c r="H84" s="1"/>
  <c r="F79"/>
  <c r="H76"/>
  <c r="H72"/>
  <c r="H67"/>
  <c r="F66"/>
  <c r="F65"/>
  <c r="F64"/>
  <c r="F63"/>
  <c r="F62"/>
  <c r="H61"/>
  <c r="H60"/>
  <c r="F54"/>
  <c r="H51"/>
  <c r="H50"/>
  <c r="F49"/>
  <c r="F48"/>
  <c r="F47"/>
  <c r="F45"/>
  <c r="M45" s="1"/>
  <c r="F44"/>
  <c r="M44" s="1"/>
  <c r="H43"/>
  <c r="F42"/>
  <c r="M42" s="1"/>
  <c r="F38"/>
  <c r="H38" s="1"/>
  <c r="F36"/>
  <c r="H36" s="1"/>
  <c r="H34"/>
  <c r="F31"/>
  <c r="H30"/>
  <c r="H29"/>
  <c r="F28"/>
  <c r="F26"/>
  <c r="H26" s="1"/>
  <c r="F25"/>
  <c r="H25" s="1"/>
  <c r="F24"/>
  <c r="H24" s="1"/>
  <c r="F21"/>
  <c r="M21" s="1"/>
  <c r="H18"/>
  <c r="H17"/>
  <c r="H14"/>
  <c r="E13"/>
  <c r="F13" s="1"/>
  <c r="F12"/>
  <c r="F11"/>
  <c r="M48" l="1"/>
  <c r="S48"/>
  <c r="U48" s="1"/>
  <c r="L49"/>
  <c r="S49"/>
  <c r="U49" s="1"/>
  <c r="I13"/>
  <c r="S13"/>
  <c r="R13"/>
  <c r="P13"/>
  <c r="N13"/>
  <c r="T13"/>
  <c r="Q13"/>
  <c r="O13"/>
  <c r="M13"/>
  <c r="L13"/>
  <c r="K13"/>
  <c r="J13"/>
  <c r="R25"/>
  <c r="P25"/>
  <c r="N25"/>
  <c r="Q25"/>
  <c r="O25"/>
  <c r="M25"/>
  <c r="I12"/>
  <c r="S12"/>
  <c r="Q12"/>
  <c r="O12"/>
  <c r="M12"/>
  <c r="L12"/>
  <c r="K12"/>
  <c r="J12"/>
  <c r="T12"/>
  <c r="R12"/>
  <c r="P12"/>
  <c r="N12"/>
  <c r="P24"/>
  <c r="O24"/>
  <c r="M24"/>
  <c r="R24"/>
  <c r="Q24"/>
  <c r="N24"/>
  <c r="M26"/>
  <c r="I28"/>
  <c r="S28"/>
  <c r="R28"/>
  <c r="P28"/>
  <c r="N28"/>
  <c r="L28"/>
  <c r="K28"/>
  <c r="J28"/>
  <c r="T28"/>
  <c r="Q28"/>
  <c r="O28"/>
  <c r="M28"/>
  <c r="H45"/>
  <c r="Q45"/>
  <c r="U45" s="1"/>
  <c r="H48"/>
  <c r="T54"/>
  <c r="L54"/>
  <c r="J54"/>
  <c r="S54"/>
  <c r="K54"/>
  <c r="H63"/>
  <c r="M63"/>
  <c r="H65"/>
  <c r="M65"/>
  <c r="I11"/>
  <c r="S11"/>
  <c r="R11"/>
  <c r="P11"/>
  <c r="N11"/>
  <c r="T11"/>
  <c r="Q11"/>
  <c r="O11"/>
  <c r="M11"/>
  <c r="L11"/>
  <c r="K11"/>
  <c r="J11"/>
  <c r="H21"/>
  <c r="S31"/>
  <c r="Q31"/>
  <c r="O31"/>
  <c r="M31"/>
  <c r="T31"/>
  <c r="R31"/>
  <c r="P31"/>
  <c r="N31"/>
  <c r="L31"/>
  <c r="K31"/>
  <c r="J31"/>
  <c r="S36"/>
  <c r="T36"/>
  <c r="L36"/>
  <c r="K36"/>
  <c r="J36"/>
  <c r="S38"/>
  <c r="T38"/>
  <c r="L38"/>
  <c r="K38"/>
  <c r="J38"/>
  <c r="H42"/>
  <c r="Q42"/>
  <c r="U42" s="1"/>
  <c r="H44"/>
  <c r="Q44"/>
  <c r="U44" s="1"/>
  <c r="I47"/>
  <c r="T47"/>
  <c r="Q47"/>
  <c r="M47"/>
  <c r="J47"/>
  <c r="H49"/>
  <c r="H62"/>
  <c r="M62"/>
  <c r="H64"/>
  <c r="M64"/>
  <c r="H66"/>
  <c r="M66"/>
  <c r="I79"/>
  <c r="T79"/>
  <c r="Q79"/>
  <c r="O79"/>
  <c r="M79"/>
  <c r="S79"/>
  <c r="R79"/>
  <c r="P79"/>
  <c r="N79"/>
  <c r="L79"/>
  <c r="K79"/>
  <c r="J79"/>
  <c r="H31"/>
  <c r="I31"/>
  <c r="H54"/>
  <c r="H77" s="1"/>
  <c r="I54"/>
  <c r="I36"/>
  <c r="I38"/>
  <c r="H79"/>
  <c r="H80" s="1"/>
  <c r="H28"/>
  <c r="H47"/>
  <c r="H11"/>
  <c r="H12"/>
  <c r="H16"/>
  <c r="H13"/>
  <c r="H15"/>
  <c r="F81"/>
  <c r="H19"/>
  <c r="H40"/>
  <c r="U28" l="1"/>
  <c r="U38"/>
  <c r="U79"/>
  <c r="U47"/>
  <c r="H52"/>
  <c r="U36"/>
  <c r="U31"/>
  <c r="U11"/>
  <c r="U54"/>
  <c r="U24"/>
  <c r="U25"/>
  <c r="U13"/>
  <c r="U12"/>
  <c r="U52"/>
  <c r="I81"/>
  <c r="T81"/>
  <c r="T98" s="1"/>
  <c r="R81"/>
  <c r="P81"/>
  <c r="N81"/>
  <c r="L81"/>
  <c r="L98" s="1"/>
  <c r="K81"/>
  <c r="J81"/>
  <c r="J98" s="1"/>
  <c r="S81"/>
  <c r="Q81"/>
  <c r="U81" s="1"/>
  <c r="O81"/>
  <c r="M81"/>
  <c r="M98" s="1"/>
  <c r="H32"/>
  <c r="U77"/>
  <c r="U80"/>
  <c r="K98"/>
  <c r="N98"/>
  <c r="R98"/>
  <c r="O98"/>
  <c r="P98"/>
  <c r="S98"/>
  <c r="U40"/>
  <c r="H81"/>
  <c r="H82" s="1"/>
  <c r="H22"/>
  <c r="Q98" l="1"/>
  <c r="U82"/>
  <c r="U32"/>
  <c r="U22"/>
  <c r="I98"/>
  <c r="H83"/>
  <c r="H85" s="1"/>
  <c r="G98" s="1"/>
  <c r="H98" s="1"/>
  <c r="U83" l="1"/>
  <c r="U98"/>
  <c r="C103" s="1"/>
</calcChain>
</file>

<file path=xl/sharedStrings.xml><?xml version="1.0" encoding="utf-8"?>
<sst xmlns="http://schemas.openxmlformats.org/spreadsheetml/2006/main" count="291" uniqueCount="216">
  <si>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</si>
  <si>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</si>
  <si>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</si>
  <si>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</si>
  <si>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</si>
  <si>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</si>
  <si>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</si>
  <si>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</si>
  <si>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</si>
  <si>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</si>
  <si>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</si>
  <si>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</si>
  <si>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</si>
  <si>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</si>
  <si>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</si>
  <si>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</si>
  <si>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</si>
  <si>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</si>
  <si>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</si>
  <si>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</si>
  <si>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</si>
  <si>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</si>
  <si>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</si>
  <si>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</si>
  <si>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</si>
  <si>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</si>
  <si>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</si>
  <si>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</si>
  <si>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</si>
  <si>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</si>
  <si>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</si>
  <si>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</si>
  <si>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</si>
  <si>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</si>
  <si>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</si>
  <si>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</si>
  <si>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</si>
  <si>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</si>
  <si>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</si>
  <si>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</si>
  <si>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</si>
  <si>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</si>
  <si>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</si>
  <si>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</si>
  <si>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</si>
  <si>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</si>
  <si>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</si>
  <si>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</si>
  <si>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</si>
  <si>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</si>
  <si>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</si>
  <si>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</si>
  <si>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</si>
  <si>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</si>
  <si>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</si>
  <si>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</si>
  <si>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</si>
  <si>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</si>
  <si>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</si>
  <si>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</si>
  <si>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</si>
  <si>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</si>
  <si>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</si>
  <si>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</si>
  <si>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</si>
  <si>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</si>
  <si>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</si>
  <si>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</si>
  <si>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</si>
  <si>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</si>
  <si>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</si>
  <si>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</si>
  <si>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</si>
  <si>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</si>
  <si>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</si>
  <si>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</si>
  <si>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</si>
  <si>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</si>
  <si>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</si>
  <si>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</si>
  <si>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</si>
  <si>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</si>
  <si>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</si>
  <si>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</si>
  <si>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</si>
  <si>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</si>
  <si>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</si>
  <si>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</si>
  <si>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</si>
  <si>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</si>
  <si>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</si>
  <si>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</si>
  <si>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</si>
  <si>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</si>
  <si>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</si>
  <si>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</si>
  <si>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</si>
  <si>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</si>
  <si>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</si>
  <si>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</si>
  <si>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</si>
  <si>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</si>
  <si>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</si>
  <si>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Осмотр деревянных конструкций стропил</t>
  </si>
  <si>
    <t>100 м3</t>
  </si>
  <si>
    <t>24 раз за сезон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</si>
  <si>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</si>
  <si>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</si>
  <si>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</si>
  <si>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</si>
  <si>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</si>
  <si>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</si>
  <si>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</si>
  <si>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</si>
  <si>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</si>
  <si>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</si>
  <si>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</si>
  <si>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</si>
  <si>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Снятие показаний эл.счетчика коммунального назначения</t>
  </si>
  <si>
    <t xml:space="preserve">Смена сгонов у трубопроводов диаметром до 20 мм </t>
  </si>
  <si>
    <t>1 сгон</t>
  </si>
  <si>
    <t>Стоимость (руб.)</t>
  </si>
  <si>
    <t>3 этажа, 3 подъезда</t>
  </si>
  <si>
    <t>договор</t>
  </si>
  <si>
    <t>ТО внутридомового газ.оборудования</t>
  </si>
  <si>
    <t>калькуляция</t>
  </si>
  <si>
    <t>Работа автовышки</t>
  </si>
  <si>
    <t>Баланс выполненных работ на 01.01.2016 г. ( -долг за предприятием, +долг за населением)</t>
  </si>
  <si>
    <t>Внеплановый осмотр электросетей, арматуры и электрооборудования на лестничных клетках</t>
  </si>
  <si>
    <t>Начислено за содержание и текущий ремонт за 2016  г.</t>
  </si>
  <si>
    <t>Выполнено работ по содержанию за        2016 г.</t>
  </si>
  <si>
    <t>Выполнено работ по текущему ремонту за 2016 г.</t>
  </si>
  <si>
    <t>Фактически оплачено за 2016 г.</t>
  </si>
  <si>
    <t>счёт</t>
  </si>
  <si>
    <t xml:space="preserve">Погрузка травы, ветвей </t>
  </si>
  <si>
    <t xml:space="preserve"> - Уборка газонов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</si>
  <si>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</si>
  <si>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</si>
  <si>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Ремонт групповых щитков на лестничной клетке без ремонта автоматов</t>
  </si>
  <si>
    <t xml:space="preserve"> - Подметание территории с усовершенствованным покрытием асф.: крыльца, контейнерн. пл., проезд, тротуар</t>
  </si>
  <si>
    <t>Вывоз смета, травы, ветвей и т.п.- м/ч</t>
  </si>
  <si>
    <t>Осмотр шиферной кровли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</si>
  <si>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</si>
  <si>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</si>
  <si>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</si>
  <si>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</si>
  <si>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</si>
  <si>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</si>
  <si>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</si>
  <si>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</si>
  <si>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</si>
  <si>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</si>
  <si>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</si>
  <si>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</si>
  <si>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</si>
  <si>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</si>
  <si>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</si>
  <si>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</si>
  <si>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</si>
  <si>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</si>
  <si>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</si>
  <si>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</si>
  <si>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</si>
  <si>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</si>
  <si>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</si>
  <si>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</si>
  <si>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</si>
  <si>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</si>
  <si>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</si>
  <si>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</si>
  <si>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</si>
  <si>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</si>
  <si>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</si>
  <si>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</si>
  <si>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</si>
  <si>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</si>
  <si>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</si>
  <si>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</si>
  <si>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</si>
  <si>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</si>
  <si>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</si>
  <si>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</si>
  <si>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</si>
  <si>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33-037</t>
  </si>
  <si>
    <t>ТЕР 33-030</t>
  </si>
  <si>
    <t xml:space="preserve">2 раза в месяц  24 раза в год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</si>
  <si>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</si>
  <si>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</si>
  <si>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</si>
  <si>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Пескопосыпка территории: крыльца и вход.площади</t>
  </si>
  <si>
    <t>1 раз в месяц (5 раз за год)</t>
  </si>
  <si>
    <t>маш-час</t>
  </si>
  <si>
    <t>Дератизация</t>
  </si>
  <si>
    <t>м2</t>
  </si>
  <si>
    <t>12 раз в год</t>
  </si>
  <si>
    <t>ТО внутренних сетей водопровода и канализации</t>
  </si>
  <si>
    <t>руб/м2 в мес.</t>
  </si>
  <si>
    <t>пр.ТЕР 33-024</t>
  </si>
  <si>
    <t>Смена светодиодных светильников</t>
  </si>
  <si>
    <t>1 шт.</t>
  </si>
  <si>
    <t>Стоимость светодиодного светильника</t>
  </si>
  <si>
    <t>руб.</t>
  </si>
  <si>
    <t>ТЭР 33-037</t>
  </si>
  <si>
    <t>1 раз в месяц</t>
  </si>
  <si>
    <t>Снятие показаний с общедомовых приборов учёта электрической энергии</t>
  </si>
  <si>
    <t>Наладка тепловычислителя</t>
  </si>
  <si>
    <t>пр.ТЕР 33-022</t>
  </si>
  <si>
    <t>ТЕР 31-009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</si>
  <si>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49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сентябрь-декабрь 2016 года</t>
    </r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</si>
  <si>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</si>
  <si>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</si>
  <si>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пр.ТЕР 15-013</t>
  </si>
  <si>
    <t>Закрепили полотенцесушитель</t>
  </si>
  <si>
    <t>Смена арматуры - вентилей и клапанов обратных муфтовых диаметром до 20 мм</t>
  </si>
  <si>
    <t>1 шт</t>
  </si>
  <si>
    <t>ТЕР 32-027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</si>
</sst>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4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3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9" xfId="0" applyFont="1" applyFill="1" applyBorder="1"/>
    <xf numFmtId="0" fontId="1" fillId="4" borderId="18" xfId="0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4" fontId="1" fillId="4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11"/>
  <sheetViews>
    <sheetView tabSelected="1" view="pageBreakPreview" zoomScaleNormal="75" zoomScaleSheetLayoutView="100" workbookViewId="0">
      <pane ySplit="7" topLeftCell="A103" activePane="bottomLeft" state="frozen"/>
      <selection activeCell="B1" sqref="B1"/>
      <selection pane="bottomLeft" activeCell="C107" sqref="C107:F107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6" width="9.85546875" hidden="1" customWidth="1"/>
    <col min="17" max="20" width="9.85546875" customWidth="1"/>
    <col min="21" max="21" width="12.28515625" customWidth="1"/>
    <col min="22" max="23" width="9.140625" style="146"/>
  </cols>
  <sheetData>
    <row r="1" spans="1:21" ht="14.25" customHeight="1">
      <c r="A1" s="139"/>
    </row>
    <row r="3" spans="1:21" ht="18">
      <c r="A3" s="125"/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67"/>
      <c r="N3" s="67"/>
      <c r="O3" s="67"/>
      <c r="P3" s="67"/>
      <c r="Q3" s="67"/>
      <c r="R3" s="67"/>
      <c r="S3" s="67"/>
      <c r="T3" s="67"/>
      <c r="U3" s="67"/>
    </row>
    <row r="4" spans="1:21" ht="34.5" customHeight="1">
      <c r="A4" s="67"/>
      <c r="B4" s="151" t="s">
        <v>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51" t="s">
        <v>208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67"/>
      <c r="N5" s="67"/>
      <c r="O5" s="67"/>
      <c r="P5" s="67"/>
      <c r="Q5" s="67"/>
      <c r="R5" s="67"/>
      <c r="S5" s="67"/>
      <c r="T5" s="67"/>
      <c r="U5" s="67"/>
    </row>
    <row r="6" spans="1:21" ht="15">
      <c r="A6" s="67"/>
      <c r="B6" s="152" t="s">
        <v>122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67"/>
      <c r="N6" s="67"/>
      <c r="O6" s="67"/>
      <c r="P6" s="67"/>
      <c r="Q6" s="67"/>
      <c r="R6" s="67"/>
      <c r="S6" s="67"/>
      <c r="T6" s="67"/>
      <c r="U6" s="67"/>
    </row>
    <row r="7" spans="1:21" ht="48.75" customHeight="1">
      <c r="A7" s="129" t="s">
        <v>2</v>
      </c>
      <c r="B7" s="130" t="s">
        <v>3</v>
      </c>
      <c r="C7" s="130" t="s">
        <v>4</v>
      </c>
      <c r="D7" s="130" t="s">
        <v>5</v>
      </c>
      <c r="E7" s="130" t="s">
        <v>6</v>
      </c>
      <c r="F7" s="130" t="s">
        <v>7</v>
      </c>
      <c r="G7" s="130" t="s">
        <v>8</v>
      </c>
      <c r="H7" s="131" t="s">
        <v>9</v>
      </c>
      <c r="I7" s="24" t="s">
        <v>106</v>
      </c>
      <c r="J7" s="24" t="s">
        <v>107</v>
      </c>
      <c r="K7" s="24" t="s">
        <v>108</v>
      </c>
      <c r="L7" s="24" t="s">
        <v>109</v>
      </c>
      <c r="M7" s="24" t="s">
        <v>110</v>
      </c>
      <c r="N7" s="24" t="s">
        <v>111</v>
      </c>
      <c r="O7" s="24" t="s">
        <v>112</v>
      </c>
      <c r="P7" s="24" t="s">
        <v>113</v>
      </c>
      <c r="Q7" s="24" t="s">
        <v>114</v>
      </c>
      <c r="R7" s="24" t="s">
        <v>115</v>
      </c>
      <c r="S7" s="24" t="s">
        <v>116</v>
      </c>
      <c r="T7" s="24" t="s">
        <v>117</v>
      </c>
      <c r="U7" s="24" t="s">
        <v>121</v>
      </c>
    </row>
    <row r="8" spans="1:21">
      <c r="A8" s="132">
        <v>1</v>
      </c>
      <c r="B8" s="7">
        <v>2</v>
      </c>
      <c r="C8" s="25">
        <v>3</v>
      </c>
      <c r="D8" s="7">
        <v>4</v>
      </c>
      <c r="E8" s="7">
        <v>5</v>
      </c>
      <c r="F8" s="25">
        <v>6</v>
      </c>
      <c r="G8" s="25">
        <v>7</v>
      </c>
      <c r="H8" s="26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9</v>
      </c>
      <c r="R8" s="27">
        <v>10</v>
      </c>
      <c r="S8" s="27">
        <v>11</v>
      </c>
      <c r="T8" s="27">
        <v>12</v>
      </c>
      <c r="U8" s="27">
        <v>13</v>
      </c>
    </row>
    <row r="9" spans="1:21" ht="38.25">
      <c r="A9" s="132"/>
      <c r="B9" s="9" t="s">
        <v>10</v>
      </c>
      <c r="C9" s="25"/>
      <c r="D9" s="10"/>
      <c r="E9" s="10"/>
      <c r="F9" s="25"/>
      <c r="G9" s="25"/>
      <c r="H9" s="28"/>
      <c r="I9" s="29"/>
      <c r="J9" s="29"/>
      <c r="K9" s="29"/>
      <c r="L9" s="29"/>
      <c r="M9" s="30"/>
      <c r="N9" s="31"/>
      <c r="O9" s="31"/>
      <c r="P9" s="31"/>
      <c r="Q9" s="31"/>
      <c r="R9" s="31"/>
      <c r="S9" s="31"/>
      <c r="T9" s="31"/>
      <c r="U9" s="31"/>
    </row>
    <row r="10" spans="1:21">
      <c r="A10" s="132"/>
      <c r="B10" s="9" t="s">
        <v>11</v>
      </c>
      <c r="C10" s="25"/>
      <c r="D10" s="10"/>
      <c r="E10" s="10"/>
      <c r="F10" s="25"/>
      <c r="G10" s="25"/>
      <c r="H10" s="28"/>
      <c r="I10" s="29"/>
      <c r="J10" s="29"/>
      <c r="K10" s="29"/>
      <c r="L10" s="29"/>
      <c r="M10" s="30"/>
      <c r="N10" s="31"/>
      <c r="O10" s="31"/>
      <c r="P10" s="31"/>
      <c r="Q10" s="31"/>
      <c r="R10" s="31"/>
      <c r="S10" s="31"/>
      <c r="T10" s="31"/>
      <c r="U10" s="31"/>
    </row>
    <row r="11" spans="1:21" ht="25.5">
      <c r="A11" s="132" t="s">
        <v>144</v>
      </c>
      <c r="B11" s="10" t="s">
        <v>12</v>
      </c>
      <c r="C11" s="25" t="s">
        <v>13</v>
      </c>
      <c r="D11" s="10" t="s">
        <v>14</v>
      </c>
      <c r="E11" s="32">
        <v>54.9</v>
      </c>
      <c r="F11" s="33">
        <f>SUM(E11*156/100)</f>
        <v>85.643999999999991</v>
      </c>
      <c r="G11" s="33">
        <v>218.21</v>
      </c>
      <c r="H11" s="34">
        <f t="shared" ref="H11:H21" si="0">SUM(F11*G11/1000)</f>
        <v>18.688377239999998</v>
      </c>
      <c r="I11" s="35">
        <f>F11/12*G11</f>
        <v>1557.3647699999999</v>
      </c>
      <c r="J11" s="35">
        <f>F11/12*G11</f>
        <v>1557.3647699999999</v>
      </c>
      <c r="K11" s="35">
        <f>F11/12*G11</f>
        <v>1557.3647699999999</v>
      </c>
      <c r="L11" s="35">
        <f>F11/12*G11</f>
        <v>1557.3647699999999</v>
      </c>
      <c r="M11" s="35">
        <f>F11/12*G11</f>
        <v>1557.3647699999999</v>
      </c>
      <c r="N11" s="35">
        <f>F11/12*G11</f>
        <v>1557.3647699999999</v>
      </c>
      <c r="O11" s="35">
        <f>F11/12*G11</f>
        <v>1557.3647699999999</v>
      </c>
      <c r="P11" s="35">
        <f>F11/12*G11</f>
        <v>1557.3647699999999</v>
      </c>
      <c r="Q11" s="35">
        <f>F11/12*G11</f>
        <v>1557.3647699999999</v>
      </c>
      <c r="R11" s="35">
        <f>F11/12*G11</f>
        <v>1557.3647699999999</v>
      </c>
      <c r="S11" s="35">
        <f>F11/12*G11</f>
        <v>1557.3647699999999</v>
      </c>
      <c r="T11" s="35">
        <f>F11/12*G11</f>
        <v>1557.3647699999999</v>
      </c>
      <c r="U11" s="35">
        <f>SUM(Q11:T11)</f>
        <v>6229.4590799999996</v>
      </c>
    </row>
    <row r="12" spans="1:21" ht="25.5">
      <c r="A12" s="132" t="s">
        <v>144</v>
      </c>
      <c r="B12" s="10" t="s">
        <v>142</v>
      </c>
      <c r="C12" s="25" t="s">
        <v>13</v>
      </c>
      <c r="D12" s="10" t="s">
        <v>15</v>
      </c>
      <c r="E12" s="32">
        <v>109.8</v>
      </c>
      <c r="F12" s="33">
        <f>SUM(E12*104/100)</f>
        <v>114.19199999999999</v>
      </c>
      <c r="G12" s="33">
        <v>218.21</v>
      </c>
      <c r="H12" s="34">
        <f t="shared" si="0"/>
        <v>24.917836319999999</v>
      </c>
      <c r="I12" s="35">
        <f>F12/12*G12</f>
        <v>2076.4863599999999</v>
      </c>
      <c r="J12" s="35">
        <f>F12/12*G12</f>
        <v>2076.4863599999999</v>
      </c>
      <c r="K12" s="35">
        <f>F12/12*G12</f>
        <v>2076.4863599999999</v>
      </c>
      <c r="L12" s="35">
        <f>F12/12*G12</f>
        <v>2076.4863599999999</v>
      </c>
      <c r="M12" s="35">
        <f>F12/12*G12</f>
        <v>2076.4863599999999</v>
      </c>
      <c r="N12" s="35">
        <f>F12/12*G12</f>
        <v>2076.4863599999999</v>
      </c>
      <c r="O12" s="35">
        <f>F12/12*G12</f>
        <v>2076.4863599999999</v>
      </c>
      <c r="P12" s="35">
        <f>F12/12*G12</f>
        <v>2076.4863599999999</v>
      </c>
      <c r="Q12" s="35">
        <f>F12/12*G12</f>
        <v>2076.4863599999999</v>
      </c>
      <c r="R12" s="35">
        <f>F12/12*G12</f>
        <v>2076.4863599999999</v>
      </c>
      <c r="S12" s="35">
        <f>F12/12*G12</f>
        <v>2076.4863599999999</v>
      </c>
      <c r="T12" s="35">
        <f>F12/12*G12</f>
        <v>2076.4863599999999</v>
      </c>
      <c r="U12" s="35">
        <f t="shared" ref="U12:U21" si="1">SUM(Q12:T12)</f>
        <v>8305.9454399999995</v>
      </c>
    </row>
    <row r="13" spans="1:21" ht="25.5">
      <c r="A13" s="132" t="s">
        <v>145</v>
      </c>
      <c r="B13" s="10" t="s">
        <v>143</v>
      </c>
      <c r="C13" s="25" t="s">
        <v>13</v>
      </c>
      <c r="D13" s="10" t="s">
        <v>185</v>
      </c>
      <c r="E13" s="32">
        <f>SUM(E11+E12)</f>
        <v>164.7</v>
      </c>
      <c r="F13" s="33">
        <f>SUM(E13*24/100)</f>
        <v>39.527999999999999</v>
      </c>
      <c r="G13" s="33">
        <v>627.77</v>
      </c>
      <c r="H13" s="34">
        <f t="shared" si="0"/>
        <v>24.814492559999998</v>
      </c>
      <c r="I13" s="35">
        <f>F13/12*G13</f>
        <v>2067.8743799999997</v>
      </c>
      <c r="J13" s="35">
        <f>F13/12*G13</f>
        <v>2067.8743799999997</v>
      </c>
      <c r="K13" s="35">
        <f>F13/12*G13</f>
        <v>2067.8743799999997</v>
      </c>
      <c r="L13" s="35">
        <f>F13/12*G13</f>
        <v>2067.8743799999997</v>
      </c>
      <c r="M13" s="35">
        <f>F13/12*G13</f>
        <v>2067.8743799999997</v>
      </c>
      <c r="N13" s="35">
        <f>F13/12*G13</f>
        <v>2067.8743799999997</v>
      </c>
      <c r="O13" s="35">
        <f>F13/12*G13</f>
        <v>2067.8743799999997</v>
      </c>
      <c r="P13" s="35">
        <f>F13/12*G13</f>
        <v>2067.8743799999997</v>
      </c>
      <c r="Q13" s="35">
        <f>F13/12*G13</f>
        <v>2067.8743799999997</v>
      </c>
      <c r="R13" s="35">
        <f>F13/12*G13</f>
        <v>2067.8743799999997</v>
      </c>
      <c r="S13" s="35">
        <f>F13/12*G13</f>
        <v>2067.8743799999997</v>
      </c>
      <c r="T13" s="35">
        <f>F13/12*G13</f>
        <v>2067.8743799999997</v>
      </c>
      <c r="U13" s="35">
        <f t="shared" si="1"/>
        <v>8271.497519999999</v>
      </c>
    </row>
    <row r="14" spans="1:21">
      <c r="A14" s="132" t="s">
        <v>146</v>
      </c>
      <c r="B14" s="10" t="s">
        <v>16</v>
      </c>
      <c r="C14" s="25" t="s">
        <v>17</v>
      </c>
      <c r="D14" s="10" t="s">
        <v>94</v>
      </c>
      <c r="E14" s="32">
        <v>21.6</v>
      </c>
      <c r="F14" s="33">
        <f>SUM(E14/10)</f>
        <v>2.16</v>
      </c>
      <c r="G14" s="33">
        <v>211.74</v>
      </c>
      <c r="H14" s="34">
        <f t="shared" si="0"/>
        <v>0.45735840000000005</v>
      </c>
      <c r="I14" s="35">
        <v>0</v>
      </c>
      <c r="J14" s="35">
        <v>0</v>
      </c>
      <c r="K14" s="35">
        <v>0</v>
      </c>
      <c r="L14" s="35">
        <v>0</v>
      </c>
      <c r="M14" s="35">
        <f>F14/2*G14</f>
        <v>228.67920000000004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f t="shared" si="1"/>
        <v>0</v>
      </c>
    </row>
    <row r="15" spans="1:21">
      <c r="A15" s="132" t="s">
        <v>147</v>
      </c>
      <c r="B15" s="10" t="s">
        <v>18</v>
      </c>
      <c r="C15" s="25" t="s">
        <v>13</v>
      </c>
      <c r="D15" s="10" t="s">
        <v>49</v>
      </c>
      <c r="E15" s="32">
        <v>9.18</v>
      </c>
      <c r="F15" s="33">
        <f>SUM(E15*2/100)</f>
        <v>0.18359999999999999</v>
      </c>
      <c r="G15" s="33">
        <v>271.12</v>
      </c>
      <c r="H15" s="34">
        <f t="shared" si="0"/>
        <v>4.9777631999999995E-2</v>
      </c>
      <c r="I15" s="35">
        <v>0</v>
      </c>
      <c r="J15" s="35">
        <v>0</v>
      </c>
      <c r="K15" s="35">
        <v>0</v>
      </c>
      <c r="L15" s="35">
        <v>0</v>
      </c>
      <c r="M15" s="35">
        <f>F15/2*G15</f>
        <v>24.888815999999998</v>
      </c>
      <c r="N15" s="35">
        <v>0</v>
      </c>
      <c r="O15" s="35">
        <v>0</v>
      </c>
      <c r="P15" s="35">
        <v>0</v>
      </c>
      <c r="Q15" s="35">
        <f>F15/2*G15</f>
        <v>24.888815999999998</v>
      </c>
      <c r="R15" s="35">
        <v>0</v>
      </c>
      <c r="S15" s="35">
        <v>0</v>
      </c>
      <c r="T15" s="35">
        <v>0</v>
      </c>
      <c r="U15" s="35">
        <f t="shared" si="1"/>
        <v>24.888815999999998</v>
      </c>
    </row>
    <row r="16" spans="1:21">
      <c r="A16" s="132" t="s">
        <v>148</v>
      </c>
      <c r="B16" s="10" t="s">
        <v>19</v>
      </c>
      <c r="C16" s="25" t="s">
        <v>13</v>
      </c>
      <c r="D16" s="10" t="s">
        <v>49</v>
      </c>
      <c r="E16" s="32">
        <v>8.1</v>
      </c>
      <c r="F16" s="33">
        <f>SUM(E16*2/100)</f>
        <v>0.16200000000000001</v>
      </c>
      <c r="G16" s="33">
        <v>268.92</v>
      </c>
      <c r="H16" s="34">
        <f t="shared" si="0"/>
        <v>4.3565040000000006E-2</v>
      </c>
      <c r="I16" s="35">
        <v>0</v>
      </c>
      <c r="J16" s="35">
        <v>0</v>
      </c>
      <c r="K16" s="35">
        <v>0</v>
      </c>
      <c r="L16" s="35">
        <v>0</v>
      </c>
      <c r="M16" s="35">
        <f>F16/2*G16</f>
        <v>21.782520000000002</v>
      </c>
      <c r="N16" s="35">
        <v>0</v>
      </c>
      <c r="O16" s="35">
        <v>0</v>
      </c>
      <c r="P16" s="35">
        <v>0</v>
      </c>
      <c r="Q16" s="35">
        <f>F16/2*G16</f>
        <v>21.782520000000002</v>
      </c>
      <c r="R16" s="35">
        <v>0</v>
      </c>
      <c r="S16" s="35">
        <v>0</v>
      </c>
      <c r="T16" s="35">
        <v>0</v>
      </c>
      <c r="U16" s="35">
        <f t="shared" si="1"/>
        <v>21.782520000000002</v>
      </c>
    </row>
    <row r="17" spans="1:23">
      <c r="A17" s="132" t="s">
        <v>149</v>
      </c>
      <c r="B17" s="10" t="s">
        <v>20</v>
      </c>
      <c r="C17" s="25" t="s">
        <v>21</v>
      </c>
      <c r="D17" s="10" t="s">
        <v>94</v>
      </c>
      <c r="E17" s="32">
        <v>220.32</v>
      </c>
      <c r="F17" s="33">
        <f>SUM(E17/100)</f>
        <v>2.2031999999999998</v>
      </c>
      <c r="G17" s="33">
        <v>335.05</v>
      </c>
      <c r="H17" s="34">
        <f t="shared" si="0"/>
        <v>0.73818215999999992</v>
      </c>
      <c r="I17" s="35">
        <v>0</v>
      </c>
      <c r="J17" s="35">
        <v>0</v>
      </c>
      <c r="K17" s="35">
        <v>0</v>
      </c>
      <c r="L17" s="35">
        <v>0</v>
      </c>
      <c r="M17" s="35">
        <f>F17*G17</f>
        <v>738.18215999999995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 t="shared" si="1"/>
        <v>0</v>
      </c>
    </row>
    <row r="18" spans="1:23">
      <c r="A18" s="132" t="s">
        <v>150</v>
      </c>
      <c r="B18" s="10" t="s">
        <v>22</v>
      </c>
      <c r="C18" s="25" t="s">
        <v>21</v>
      </c>
      <c r="D18" s="10" t="s">
        <v>94</v>
      </c>
      <c r="E18" s="37">
        <v>17.64</v>
      </c>
      <c r="F18" s="33">
        <f>SUM(E18/100)</f>
        <v>0.1764</v>
      </c>
      <c r="G18" s="33">
        <v>55.1</v>
      </c>
      <c r="H18" s="34">
        <f t="shared" si="0"/>
        <v>9.7196399999999999E-3</v>
      </c>
      <c r="I18" s="35">
        <v>0</v>
      </c>
      <c r="J18" s="35">
        <v>0</v>
      </c>
      <c r="K18" s="35">
        <v>0</v>
      </c>
      <c r="L18" s="35">
        <v>0</v>
      </c>
      <c r="M18" s="35">
        <f t="shared" ref="M18:M21" si="2">F18*G18</f>
        <v>9.7196400000000001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f t="shared" si="1"/>
        <v>0</v>
      </c>
    </row>
    <row r="19" spans="1:23">
      <c r="A19" s="132" t="s">
        <v>151</v>
      </c>
      <c r="B19" s="10" t="s">
        <v>23</v>
      </c>
      <c r="C19" s="25" t="s">
        <v>21</v>
      </c>
      <c r="D19" s="10" t="s">
        <v>95</v>
      </c>
      <c r="E19" s="32">
        <v>7.2</v>
      </c>
      <c r="F19" s="33">
        <f>E19/100</f>
        <v>7.2000000000000008E-2</v>
      </c>
      <c r="G19" s="33">
        <v>484.94</v>
      </c>
      <c r="H19" s="34">
        <f t="shared" si="0"/>
        <v>3.4915680000000004E-2</v>
      </c>
      <c r="I19" s="35">
        <v>0</v>
      </c>
      <c r="J19" s="35">
        <v>0</v>
      </c>
      <c r="K19" s="35">
        <v>0</v>
      </c>
      <c r="L19" s="35">
        <v>0</v>
      </c>
      <c r="M19" s="35">
        <f t="shared" si="2"/>
        <v>34.915680000000002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f t="shared" si="1"/>
        <v>0</v>
      </c>
    </row>
    <row r="20" spans="1:23" ht="25.5">
      <c r="A20" s="132" t="s">
        <v>152</v>
      </c>
      <c r="B20" s="10" t="s">
        <v>96</v>
      </c>
      <c r="C20" s="25" t="s">
        <v>21</v>
      </c>
      <c r="D20" s="10" t="s">
        <v>31</v>
      </c>
      <c r="E20" s="32">
        <v>9.4499999999999993</v>
      </c>
      <c r="F20" s="33">
        <f>E20/100</f>
        <v>9.4499999999999987E-2</v>
      </c>
      <c r="G20" s="33">
        <v>268.92</v>
      </c>
      <c r="H20" s="34">
        <f t="shared" si="0"/>
        <v>2.5412939999999998E-2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25.412939999999999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f t="shared" si="1"/>
        <v>0</v>
      </c>
    </row>
    <row r="21" spans="1:23">
      <c r="A21" s="132" t="s">
        <v>153</v>
      </c>
      <c r="B21" s="10" t="s">
        <v>24</v>
      </c>
      <c r="C21" s="25" t="s">
        <v>21</v>
      </c>
      <c r="D21" s="10" t="s">
        <v>94</v>
      </c>
      <c r="E21" s="32">
        <v>10.8</v>
      </c>
      <c r="F21" s="33">
        <f>SUM(E21/100)</f>
        <v>0.10800000000000001</v>
      </c>
      <c r="G21" s="33">
        <v>684.05</v>
      </c>
      <c r="H21" s="34">
        <f t="shared" si="0"/>
        <v>7.387740000000001E-2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73.877400000000009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f t="shared" si="1"/>
        <v>0</v>
      </c>
    </row>
    <row r="22" spans="1:23" s="19" customFormat="1">
      <c r="A22" s="133"/>
      <c r="B22" s="20" t="s">
        <v>25</v>
      </c>
      <c r="C22" s="38"/>
      <c r="D22" s="20"/>
      <c r="E22" s="39"/>
      <c r="F22" s="40"/>
      <c r="G22" s="40"/>
      <c r="H22" s="41">
        <f>SUM(H11:H21)</f>
        <v>69.853515012000003</v>
      </c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>
        <f>SUM(U11:U21)</f>
        <v>22853.573376</v>
      </c>
      <c r="V22" s="146"/>
      <c r="W22" s="146"/>
    </row>
    <row r="23" spans="1:23">
      <c r="A23" s="132"/>
      <c r="B23" s="12" t="s">
        <v>26</v>
      </c>
      <c r="C23" s="25"/>
      <c r="D23" s="10"/>
      <c r="E23" s="32"/>
      <c r="F23" s="33"/>
      <c r="G23" s="33"/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</row>
    <row r="24" spans="1:23" ht="25.5" customHeight="1">
      <c r="A24" s="132" t="s">
        <v>154</v>
      </c>
      <c r="B24" s="10" t="s">
        <v>135</v>
      </c>
      <c r="C24" s="25" t="s">
        <v>28</v>
      </c>
      <c r="D24" s="10" t="s">
        <v>27</v>
      </c>
      <c r="E24" s="33">
        <v>61.5</v>
      </c>
      <c r="F24" s="33">
        <f>SUM(E24*52/1000)</f>
        <v>3.198</v>
      </c>
      <c r="G24" s="33">
        <v>193.97</v>
      </c>
      <c r="H24" s="34">
        <f t="shared" ref="H24:H31" si="3">SUM(F24*G24/1000)</f>
        <v>0.62031605999999995</v>
      </c>
      <c r="I24" s="35">
        <v>0</v>
      </c>
      <c r="J24" s="35">
        <v>0</v>
      </c>
      <c r="K24" s="35">
        <v>0</v>
      </c>
      <c r="L24" s="35">
        <v>0</v>
      </c>
      <c r="M24" s="35">
        <f>F24/6*G24</f>
        <v>103.38601</v>
      </c>
      <c r="N24" s="35">
        <f>F24/6*G24</f>
        <v>103.38601</v>
      </c>
      <c r="O24" s="35">
        <f>F24/6*G24</f>
        <v>103.38601</v>
      </c>
      <c r="P24" s="35">
        <f>F24/6*G24</f>
        <v>103.38601</v>
      </c>
      <c r="Q24" s="35">
        <f>F24/6*G24</f>
        <v>103.38601</v>
      </c>
      <c r="R24" s="35">
        <f>F24/6*G24</f>
        <v>103.38601</v>
      </c>
      <c r="S24" s="35">
        <v>0</v>
      </c>
      <c r="T24" s="35">
        <v>0</v>
      </c>
      <c r="U24" s="35">
        <f>SUM(Q24:T24)</f>
        <v>206.77202</v>
      </c>
    </row>
    <row r="25" spans="1:23" ht="38.25" customHeight="1">
      <c r="A25" s="132" t="s">
        <v>155</v>
      </c>
      <c r="B25" s="10" t="s">
        <v>139</v>
      </c>
      <c r="C25" s="25" t="s">
        <v>28</v>
      </c>
      <c r="D25" s="10" t="s">
        <v>29</v>
      </c>
      <c r="E25" s="33">
        <v>35.299999999999997</v>
      </c>
      <c r="F25" s="33">
        <f>SUM(E25*78/1000)</f>
        <v>2.7533999999999996</v>
      </c>
      <c r="G25" s="33">
        <v>321.82</v>
      </c>
      <c r="H25" s="34">
        <f t="shared" si="3"/>
        <v>0.88609918799999987</v>
      </c>
      <c r="I25" s="35">
        <v>0</v>
      </c>
      <c r="J25" s="35">
        <v>0</v>
      </c>
      <c r="K25" s="35">
        <v>0</v>
      </c>
      <c r="L25" s="35">
        <v>0</v>
      </c>
      <c r="M25" s="35">
        <f>F25/6*G25</f>
        <v>147.68319799999998</v>
      </c>
      <c r="N25" s="35">
        <f>F25/6*G25</f>
        <v>147.68319799999998</v>
      </c>
      <c r="O25" s="35">
        <f>F25/6*G25</f>
        <v>147.68319799999998</v>
      </c>
      <c r="P25" s="35">
        <f>F25/6*G25</f>
        <v>147.68319799999998</v>
      </c>
      <c r="Q25" s="35">
        <f>F25/6*G25</f>
        <v>147.68319799999998</v>
      </c>
      <c r="R25" s="35">
        <f>F25/6*G25</f>
        <v>147.68319799999998</v>
      </c>
      <c r="S25" s="35">
        <v>0</v>
      </c>
      <c r="T25" s="35">
        <v>0</v>
      </c>
      <c r="U25" s="35">
        <f t="shared" ref="U25:U31" si="4">SUM(Q25:T25)</f>
        <v>295.36639599999995</v>
      </c>
    </row>
    <row r="26" spans="1:23">
      <c r="A26" s="132" t="s">
        <v>156</v>
      </c>
      <c r="B26" s="10" t="s">
        <v>30</v>
      </c>
      <c r="C26" s="25" t="s">
        <v>28</v>
      </c>
      <c r="D26" s="10" t="s">
        <v>31</v>
      </c>
      <c r="E26" s="33">
        <v>61.5</v>
      </c>
      <c r="F26" s="33">
        <f>SUM(E26/1000)</f>
        <v>6.1499999999999999E-2</v>
      </c>
      <c r="G26" s="33">
        <v>3758.28</v>
      </c>
      <c r="H26" s="34">
        <f t="shared" si="3"/>
        <v>0.23113422</v>
      </c>
      <c r="I26" s="35">
        <v>0</v>
      </c>
      <c r="J26" s="35">
        <v>0</v>
      </c>
      <c r="K26" s="35">
        <v>0</v>
      </c>
      <c r="L26" s="35">
        <v>0</v>
      </c>
      <c r="M26" s="35">
        <f>F26*G26</f>
        <v>231.13422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f t="shared" si="4"/>
        <v>0</v>
      </c>
    </row>
    <row r="27" spans="1:23">
      <c r="A27" s="132" t="s">
        <v>157</v>
      </c>
      <c r="B27" s="10" t="s">
        <v>32</v>
      </c>
      <c r="C27" s="25" t="s">
        <v>33</v>
      </c>
      <c r="D27" s="10" t="s">
        <v>34</v>
      </c>
      <c r="E27" s="44">
        <f>1/3</f>
        <v>0.33333333333333331</v>
      </c>
      <c r="F27" s="33">
        <f>155/3</f>
        <v>51.666666666666664</v>
      </c>
      <c r="G27" s="33">
        <v>70.540000000000006</v>
      </c>
      <c r="H27" s="34">
        <f t="shared" si="3"/>
        <v>3.6445666666666665</v>
      </c>
      <c r="I27" s="35">
        <v>0</v>
      </c>
      <c r="J27" s="35">
        <v>0</v>
      </c>
      <c r="K27" s="35">
        <v>0</v>
      </c>
      <c r="L27" s="35">
        <v>0</v>
      </c>
      <c r="M27" s="35">
        <f>F27/6*G27</f>
        <v>607.42777777777781</v>
      </c>
      <c r="N27" s="35">
        <f>F27/6*G27</f>
        <v>607.42777777777781</v>
      </c>
      <c r="O27" s="35">
        <f>F27/6*G27</f>
        <v>607.42777777777781</v>
      </c>
      <c r="P27" s="35">
        <f>F27/6*G27</f>
        <v>607.42777777777781</v>
      </c>
      <c r="Q27" s="35">
        <f>F27/6*G27</f>
        <v>607.42777777777781</v>
      </c>
      <c r="R27" s="35">
        <f>F27/6*G27</f>
        <v>607.42777777777781</v>
      </c>
      <c r="S27" s="35">
        <v>0</v>
      </c>
      <c r="T27" s="35">
        <v>0</v>
      </c>
      <c r="U27" s="35">
        <f t="shared" si="4"/>
        <v>1214.8555555555556</v>
      </c>
    </row>
    <row r="28" spans="1:23" ht="12.75" customHeight="1">
      <c r="A28" s="132" t="s">
        <v>158</v>
      </c>
      <c r="B28" s="10" t="s">
        <v>35</v>
      </c>
      <c r="C28" s="25" t="s">
        <v>36</v>
      </c>
      <c r="D28" s="10" t="s">
        <v>37</v>
      </c>
      <c r="E28" s="45">
        <v>0.1</v>
      </c>
      <c r="F28" s="33">
        <f>SUM(E28*365)</f>
        <v>36.5</v>
      </c>
      <c r="G28" s="33">
        <v>182.96</v>
      </c>
      <c r="H28" s="34">
        <f t="shared" si="3"/>
        <v>6.6780400000000002</v>
      </c>
      <c r="I28" s="35">
        <f>F28/12*G28</f>
        <v>556.50333333333333</v>
      </c>
      <c r="J28" s="35">
        <f>F28/12*G28</f>
        <v>556.50333333333333</v>
      </c>
      <c r="K28" s="35">
        <f>F28/12*G28</f>
        <v>556.50333333333333</v>
      </c>
      <c r="L28" s="35">
        <f>F28/12*G28</f>
        <v>556.50333333333333</v>
      </c>
      <c r="M28" s="35">
        <f>F28/12*G28</f>
        <v>556.50333333333333</v>
      </c>
      <c r="N28" s="35">
        <f>F28/12*G28</f>
        <v>556.50333333333333</v>
      </c>
      <c r="O28" s="35">
        <f>F28/12*G28</f>
        <v>556.50333333333333</v>
      </c>
      <c r="P28" s="35">
        <f>F28/12*G28</f>
        <v>556.50333333333333</v>
      </c>
      <c r="Q28" s="35">
        <f>F28/12*G28</f>
        <v>556.50333333333333</v>
      </c>
      <c r="R28" s="35">
        <f>F28/12*G28</f>
        <v>556.50333333333333</v>
      </c>
      <c r="S28" s="35">
        <f>F28/12*G28</f>
        <v>556.50333333333333</v>
      </c>
      <c r="T28" s="35">
        <f>F28/12*G28</f>
        <v>556.50333333333333</v>
      </c>
      <c r="U28" s="35">
        <f t="shared" si="4"/>
        <v>2226.0133333333333</v>
      </c>
    </row>
    <row r="29" spans="1:23" ht="12.75" customHeight="1">
      <c r="A29" s="132" t="s">
        <v>159</v>
      </c>
      <c r="B29" s="10" t="s">
        <v>134</v>
      </c>
      <c r="C29" s="25" t="s">
        <v>36</v>
      </c>
      <c r="D29" s="10" t="s">
        <v>38</v>
      </c>
      <c r="E29" s="32"/>
      <c r="F29" s="33">
        <v>1</v>
      </c>
      <c r="G29" s="33">
        <v>238.07</v>
      </c>
      <c r="H29" s="34">
        <f t="shared" si="3"/>
        <v>0.23807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f t="shared" si="4"/>
        <v>0</v>
      </c>
    </row>
    <row r="30" spans="1:23" ht="12.75" customHeight="1">
      <c r="A30" s="132" t="s">
        <v>125</v>
      </c>
      <c r="B30" s="10" t="s">
        <v>140</v>
      </c>
      <c r="C30" s="25" t="s">
        <v>39</v>
      </c>
      <c r="D30" s="10" t="s">
        <v>38</v>
      </c>
      <c r="E30" s="32"/>
      <c r="F30" s="33">
        <v>1</v>
      </c>
      <c r="G30" s="33">
        <v>1413.96</v>
      </c>
      <c r="H30" s="34">
        <f t="shared" si="3"/>
        <v>1.4139600000000001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f t="shared" si="4"/>
        <v>0</v>
      </c>
    </row>
    <row r="31" spans="1:23">
      <c r="A31" s="132"/>
      <c r="B31" s="46" t="s">
        <v>40</v>
      </c>
      <c r="C31" s="25" t="s">
        <v>41</v>
      </c>
      <c r="D31" s="46" t="s">
        <v>42</v>
      </c>
      <c r="E31" s="32">
        <v>1536.4</v>
      </c>
      <c r="F31" s="33">
        <f>SUM(E31*12)</f>
        <v>18436.800000000003</v>
      </c>
      <c r="G31" s="33">
        <v>4.5599999999999996</v>
      </c>
      <c r="H31" s="34">
        <f t="shared" si="3"/>
        <v>84.071808000000004</v>
      </c>
      <c r="I31" s="35">
        <f>F31/12*G31</f>
        <v>7005.9840000000013</v>
      </c>
      <c r="J31" s="35">
        <f>F31/12*G31</f>
        <v>7005.9840000000013</v>
      </c>
      <c r="K31" s="35">
        <f>F31/12*G31</f>
        <v>7005.9840000000013</v>
      </c>
      <c r="L31" s="35">
        <f>F31/12*G31</f>
        <v>7005.9840000000013</v>
      </c>
      <c r="M31" s="35">
        <f>F31/12*G31</f>
        <v>7005.9840000000013</v>
      </c>
      <c r="N31" s="35">
        <f>F31/12*G31</f>
        <v>7005.9840000000013</v>
      </c>
      <c r="O31" s="35">
        <f>F31/12*G31</f>
        <v>7005.9840000000013</v>
      </c>
      <c r="P31" s="35">
        <f>F31/12*G31</f>
        <v>7005.9840000000013</v>
      </c>
      <c r="Q31" s="35">
        <f>F31/12*G31</f>
        <v>7005.9840000000013</v>
      </c>
      <c r="R31" s="35">
        <f>F31/12*G31</f>
        <v>7005.9840000000013</v>
      </c>
      <c r="S31" s="35">
        <f>F31/12*G31</f>
        <v>7005.9840000000013</v>
      </c>
      <c r="T31" s="35">
        <f>F31/12*G31</f>
        <v>7005.9840000000013</v>
      </c>
      <c r="U31" s="35">
        <f t="shared" si="4"/>
        <v>28023.936000000005</v>
      </c>
    </row>
    <row r="32" spans="1:23" s="19" customFormat="1">
      <c r="A32" s="133"/>
      <c r="B32" s="20" t="s">
        <v>25</v>
      </c>
      <c r="C32" s="38"/>
      <c r="D32" s="20"/>
      <c r="E32" s="39"/>
      <c r="F32" s="40"/>
      <c r="G32" s="40"/>
      <c r="H32" s="47">
        <f>SUM(H24:H31)</f>
        <v>97.783994134666671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>
        <f>SUM(U24:U31)</f>
        <v>31966.943304888893</v>
      </c>
      <c r="V32" s="146"/>
      <c r="W32" s="146"/>
    </row>
    <row r="33" spans="1:23">
      <c r="A33" s="132"/>
      <c r="B33" s="12" t="s">
        <v>43</v>
      </c>
      <c r="C33" s="25"/>
      <c r="D33" s="10"/>
      <c r="E33" s="32"/>
      <c r="F33" s="33"/>
      <c r="G33" s="33"/>
      <c r="H33" s="34" t="s">
        <v>42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</row>
    <row r="34" spans="1:23" ht="12.75" customHeight="1">
      <c r="A34" s="132" t="s">
        <v>125</v>
      </c>
      <c r="B34" s="13" t="s">
        <v>44</v>
      </c>
      <c r="C34" s="25" t="s">
        <v>39</v>
      </c>
      <c r="D34" s="10"/>
      <c r="E34" s="32"/>
      <c r="F34" s="33">
        <v>3</v>
      </c>
      <c r="G34" s="33">
        <v>1900.37</v>
      </c>
      <c r="H34" s="34">
        <f t="shared" ref="H34:H39" si="5">SUM(F34*G34/1000)</f>
        <v>5.7011099999999999</v>
      </c>
      <c r="I34" s="35">
        <f t="shared" ref="I34:I39" si="6">F34/6*G34</f>
        <v>950.18499999999995</v>
      </c>
      <c r="J34" s="35">
        <f t="shared" ref="J34:J39" si="7">F34/6*G34</f>
        <v>950.18499999999995</v>
      </c>
      <c r="K34" s="35">
        <f t="shared" ref="K34:K39" si="8">F34/6*G34</f>
        <v>950.18499999999995</v>
      </c>
      <c r="L34" s="35">
        <f t="shared" ref="L34:L39" si="9">F34/6*G34</f>
        <v>950.18499999999995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f t="shared" ref="S34:S39" si="10">F34/6*G34</f>
        <v>950.18499999999995</v>
      </c>
      <c r="T34" s="35">
        <f t="shared" ref="T34:T39" si="11">F34/6*G34</f>
        <v>950.18499999999995</v>
      </c>
      <c r="U34" s="35">
        <f>SUM(Q34:T34)</f>
        <v>1900.37</v>
      </c>
    </row>
    <row r="35" spans="1:23" ht="25.5">
      <c r="A35" s="134" t="s">
        <v>160</v>
      </c>
      <c r="B35" s="13" t="s">
        <v>186</v>
      </c>
      <c r="C35" s="49" t="s">
        <v>45</v>
      </c>
      <c r="D35" s="10" t="s">
        <v>98</v>
      </c>
      <c r="E35" s="32">
        <v>35.299999999999997</v>
      </c>
      <c r="F35" s="48">
        <f>E35*30/1000</f>
        <v>1.0589999999999999</v>
      </c>
      <c r="G35" s="33">
        <v>2616.4899999999998</v>
      </c>
      <c r="H35" s="34">
        <f t="shared" si="5"/>
        <v>2.77086291</v>
      </c>
      <c r="I35" s="35">
        <f t="shared" si="6"/>
        <v>461.81048499999991</v>
      </c>
      <c r="J35" s="35">
        <f t="shared" si="7"/>
        <v>461.81048499999991</v>
      </c>
      <c r="K35" s="35">
        <f t="shared" si="8"/>
        <v>461.81048499999991</v>
      </c>
      <c r="L35" s="35">
        <f t="shared" si="9"/>
        <v>461.81048499999991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f t="shared" si="10"/>
        <v>461.81048499999991</v>
      </c>
      <c r="T35" s="35">
        <f t="shared" si="11"/>
        <v>461.81048499999991</v>
      </c>
      <c r="U35" s="35">
        <f t="shared" ref="U35:U39" si="12">SUM(Q35:T35)</f>
        <v>923.62096999999983</v>
      </c>
    </row>
    <row r="36" spans="1:23" ht="12.75" customHeight="1">
      <c r="A36" s="132" t="s">
        <v>161</v>
      </c>
      <c r="B36" s="10" t="s">
        <v>187</v>
      </c>
      <c r="C36" s="25" t="s">
        <v>45</v>
      </c>
      <c r="D36" s="10" t="s">
        <v>46</v>
      </c>
      <c r="E36" s="32">
        <v>35.299999999999997</v>
      </c>
      <c r="F36" s="48">
        <f>SUM(E36*155/1000)</f>
        <v>5.4714999999999998</v>
      </c>
      <c r="G36" s="33">
        <v>436.45</v>
      </c>
      <c r="H36" s="34">
        <f t="shared" si="5"/>
        <v>2.3880361749999999</v>
      </c>
      <c r="I36" s="35">
        <f t="shared" si="6"/>
        <v>398.00602916666662</v>
      </c>
      <c r="J36" s="35">
        <f t="shared" si="7"/>
        <v>398.00602916666662</v>
      </c>
      <c r="K36" s="35">
        <f t="shared" si="8"/>
        <v>398.00602916666662</v>
      </c>
      <c r="L36" s="35">
        <f t="shared" si="9"/>
        <v>398.00602916666662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f t="shared" si="10"/>
        <v>398.00602916666662</v>
      </c>
      <c r="T36" s="35">
        <f t="shared" si="11"/>
        <v>398.00602916666662</v>
      </c>
      <c r="U36" s="35">
        <f t="shared" si="12"/>
        <v>796.01205833333324</v>
      </c>
    </row>
    <row r="37" spans="1:23" ht="51" customHeight="1">
      <c r="A37" s="132" t="s">
        <v>162</v>
      </c>
      <c r="B37" s="10" t="s">
        <v>188</v>
      </c>
      <c r="C37" s="25" t="s">
        <v>28</v>
      </c>
      <c r="D37" s="10" t="s">
        <v>105</v>
      </c>
      <c r="E37" s="32">
        <v>35.299999999999997</v>
      </c>
      <c r="F37" s="48">
        <f>SUM(E37*24/1000)</f>
        <v>0.84719999999999995</v>
      </c>
      <c r="G37" s="33">
        <v>7221.21</v>
      </c>
      <c r="H37" s="34">
        <f t="shared" si="5"/>
        <v>6.1178091119999998</v>
      </c>
      <c r="I37" s="35">
        <f t="shared" si="6"/>
        <v>1019.6348519999999</v>
      </c>
      <c r="J37" s="35">
        <f t="shared" si="7"/>
        <v>1019.6348519999999</v>
      </c>
      <c r="K37" s="35">
        <f t="shared" si="8"/>
        <v>1019.6348519999999</v>
      </c>
      <c r="L37" s="35">
        <f t="shared" si="9"/>
        <v>1019.6348519999999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f t="shared" si="10"/>
        <v>1019.6348519999999</v>
      </c>
      <c r="T37" s="35">
        <f t="shared" si="11"/>
        <v>1019.6348519999999</v>
      </c>
      <c r="U37" s="35">
        <f t="shared" si="12"/>
        <v>2039.2697039999998</v>
      </c>
    </row>
    <row r="38" spans="1:23" ht="25.5" customHeight="1">
      <c r="A38" s="132" t="s">
        <v>163</v>
      </c>
      <c r="B38" s="10" t="s">
        <v>189</v>
      </c>
      <c r="C38" s="25" t="s">
        <v>28</v>
      </c>
      <c r="D38" s="10" t="s">
        <v>47</v>
      </c>
      <c r="E38" s="32">
        <v>35.299999999999997</v>
      </c>
      <c r="F38" s="48">
        <f>SUM(E38*45/1000)</f>
        <v>1.5884999999999998</v>
      </c>
      <c r="G38" s="33">
        <v>533.45000000000005</v>
      </c>
      <c r="H38" s="34">
        <f t="shared" si="5"/>
        <v>0.84738532499999997</v>
      </c>
      <c r="I38" s="35">
        <f t="shared" si="6"/>
        <v>141.23088749999999</v>
      </c>
      <c r="J38" s="35">
        <f t="shared" si="7"/>
        <v>141.23088749999999</v>
      </c>
      <c r="K38" s="35">
        <f t="shared" si="8"/>
        <v>141.23088749999999</v>
      </c>
      <c r="L38" s="35">
        <f t="shared" si="9"/>
        <v>141.23088749999999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f t="shared" si="10"/>
        <v>141.23088749999999</v>
      </c>
      <c r="T38" s="35">
        <f t="shared" si="11"/>
        <v>141.23088749999999</v>
      </c>
      <c r="U38" s="35">
        <f t="shared" si="12"/>
        <v>282.46177499999999</v>
      </c>
    </row>
    <row r="39" spans="1:23" s="1" customFormat="1">
      <c r="A39" s="134"/>
      <c r="B39" s="13" t="s">
        <v>136</v>
      </c>
      <c r="C39" s="49" t="s">
        <v>36</v>
      </c>
      <c r="D39" s="13"/>
      <c r="E39" s="45"/>
      <c r="F39" s="48">
        <v>0.3</v>
      </c>
      <c r="G39" s="48">
        <v>992.97</v>
      </c>
      <c r="H39" s="34">
        <f t="shared" si="5"/>
        <v>0.29789100000000002</v>
      </c>
      <c r="I39" s="50">
        <f t="shared" si="6"/>
        <v>49.648499999999999</v>
      </c>
      <c r="J39" s="50">
        <f t="shared" si="7"/>
        <v>49.648499999999999</v>
      </c>
      <c r="K39" s="50">
        <f t="shared" si="8"/>
        <v>49.648499999999999</v>
      </c>
      <c r="L39" s="50">
        <f t="shared" si="9"/>
        <v>49.648499999999999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f t="shared" si="10"/>
        <v>49.648499999999999</v>
      </c>
      <c r="T39" s="35">
        <f t="shared" si="11"/>
        <v>49.648499999999999</v>
      </c>
      <c r="U39" s="35">
        <f t="shared" si="12"/>
        <v>99.296999999999997</v>
      </c>
      <c r="V39" s="146"/>
      <c r="W39" s="146"/>
    </row>
    <row r="40" spans="1:23" s="19" customFormat="1">
      <c r="A40" s="133"/>
      <c r="B40" s="20" t="s">
        <v>25</v>
      </c>
      <c r="C40" s="38"/>
      <c r="D40" s="20"/>
      <c r="E40" s="39"/>
      <c r="F40" s="40" t="s">
        <v>42</v>
      </c>
      <c r="G40" s="40"/>
      <c r="H40" s="47">
        <f>SUM(H34:H39)</f>
        <v>18.123094521999999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>
        <f>SUM(U34:U39)</f>
        <v>6041.0315073333322</v>
      </c>
      <c r="V40" s="146"/>
      <c r="W40" s="146"/>
    </row>
    <row r="41" spans="1:23">
      <c r="A41" s="132"/>
      <c r="B41" s="14" t="s">
        <v>48</v>
      </c>
      <c r="C41" s="25"/>
      <c r="D41" s="10"/>
      <c r="E41" s="32"/>
      <c r="F41" s="33"/>
      <c r="G41" s="33"/>
      <c r="H41" s="34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 spans="1:23">
      <c r="A42" s="132" t="s">
        <v>164</v>
      </c>
      <c r="B42" s="10" t="s">
        <v>141</v>
      </c>
      <c r="C42" s="25" t="s">
        <v>28</v>
      </c>
      <c r="D42" s="10" t="s">
        <v>49</v>
      </c>
      <c r="E42" s="32">
        <v>907.4</v>
      </c>
      <c r="F42" s="33">
        <f>SUM(E42*2/1000)</f>
        <v>1.8148</v>
      </c>
      <c r="G42" s="51">
        <v>1283.46</v>
      </c>
      <c r="H42" s="34">
        <f t="shared" ref="H42:H51" si="13">SUM(F42*G42/1000)</f>
        <v>2.3292232079999997</v>
      </c>
      <c r="I42" s="35">
        <v>0</v>
      </c>
      <c r="J42" s="35">
        <v>0</v>
      </c>
      <c r="K42" s="35">
        <v>0</v>
      </c>
      <c r="L42" s="35">
        <v>0</v>
      </c>
      <c r="M42" s="35">
        <f>F42/2*G42</f>
        <v>1164.6116039999999</v>
      </c>
      <c r="N42" s="35">
        <v>0</v>
      </c>
      <c r="O42" s="35">
        <v>0</v>
      </c>
      <c r="P42" s="35">
        <v>0</v>
      </c>
      <c r="Q42" s="35">
        <f>F42/2*G42</f>
        <v>1164.6116039999999</v>
      </c>
      <c r="R42" s="35">
        <v>0</v>
      </c>
      <c r="S42" s="35">
        <v>0</v>
      </c>
      <c r="T42" s="35">
        <v>0</v>
      </c>
      <c r="U42" s="35">
        <f>SUM(Q42:T42)</f>
        <v>1164.6116039999999</v>
      </c>
    </row>
    <row r="43" spans="1:23">
      <c r="A43" s="132" t="s">
        <v>165</v>
      </c>
      <c r="B43" s="10" t="s">
        <v>50</v>
      </c>
      <c r="C43" s="25" t="s">
        <v>28</v>
      </c>
      <c r="D43" s="10" t="s">
        <v>49</v>
      </c>
      <c r="E43" s="32">
        <v>27</v>
      </c>
      <c r="F43" s="33">
        <f>SUM(E43*2/1000)</f>
        <v>5.3999999999999999E-2</v>
      </c>
      <c r="G43" s="51">
        <v>4192.6400000000003</v>
      </c>
      <c r="H43" s="34">
        <f t="shared" si="13"/>
        <v>0.22640256000000003</v>
      </c>
      <c r="I43" s="35">
        <v>0</v>
      </c>
      <c r="J43" s="35">
        <v>0</v>
      </c>
      <c r="K43" s="35">
        <v>0</v>
      </c>
      <c r="L43" s="35">
        <v>0</v>
      </c>
      <c r="M43" s="35">
        <f t="shared" ref="M43:M46" si="14">F43/2*G43</f>
        <v>113.20128000000001</v>
      </c>
      <c r="N43" s="35">
        <v>0</v>
      </c>
      <c r="O43" s="35">
        <v>0</v>
      </c>
      <c r="P43" s="35">
        <v>0</v>
      </c>
      <c r="Q43" s="35">
        <f>F43/2*G43</f>
        <v>113.20128000000001</v>
      </c>
      <c r="R43" s="35">
        <v>0</v>
      </c>
      <c r="S43" s="35">
        <v>0</v>
      </c>
      <c r="T43" s="35">
        <v>0</v>
      </c>
      <c r="U43" s="35">
        <f>SUM(Q43:T43)</f>
        <v>113.20128000000001</v>
      </c>
    </row>
    <row r="44" spans="1:23" ht="12.75" customHeight="1">
      <c r="A44" s="132" t="s">
        <v>166</v>
      </c>
      <c r="B44" s="10" t="s">
        <v>51</v>
      </c>
      <c r="C44" s="25" t="s">
        <v>28</v>
      </c>
      <c r="D44" s="10" t="s">
        <v>49</v>
      </c>
      <c r="E44" s="32">
        <v>772</v>
      </c>
      <c r="F44" s="33">
        <f>SUM(E44*2/1000)</f>
        <v>1.544</v>
      </c>
      <c r="G44" s="51">
        <v>1711.28</v>
      </c>
      <c r="H44" s="34">
        <f t="shared" si="13"/>
        <v>2.6422163200000002</v>
      </c>
      <c r="I44" s="35">
        <v>0</v>
      </c>
      <c r="J44" s="35">
        <v>0</v>
      </c>
      <c r="K44" s="35">
        <v>0</v>
      </c>
      <c r="L44" s="35">
        <v>0</v>
      </c>
      <c r="M44" s="35">
        <f t="shared" si="14"/>
        <v>1321.10816</v>
      </c>
      <c r="N44" s="35">
        <v>0</v>
      </c>
      <c r="O44" s="35">
        <v>0</v>
      </c>
      <c r="P44" s="35">
        <v>0</v>
      </c>
      <c r="Q44" s="35">
        <f>F44/2*G44</f>
        <v>1321.10816</v>
      </c>
      <c r="R44" s="35">
        <v>0</v>
      </c>
      <c r="S44" s="35">
        <v>0</v>
      </c>
      <c r="T44" s="35">
        <v>0</v>
      </c>
      <c r="U44" s="35">
        <f>SUM(Q44:T44)</f>
        <v>1321.10816</v>
      </c>
    </row>
    <row r="45" spans="1:23">
      <c r="A45" s="132" t="s">
        <v>167</v>
      </c>
      <c r="B45" s="10" t="s">
        <v>52</v>
      </c>
      <c r="C45" s="25" t="s">
        <v>28</v>
      </c>
      <c r="D45" s="10" t="s">
        <v>49</v>
      </c>
      <c r="E45" s="32">
        <v>959.4</v>
      </c>
      <c r="F45" s="33">
        <f>SUM(E45*2/1000)</f>
        <v>1.9188000000000001</v>
      </c>
      <c r="G45" s="51">
        <v>1179.73</v>
      </c>
      <c r="H45" s="34">
        <f t="shared" si="13"/>
        <v>2.2636659240000001</v>
      </c>
      <c r="I45" s="35">
        <v>0</v>
      </c>
      <c r="J45" s="35">
        <v>0</v>
      </c>
      <c r="K45" s="35">
        <v>0</v>
      </c>
      <c r="L45" s="35">
        <v>0</v>
      </c>
      <c r="M45" s="35">
        <f t="shared" si="14"/>
        <v>1131.832962</v>
      </c>
      <c r="N45" s="35">
        <v>0</v>
      </c>
      <c r="O45" s="35">
        <v>0</v>
      </c>
      <c r="P45" s="35">
        <v>0</v>
      </c>
      <c r="Q45" s="35">
        <f>F45/2*G45</f>
        <v>1131.832962</v>
      </c>
      <c r="R45" s="35">
        <v>0</v>
      </c>
      <c r="S45" s="35">
        <v>0</v>
      </c>
      <c r="T45" s="35">
        <v>0</v>
      </c>
      <c r="U45" s="35">
        <f>SUM(Q45:T45)</f>
        <v>1131.832962</v>
      </c>
    </row>
    <row r="46" spans="1:23">
      <c r="A46" s="132" t="s">
        <v>168</v>
      </c>
      <c r="B46" s="10" t="s">
        <v>103</v>
      </c>
      <c r="C46" s="25" t="s">
        <v>104</v>
      </c>
      <c r="D46" s="10" t="s">
        <v>49</v>
      </c>
      <c r="E46" s="32">
        <v>66.02</v>
      </c>
      <c r="F46" s="33">
        <f>SUM(E46*2/100)</f>
        <v>1.3204</v>
      </c>
      <c r="G46" s="51">
        <v>90.61</v>
      </c>
      <c r="H46" s="34">
        <f t="shared" si="13"/>
        <v>0.11964144400000001</v>
      </c>
      <c r="I46" s="35">
        <v>0</v>
      </c>
      <c r="J46" s="35">
        <v>0</v>
      </c>
      <c r="K46" s="35">
        <v>0</v>
      </c>
      <c r="L46" s="35">
        <v>0</v>
      </c>
      <c r="M46" s="35">
        <f t="shared" si="14"/>
        <v>59.820722000000004</v>
      </c>
      <c r="N46" s="35">
        <v>0</v>
      </c>
      <c r="O46" s="35">
        <v>0</v>
      </c>
      <c r="P46" s="35">
        <v>0</v>
      </c>
      <c r="Q46" s="35">
        <f>F46/2*G46</f>
        <v>59.820722000000004</v>
      </c>
      <c r="R46" s="35">
        <v>0</v>
      </c>
      <c r="S46" s="35">
        <v>0</v>
      </c>
      <c r="T46" s="35">
        <v>0</v>
      </c>
      <c r="U46" s="35">
        <f>SUM(Q46:T46)</f>
        <v>59.820722000000004</v>
      </c>
    </row>
    <row r="47" spans="1:23" ht="25.5">
      <c r="A47" s="132" t="s">
        <v>169</v>
      </c>
      <c r="B47" s="10" t="s">
        <v>53</v>
      </c>
      <c r="C47" s="25" t="s">
        <v>28</v>
      </c>
      <c r="D47" s="10" t="s">
        <v>190</v>
      </c>
      <c r="E47" s="32">
        <v>1536.4</v>
      </c>
      <c r="F47" s="33">
        <f>SUM(E47*5/1000)</f>
        <v>7.6820000000000004</v>
      </c>
      <c r="G47" s="51">
        <v>1711.28</v>
      </c>
      <c r="H47" s="34">
        <f t="shared" si="13"/>
        <v>13.14605296</v>
      </c>
      <c r="I47" s="35">
        <f>F47/5*G47</f>
        <v>2629.2105919999999</v>
      </c>
      <c r="J47" s="35">
        <f>F47/5*G47</f>
        <v>2629.2105919999999</v>
      </c>
      <c r="K47" s="35">
        <v>0</v>
      </c>
      <c r="L47" s="35">
        <v>0</v>
      </c>
      <c r="M47" s="35">
        <f>F47/5*G47</f>
        <v>2629.2105919999999</v>
      </c>
      <c r="N47" s="35">
        <v>0</v>
      </c>
      <c r="O47" s="35">
        <v>0</v>
      </c>
      <c r="P47" s="35">
        <v>0</v>
      </c>
      <c r="Q47" s="35">
        <f>F47/5*G47</f>
        <v>2629.2105919999999</v>
      </c>
      <c r="R47" s="35">
        <v>0</v>
      </c>
      <c r="S47" s="35">
        <v>0</v>
      </c>
      <c r="T47" s="35">
        <f>F47/5*G47</f>
        <v>2629.2105919999999</v>
      </c>
      <c r="U47" s="35">
        <f t="shared" ref="U47:U51" si="15">SUM(Q47:T47)</f>
        <v>5258.4211839999998</v>
      </c>
    </row>
    <row r="48" spans="1:23" ht="38.25" customHeight="1">
      <c r="A48" s="132" t="s">
        <v>170</v>
      </c>
      <c r="B48" s="10" t="s">
        <v>54</v>
      </c>
      <c r="C48" s="25" t="s">
        <v>28</v>
      </c>
      <c r="D48" s="10" t="s">
        <v>49</v>
      </c>
      <c r="E48" s="32">
        <v>1536.4</v>
      </c>
      <c r="F48" s="33">
        <f>SUM(E48*2/1000)</f>
        <v>3.0728</v>
      </c>
      <c r="G48" s="51">
        <v>1510.06</v>
      </c>
      <c r="H48" s="34">
        <f t="shared" si="13"/>
        <v>4.6401123680000005</v>
      </c>
      <c r="I48" s="35">
        <v>0</v>
      </c>
      <c r="J48" s="35">
        <v>0</v>
      </c>
      <c r="K48" s="35">
        <v>0</v>
      </c>
      <c r="L48" s="35">
        <v>0</v>
      </c>
      <c r="M48" s="35">
        <f>F48/2*G48</f>
        <v>2320.056184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f>F48/2*G48</f>
        <v>2320.056184</v>
      </c>
      <c r="T48" s="35">
        <v>0</v>
      </c>
      <c r="U48" s="35">
        <f t="shared" si="15"/>
        <v>2320.056184</v>
      </c>
    </row>
    <row r="49" spans="1:23" ht="25.5" customHeight="1">
      <c r="A49" s="132" t="s">
        <v>171</v>
      </c>
      <c r="B49" s="10" t="s">
        <v>55</v>
      </c>
      <c r="C49" s="25" t="s">
        <v>56</v>
      </c>
      <c r="D49" s="10" t="s">
        <v>49</v>
      </c>
      <c r="E49" s="32">
        <v>9</v>
      </c>
      <c r="F49" s="33">
        <f>SUM(E49*2/100)</f>
        <v>0.18</v>
      </c>
      <c r="G49" s="51">
        <v>3850.4</v>
      </c>
      <c r="H49" s="34">
        <f t="shared" si="13"/>
        <v>0.69307200000000002</v>
      </c>
      <c r="I49" s="35">
        <v>0</v>
      </c>
      <c r="J49" s="35">
        <v>0</v>
      </c>
      <c r="K49" s="35">
        <v>0</v>
      </c>
      <c r="L49" s="35">
        <f>F49/2*G49</f>
        <v>346.536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f t="shared" ref="S49:S50" si="16">F49/2*G49</f>
        <v>346.536</v>
      </c>
      <c r="T49" s="35">
        <v>0</v>
      </c>
      <c r="U49" s="35">
        <f t="shared" si="15"/>
        <v>346.536</v>
      </c>
    </row>
    <row r="50" spans="1:23">
      <c r="A50" s="132" t="s">
        <v>172</v>
      </c>
      <c r="B50" s="10" t="s">
        <v>57</v>
      </c>
      <c r="C50" s="25" t="s">
        <v>58</v>
      </c>
      <c r="D50" s="10" t="s">
        <v>49</v>
      </c>
      <c r="E50" s="32">
        <v>1</v>
      </c>
      <c r="F50" s="33">
        <v>0.02</v>
      </c>
      <c r="G50" s="51">
        <v>7033.13</v>
      </c>
      <c r="H50" s="34">
        <f t="shared" si="13"/>
        <v>0.1406626</v>
      </c>
      <c r="I50" s="35">
        <v>0</v>
      </c>
      <c r="J50" s="35">
        <v>0</v>
      </c>
      <c r="K50" s="35">
        <v>0</v>
      </c>
      <c r="L50" s="35">
        <f>F50/2*G50</f>
        <v>70.331299999999999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f t="shared" si="16"/>
        <v>70.331299999999999</v>
      </c>
      <c r="T50" s="35">
        <v>0</v>
      </c>
      <c r="U50" s="35">
        <f t="shared" si="15"/>
        <v>70.331299999999999</v>
      </c>
    </row>
    <row r="51" spans="1:23" ht="13.5" customHeight="1">
      <c r="A51" s="132" t="s">
        <v>60</v>
      </c>
      <c r="B51" s="10" t="s">
        <v>61</v>
      </c>
      <c r="C51" s="25" t="s">
        <v>59</v>
      </c>
      <c r="D51" s="10" t="s">
        <v>31</v>
      </c>
      <c r="E51" s="32">
        <v>53</v>
      </c>
      <c r="F51" s="33">
        <v>53</v>
      </c>
      <c r="G51" s="52">
        <v>81.73</v>
      </c>
      <c r="H51" s="34">
        <f t="shared" si="13"/>
        <v>4.3316900000000009</v>
      </c>
      <c r="I51" s="35">
        <f>E51*G51</f>
        <v>4331.6900000000005</v>
      </c>
      <c r="J51" s="35">
        <v>0</v>
      </c>
      <c r="K51" s="35">
        <v>0</v>
      </c>
      <c r="L51" s="35">
        <f>E51*G51</f>
        <v>4331.6900000000005</v>
      </c>
      <c r="M51" s="35">
        <v>0</v>
      </c>
      <c r="N51" s="35">
        <v>0</v>
      </c>
      <c r="O51" s="35">
        <v>0</v>
      </c>
      <c r="P51" s="35">
        <f>E51*G51</f>
        <v>4331.6900000000005</v>
      </c>
      <c r="Q51" s="35">
        <v>0</v>
      </c>
      <c r="R51" s="35">
        <v>0</v>
      </c>
      <c r="S51" s="35">
        <v>0</v>
      </c>
      <c r="T51" s="35">
        <v>0</v>
      </c>
      <c r="U51" s="35">
        <f t="shared" si="15"/>
        <v>0</v>
      </c>
    </row>
    <row r="52" spans="1:23" s="21" customFormat="1">
      <c r="A52" s="133"/>
      <c r="B52" s="20" t="s">
        <v>25</v>
      </c>
      <c r="C52" s="53"/>
      <c r="D52" s="20"/>
      <c r="E52" s="54"/>
      <c r="F52" s="55"/>
      <c r="G52" s="55"/>
      <c r="H52" s="47">
        <f>SUM(H42:H51)</f>
        <v>30.532739384000003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>
        <f>SUM(U42:U51)</f>
        <v>11785.919395999999</v>
      </c>
      <c r="V52" s="146"/>
      <c r="W52" s="146"/>
    </row>
    <row r="53" spans="1:23">
      <c r="A53" s="132"/>
      <c r="B53" s="12" t="s">
        <v>62</v>
      </c>
      <c r="C53" s="25"/>
      <c r="D53" s="10"/>
      <c r="E53" s="32"/>
      <c r="F53" s="33"/>
      <c r="G53" s="33"/>
      <c r="H53" s="34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</row>
    <row r="54" spans="1:23" ht="38.25" customHeight="1">
      <c r="A54" s="132" t="s">
        <v>173</v>
      </c>
      <c r="B54" s="10" t="s">
        <v>137</v>
      </c>
      <c r="C54" s="25" t="s">
        <v>13</v>
      </c>
      <c r="D54" s="10" t="s">
        <v>63</v>
      </c>
      <c r="E54" s="32">
        <v>11.5</v>
      </c>
      <c r="F54" s="33">
        <f>SUM(E54*6/100)</f>
        <v>0.69</v>
      </c>
      <c r="G54" s="51">
        <v>2306.62</v>
      </c>
      <c r="H54" s="34">
        <f>SUM(F54*G54/1000)</f>
        <v>1.5915677999999998</v>
      </c>
      <c r="I54" s="35">
        <f>F54/6*G54</f>
        <v>265.26129999999995</v>
      </c>
      <c r="J54" s="35">
        <f>F54/6*G54</f>
        <v>265.26129999999995</v>
      </c>
      <c r="K54" s="35">
        <f>F54/6*G54</f>
        <v>265.26129999999995</v>
      </c>
      <c r="L54" s="35">
        <f>F54/6*G54</f>
        <v>265.26129999999995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f>F54/6*G54</f>
        <v>265.26129999999995</v>
      </c>
      <c r="T54" s="35">
        <f>F54/6*G54</f>
        <v>265.26129999999995</v>
      </c>
      <c r="U54" s="35">
        <f>SUM(Q54:T54)</f>
        <v>530.5225999999999</v>
      </c>
    </row>
    <row r="55" spans="1:23" ht="12.75" customHeight="1">
      <c r="A55" s="132" t="s">
        <v>125</v>
      </c>
      <c r="B55" s="10" t="s">
        <v>126</v>
      </c>
      <c r="C55" s="25" t="s">
        <v>191</v>
      </c>
      <c r="D55" s="10" t="s">
        <v>38</v>
      </c>
      <c r="E55" s="32"/>
      <c r="F55" s="33">
        <v>2</v>
      </c>
      <c r="G55" s="141">
        <v>1501</v>
      </c>
      <c r="H55" s="34">
        <f>SUM(F55*G55/1000)</f>
        <v>3.0019999999999998</v>
      </c>
      <c r="I55" s="35"/>
      <c r="J55" s="35"/>
      <c r="K55" s="35"/>
      <c r="L55" s="35"/>
      <c r="M55" s="35"/>
      <c r="N55" s="35"/>
      <c r="O55" s="35"/>
      <c r="P55" s="35"/>
      <c r="Q55" s="35">
        <v>0</v>
      </c>
      <c r="R55" s="35">
        <v>0</v>
      </c>
      <c r="S55" s="35">
        <v>0</v>
      </c>
      <c r="T55" s="35">
        <v>0</v>
      </c>
      <c r="U55" s="35">
        <f t="shared" ref="U55:U76" si="17">SUM(Q55:T55)</f>
        <v>0</v>
      </c>
    </row>
    <row r="56" spans="1:23">
      <c r="A56" s="132"/>
      <c r="B56" s="11" t="s">
        <v>64</v>
      </c>
      <c r="C56" s="25"/>
      <c r="D56" s="10"/>
      <c r="E56" s="32"/>
      <c r="F56" s="33"/>
      <c r="G56" s="142"/>
      <c r="H56" s="34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</row>
    <row r="57" spans="1:23">
      <c r="A57" s="132" t="s">
        <v>174</v>
      </c>
      <c r="B57" s="10" t="s">
        <v>97</v>
      </c>
      <c r="C57" s="25" t="s">
        <v>13</v>
      </c>
      <c r="D57" s="10" t="s">
        <v>31</v>
      </c>
      <c r="E57" s="32">
        <v>148</v>
      </c>
      <c r="F57" s="34">
        <f>E57/100</f>
        <v>1.48</v>
      </c>
      <c r="G57" s="51">
        <v>987.51</v>
      </c>
      <c r="H57" s="58">
        <f>F57*G57/1000</f>
        <v>1.4615148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0</v>
      </c>
      <c r="U57" s="35">
        <f t="shared" si="17"/>
        <v>0</v>
      </c>
    </row>
    <row r="58" spans="1:23">
      <c r="A58" s="140"/>
      <c r="B58" s="60" t="s">
        <v>192</v>
      </c>
      <c r="C58" s="59" t="s">
        <v>193</v>
      </c>
      <c r="D58" s="60" t="s">
        <v>194</v>
      </c>
      <c r="E58" s="61">
        <v>140.5</v>
      </c>
      <c r="F58" s="33">
        <f>E58*12</f>
        <v>1686</v>
      </c>
      <c r="G58" s="143">
        <v>2.59</v>
      </c>
      <c r="H58" s="58">
        <f>F58*G58/1000</f>
        <v>4.3667400000000001</v>
      </c>
      <c r="I58" s="35"/>
      <c r="J58" s="35"/>
      <c r="K58" s="35"/>
      <c r="L58" s="35"/>
      <c r="M58" s="35"/>
      <c r="N58" s="35"/>
      <c r="O58" s="35"/>
      <c r="P58" s="35"/>
      <c r="Q58" s="35">
        <f>F58/12*G58</f>
        <v>363.89499999999998</v>
      </c>
      <c r="R58" s="35">
        <f>F58/12*G58</f>
        <v>363.89499999999998</v>
      </c>
      <c r="S58" s="35">
        <f>F58/12*G58</f>
        <v>363.89499999999998</v>
      </c>
      <c r="T58" s="35">
        <f>F58/12*G58</f>
        <v>363.89499999999998</v>
      </c>
      <c r="U58" s="35">
        <f t="shared" si="17"/>
        <v>1455.58</v>
      </c>
    </row>
    <row r="59" spans="1:23">
      <c r="A59" s="140"/>
      <c r="B59" s="15" t="s">
        <v>65</v>
      </c>
      <c r="C59" s="59"/>
      <c r="D59" s="60"/>
      <c r="E59" s="61"/>
      <c r="F59" s="62"/>
      <c r="G59" s="62"/>
      <c r="H59" s="63" t="s">
        <v>42</v>
      </c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1:23" ht="12.75" customHeight="1">
      <c r="A60" s="64" t="s">
        <v>175</v>
      </c>
      <c r="B60" s="16" t="s">
        <v>66</v>
      </c>
      <c r="C60" s="64" t="s">
        <v>59</v>
      </c>
      <c r="D60" s="8" t="s">
        <v>38</v>
      </c>
      <c r="E60" s="65">
        <v>2</v>
      </c>
      <c r="F60" s="33">
        <f>E60</f>
        <v>2</v>
      </c>
      <c r="G60" s="51">
        <v>276.74</v>
      </c>
      <c r="H60" s="118">
        <f t="shared" ref="H60:H76" si="18">SUM(F60*G60/1000)</f>
        <v>0.55347999999999997</v>
      </c>
      <c r="I60" s="35">
        <v>0</v>
      </c>
      <c r="J60" s="35">
        <v>0</v>
      </c>
      <c r="K60" s="35">
        <v>0</v>
      </c>
      <c r="L60" s="35">
        <f>G60</f>
        <v>276.74</v>
      </c>
      <c r="M60" s="35">
        <f>G60</f>
        <v>276.74</v>
      </c>
      <c r="N60" s="35">
        <f>G60*2</f>
        <v>553.48</v>
      </c>
      <c r="O60" s="35">
        <f>G60</f>
        <v>276.74</v>
      </c>
      <c r="P60" s="35">
        <f>G60</f>
        <v>276.74</v>
      </c>
      <c r="Q60" s="35">
        <f>G60*3</f>
        <v>830.22</v>
      </c>
      <c r="R60" s="35">
        <f>G60</f>
        <v>276.74</v>
      </c>
      <c r="S60" s="35">
        <f>G60</f>
        <v>276.74</v>
      </c>
      <c r="T60" s="35">
        <f>G60*3</f>
        <v>830.22</v>
      </c>
      <c r="U60" s="35">
        <f t="shared" si="17"/>
        <v>2213.92</v>
      </c>
    </row>
    <row r="61" spans="1:23" ht="12.75" customHeight="1">
      <c r="A61" s="64" t="s">
        <v>176</v>
      </c>
      <c r="B61" s="16" t="s">
        <v>67</v>
      </c>
      <c r="C61" s="64" t="s">
        <v>59</v>
      </c>
      <c r="D61" s="8" t="s">
        <v>38</v>
      </c>
      <c r="E61" s="65">
        <v>1</v>
      </c>
      <c r="F61" s="33">
        <f>E61</f>
        <v>1</v>
      </c>
      <c r="G61" s="51">
        <v>94.89</v>
      </c>
      <c r="H61" s="118">
        <f t="shared" si="18"/>
        <v>9.4890000000000002E-2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f t="shared" si="17"/>
        <v>0</v>
      </c>
    </row>
    <row r="62" spans="1:23" s="1" customFormat="1">
      <c r="A62" s="66" t="s">
        <v>177</v>
      </c>
      <c r="B62" s="16" t="s">
        <v>68</v>
      </c>
      <c r="C62" s="66" t="s">
        <v>69</v>
      </c>
      <c r="D62" s="8" t="s">
        <v>31</v>
      </c>
      <c r="E62" s="32">
        <v>6307</v>
      </c>
      <c r="F62" s="52">
        <f>SUM(E62/100)</f>
        <v>63.07</v>
      </c>
      <c r="G62" s="51">
        <v>263.99</v>
      </c>
      <c r="H62" s="118">
        <f t="shared" si="18"/>
        <v>16.649849300000003</v>
      </c>
      <c r="I62" s="50">
        <v>0</v>
      </c>
      <c r="J62" s="50">
        <v>0</v>
      </c>
      <c r="K62" s="50">
        <v>0</v>
      </c>
      <c r="L62" s="50">
        <v>0</v>
      </c>
      <c r="M62" s="50">
        <f>F62*G62</f>
        <v>16649.849300000002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35">
        <f t="shared" si="17"/>
        <v>0</v>
      </c>
      <c r="V62" s="146"/>
      <c r="W62" s="146"/>
    </row>
    <row r="63" spans="1:23" ht="12.75" customHeight="1">
      <c r="A63" s="64" t="s">
        <v>178</v>
      </c>
      <c r="B63" s="16" t="s">
        <v>70</v>
      </c>
      <c r="C63" s="64" t="s">
        <v>71</v>
      </c>
      <c r="D63" s="8"/>
      <c r="E63" s="32">
        <v>6307</v>
      </c>
      <c r="F63" s="51">
        <f>SUM(E63/1000)</f>
        <v>6.3070000000000004</v>
      </c>
      <c r="G63" s="51">
        <v>205.57</v>
      </c>
      <c r="H63" s="118">
        <f t="shared" si="18"/>
        <v>1.29652999</v>
      </c>
      <c r="I63" s="35">
        <v>0</v>
      </c>
      <c r="J63" s="35">
        <v>0</v>
      </c>
      <c r="K63" s="35">
        <v>0</v>
      </c>
      <c r="L63" s="35">
        <v>0</v>
      </c>
      <c r="M63" s="35">
        <f>F63*G63</f>
        <v>1296.52999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f t="shared" si="17"/>
        <v>0</v>
      </c>
    </row>
    <row r="64" spans="1:23">
      <c r="A64" s="64" t="s">
        <v>179</v>
      </c>
      <c r="B64" s="16" t="s">
        <v>72</v>
      </c>
      <c r="C64" s="64" t="s">
        <v>73</v>
      </c>
      <c r="D64" s="8" t="s">
        <v>31</v>
      </c>
      <c r="E64" s="32">
        <v>1003</v>
      </c>
      <c r="F64" s="51">
        <f>SUM(E64/100)</f>
        <v>10.029999999999999</v>
      </c>
      <c r="G64" s="51">
        <v>2581.5300000000002</v>
      </c>
      <c r="H64" s="118">
        <f t="shared" si="18"/>
        <v>25.892745900000001</v>
      </c>
      <c r="I64" s="35">
        <v>0</v>
      </c>
      <c r="J64" s="35">
        <v>0</v>
      </c>
      <c r="K64" s="35">
        <v>0</v>
      </c>
      <c r="L64" s="35">
        <v>0</v>
      </c>
      <c r="M64" s="35">
        <f>F64*G64</f>
        <v>25892.745900000002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f t="shared" si="17"/>
        <v>0</v>
      </c>
    </row>
    <row r="65" spans="1:23">
      <c r="A65" s="64"/>
      <c r="B65" s="17" t="s">
        <v>99</v>
      </c>
      <c r="C65" s="64" t="s">
        <v>36</v>
      </c>
      <c r="D65" s="8"/>
      <c r="E65" s="32">
        <v>6.6</v>
      </c>
      <c r="F65" s="51">
        <f>SUM(E65)</f>
        <v>6.6</v>
      </c>
      <c r="G65" s="51">
        <v>47.75</v>
      </c>
      <c r="H65" s="118">
        <f t="shared" si="18"/>
        <v>0.31514999999999999</v>
      </c>
      <c r="I65" s="35">
        <v>0</v>
      </c>
      <c r="J65" s="35">
        <v>0</v>
      </c>
      <c r="K65" s="35">
        <v>0</v>
      </c>
      <c r="L65" s="35">
        <v>0</v>
      </c>
      <c r="M65" s="35">
        <f>F65*G65</f>
        <v>315.14999999999998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f t="shared" si="17"/>
        <v>0</v>
      </c>
    </row>
    <row r="66" spans="1:23" ht="12.75" customHeight="1">
      <c r="A66" s="135"/>
      <c r="B66" s="17" t="s">
        <v>100</v>
      </c>
      <c r="C66" s="64" t="s">
        <v>36</v>
      </c>
      <c r="D66" s="8"/>
      <c r="E66" s="32">
        <v>6.6</v>
      </c>
      <c r="F66" s="51">
        <f>SUM(E66)</f>
        <v>6.6</v>
      </c>
      <c r="G66" s="51">
        <v>44.27</v>
      </c>
      <c r="H66" s="118">
        <f t="shared" si="18"/>
        <v>0.292182</v>
      </c>
      <c r="I66" s="35">
        <v>0</v>
      </c>
      <c r="J66" s="35">
        <v>0</v>
      </c>
      <c r="K66" s="35">
        <v>0</v>
      </c>
      <c r="L66" s="35">
        <v>0</v>
      </c>
      <c r="M66" s="35">
        <f>F66*G66</f>
        <v>292.18200000000002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5">
        <f t="shared" si="17"/>
        <v>0</v>
      </c>
    </row>
    <row r="67" spans="1:23">
      <c r="A67" s="64" t="s">
        <v>180</v>
      </c>
      <c r="B67" s="8" t="s">
        <v>74</v>
      </c>
      <c r="C67" s="64" t="s">
        <v>75</v>
      </c>
      <c r="D67" s="8" t="s">
        <v>31</v>
      </c>
      <c r="E67" s="65">
        <v>3</v>
      </c>
      <c r="F67" s="33">
        <v>3</v>
      </c>
      <c r="G67" s="51">
        <v>62.07</v>
      </c>
      <c r="H67" s="118">
        <f t="shared" si="18"/>
        <v>0.18621000000000001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f>F67*G67</f>
        <v>186.21</v>
      </c>
      <c r="R67" s="35">
        <v>0</v>
      </c>
      <c r="S67" s="35">
        <v>0</v>
      </c>
      <c r="T67" s="35">
        <v>0</v>
      </c>
      <c r="U67" s="35">
        <f t="shared" si="17"/>
        <v>186.21</v>
      </c>
    </row>
    <row r="68" spans="1:23" ht="25.5">
      <c r="A68" s="64"/>
      <c r="B68" s="8" t="s">
        <v>195</v>
      </c>
      <c r="C68" s="128" t="s">
        <v>196</v>
      </c>
      <c r="D68" s="8" t="s">
        <v>194</v>
      </c>
      <c r="E68" s="65">
        <v>1536.4</v>
      </c>
      <c r="F68" s="57">
        <f>E68*12</f>
        <v>18436.800000000003</v>
      </c>
      <c r="G68" s="51">
        <v>2.16</v>
      </c>
      <c r="H68" s="118">
        <f t="shared" ref="H68" si="19">SUM(F68*G68/1000)</f>
        <v>39.823488000000012</v>
      </c>
      <c r="I68" s="35"/>
      <c r="J68" s="35"/>
      <c r="K68" s="35"/>
      <c r="L68" s="35"/>
      <c r="M68" s="35"/>
      <c r="N68" s="35"/>
      <c r="O68" s="35"/>
      <c r="P68" s="35"/>
      <c r="Q68" s="35">
        <f>F68/12*G68</f>
        <v>3318.6240000000007</v>
      </c>
      <c r="R68" s="35">
        <f>F68/12*G68</f>
        <v>3318.6240000000007</v>
      </c>
      <c r="S68" s="35">
        <f>F68/12*G68</f>
        <v>3318.6240000000007</v>
      </c>
      <c r="T68" s="35">
        <f>F68/12*G68</f>
        <v>3318.6240000000007</v>
      </c>
      <c r="U68" s="35">
        <f t="shared" si="17"/>
        <v>13274.496000000003</v>
      </c>
    </row>
    <row r="69" spans="1:23">
      <c r="A69" s="135"/>
      <c r="B69" s="18" t="s">
        <v>76</v>
      </c>
      <c r="C69" s="64"/>
      <c r="D69" s="8"/>
      <c r="E69" s="65"/>
      <c r="F69" s="51"/>
      <c r="G69" s="51"/>
      <c r="H69" s="118" t="s">
        <v>42</v>
      </c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3">
      <c r="A70" s="64" t="s">
        <v>197</v>
      </c>
      <c r="B70" s="8" t="s">
        <v>198</v>
      </c>
      <c r="C70" s="64" t="s">
        <v>199</v>
      </c>
      <c r="D70" s="8" t="s">
        <v>38</v>
      </c>
      <c r="E70" s="65">
        <v>1</v>
      </c>
      <c r="F70" s="51">
        <f>E70</f>
        <v>1</v>
      </c>
      <c r="G70" s="51">
        <v>976.4</v>
      </c>
      <c r="H70" s="118">
        <f t="shared" ref="H70:H71" si="20">SUM(F70*G70/1000)</f>
        <v>0.97639999999999993</v>
      </c>
      <c r="I70" s="35"/>
      <c r="J70" s="35"/>
      <c r="K70" s="35"/>
      <c r="L70" s="35"/>
      <c r="M70" s="35"/>
      <c r="N70" s="35"/>
      <c r="O70" s="35"/>
      <c r="P70" s="35"/>
      <c r="Q70" s="35">
        <v>0</v>
      </c>
      <c r="R70" s="35">
        <v>0</v>
      </c>
      <c r="S70" s="35">
        <v>0</v>
      </c>
      <c r="T70" s="35">
        <v>0</v>
      </c>
      <c r="U70" s="35">
        <f t="shared" si="17"/>
        <v>0</v>
      </c>
    </row>
    <row r="71" spans="1:23">
      <c r="A71" s="64" t="s">
        <v>133</v>
      </c>
      <c r="B71" s="8" t="s">
        <v>200</v>
      </c>
      <c r="C71" s="64" t="s">
        <v>201</v>
      </c>
      <c r="D71" s="8"/>
      <c r="E71" s="65">
        <v>1</v>
      </c>
      <c r="F71" s="51">
        <v>1</v>
      </c>
      <c r="G71" s="51">
        <v>650</v>
      </c>
      <c r="H71" s="118">
        <f t="shared" si="20"/>
        <v>0.65</v>
      </c>
      <c r="I71" s="35"/>
      <c r="J71" s="35"/>
      <c r="K71" s="35"/>
      <c r="L71" s="35"/>
      <c r="M71" s="35"/>
      <c r="N71" s="35"/>
      <c r="O71" s="35"/>
      <c r="P71" s="35"/>
      <c r="Q71" s="35">
        <v>0</v>
      </c>
      <c r="R71" s="35">
        <v>0</v>
      </c>
      <c r="S71" s="35">
        <v>0</v>
      </c>
      <c r="T71" s="35">
        <v>0</v>
      </c>
      <c r="U71" s="35">
        <f t="shared" si="17"/>
        <v>0</v>
      </c>
    </row>
    <row r="72" spans="1:23">
      <c r="A72" s="64" t="s">
        <v>181</v>
      </c>
      <c r="B72" s="8" t="s">
        <v>77</v>
      </c>
      <c r="C72" s="64" t="s">
        <v>78</v>
      </c>
      <c r="D72" s="8"/>
      <c r="E72" s="65">
        <v>3</v>
      </c>
      <c r="F72" s="51">
        <v>0.3</v>
      </c>
      <c r="G72" s="51">
        <v>624.16999999999996</v>
      </c>
      <c r="H72" s="118">
        <f t="shared" si="18"/>
        <v>0.18725099999999997</v>
      </c>
      <c r="I72" s="35">
        <v>0</v>
      </c>
      <c r="J72" s="35">
        <v>0</v>
      </c>
      <c r="K72" s="35">
        <v>0</v>
      </c>
      <c r="L72" s="35">
        <v>0</v>
      </c>
      <c r="M72" s="35">
        <f>G72*0.2</f>
        <v>124.834</v>
      </c>
      <c r="N72" s="35">
        <f>G72*0.2</f>
        <v>124.834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f t="shared" si="17"/>
        <v>0</v>
      </c>
    </row>
    <row r="73" spans="1:23">
      <c r="A73" s="64" t="s">
        <v>182</v>
      </c>
      <c r="B73" s="8" t="s">
        <v>101</v>
      </c>
      <c r="C73" s="64" t="s">
        <v>33</v>
      </c>
      <c r="D73" s="8"/>
      <c r="E73" s="65">
        <v>1</v>
      </c>
      <c r="F73" s="57">
        <v>1</v>
      </c>
      <c r="G73" s="51">
        <v>1061.4100000000001</v>
      </c>
      <c r="H73" s="118">
        <f>F73*G73/1000</f>
        <v>1.0614100000000002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f t="shared" si="17"/>
        <v>0</v>
      </c>
    </row>
    <row r="74" spans="1:23" ht="25.5">
      <c r="A74" s="144" t="s">
        <v>202</v>
      </c>
      <c r="B74" s="127" t="s">
        <v>204</v>
      </c>
      <c r="C74" s="126" t="s">
        <v>59</v>
      </c>
      <c r="D74" s="8" t="s">
        <v>203</v>
      </c>
      <c r="E74" s="65">
        <v>1</v>
      </c>
      <c r="F74" s="51">
        <f>E74*12</f>
        <v>12</v>
      </c>
      <c r="G74" s="51">
        <v>50.69</v>
      </c>
      <c r="H74" s="118">
        <f>G74*F74/1000</f>
        <v>0.60827999999999993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f>G74</f>
        <v>50.69</v>
      </c>
      <c r="R74" s="35">
        <f>G74</f>
        <v>50.69</v>
      </c>
      <c r="S74" s="35">
        <f>G74</f>
        <v>50.69</v>
      </c>
      <c r="T74" s="35">
        <f>G74</f>
        <v>50.69</v>
      </c>
      <c r="U74" s="35">
        <f t="shared" si="17"/>
        <v>202.76</v>
      </c>
    </row>
    <row r="75" spans="1:23">
      <c r="A75" s="135"/>
      <c r="B75" s="68" t="s">
        <v>79</v>
      </c>
      <c r="C75" s="64"/>
      <c r="D75" s="8"/>
      <c r="E75" s="65"/>
      <c r="F75" s="51"/>
      <c r="G75" s="51" t="s">
        <v>42</v>
      </c>
      <c r="H75" s="118" t="s">
        <v>42</v>
      </c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</row>
    <row r="76" spans="1:23" s="1" customFormat="1">
      <c r="A76" s="66" t="s">
        <v>80</v>
      </c>
      <c r="B76" s="69" t="s">
        <v>81</v>
      </c>
      <c r="C76" s="66" t="s">
        <v>73</v>
      </c>
      <c r="D76" s="16"/>
      <c r="E76" s="70"/>
      <c r="F76" s="52">
        <v>0.1</v>
      </c>
      <c r="G76" s="52">
        <v>3433.69</v>
      </c>
      <c r="H76" s="118">
        <f t="shared" si="18"/>
        <v>0.34336900000000004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35">
        <f t="shared" si="17"/>
        <v>0</v>
      </c>
      <c r="V76" s="146"/>
      <c r="W76" s="146"/>
    </row>
    <row r="77" spans="1:23" s="21" customFormat="1">
      <c r="A77" s="136"/>
      <c r="B77" s="20" t="s">
        <v>25</v>
      </c>
      <c r="C77" s="71"/>
      <c r="D77" s="72"/>
      <c r="E77" s="73"/>
      <c r="F77" s="56"/>
      <c r="G77" s="56"/>
      <c r="H77" s="74">
        <f>SUM(H54:H76)</f>
        <v>99.353057790000008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>
        <f>SUM(U54:U76)</f>
        <v>17863.488600000001</v>
      </c>
      <c r="V77" s="146"/>
      <c r="W77" s="146"/>
    </row>
    <row r="78" spans="1:23">
      <c r="A78" s="137" t="s">
        <v>123</v>
      </c>
      <c r="B78" s="10" t="s">
        <v>124</v>
      </c>
      <c r="C78" s="75"/>
      <c r="D78" s="76"/>
      <c r="E78" s="124"/>
      <c r="F78" s="77">
        <v>1</v>
      </c>
      <c r="G78" s="78">
        <v>5637.8</v>
      </c>
      <c r="H78" s="118">
        <f>G78*F78/1000</f>
        <v>5.6378000000000004</v>
      </c>
      <c r="I78" s="35">
        <v>0</v>
      </c>
      <c r="J78" s="35">
        <v>0</v>
      </c>
      <c r="K78" s="35">
        <v>0</v>
      </c>
      <c r="L78" s="35">
        <v>0</v>
      </c>
      <c r="M78" s="36">
        <v>0</v>
      </c>
      <c r="N78" s="35">
        <v>0</v>
      </c>
      <c r="O78" s="35">
        <v>0</v>
      </c>
      <c r="P78" s="35">
        <v>0</v>
      </c>
      <c r="Q78" s="35">
        <v>0</v>
      </c>
      <c r="R78" s="35">
        <f>G78</f>
        <v>5637.8</v>
      </c>
      <c r="S78" s="35">
        <v>0</v>
      </c>
      <c r="T78" s="35">
        <v>0</v>
      </c>
      <c r="U78" s="35">
        <f>SUM(Q78:T78)</f>
        <v>5637.8</v>
      </c>
    </row>
    <row r="79" spans="1:23" ht="12.75" customHeight="1">
      <c r="A79" s="64"/>
      <c r="B79" s="11" t="s">
        <v>82</v>
      </c>
      <c r="C79" s="64" t="s">
        <v>83</v>
      </c>
      <c r="D79" s="79"/>
      <c r="E79" s="51">
        <v>1536.4</v>
      </c>
      <c r="F79" s="51">
        <f>SUM(E79*12)</f>
        <v>18436.800000000003</v>
      </c>
      <c r="G79" s="80">
        <v>2.95</v>
      </c>
      <c r="H79" s="118">
        <f>SUM(F79*G79/1000)</f>
        <v>54.388560000000012</v>
      </c>
      <c r="I79" s="35">
        <f>F79/12*G79</f>
        <v>4532.380000000001</v>
      </c>
      <c r="J79" s="35">
        <f>F79/12*G79</f>
        <v>4532.380000000001</v>
      </c>
      <c r="K79" s="35">
        <f>F79/12*G79</f>
        <v>4532.380000000001</v>
      </c>
      <c r="L79" s="35">
        <f>F79/12*G79</f>
        <v>4532.380000000001</v>
      </c>
      <c r="M79" s="35">
        <f>F79/12*G79</f>
        <v>4532.380000000001</v>
      </c>
      <c r="N79" s="35">
        <f>F79/12*G79</f>
        <v>4532.380000000001</v>
      </c>
      <c r="O79" s="35">
        <f>F79/12*G79</f>
        <v>4532.380000000001</v>
      </c>
      <c r="P79" s="35">
        <f>F79/12*G79</f>
        <v>4532.380000000001</v>
      </c>
      <c r="Q79" s="35">
        <f>F79/12*G79</f>
        <v>4532.380000000001</v>
      </c>
      <c r="R79" s="35">
        <f>F79/12*G79</f>
        <v>4532.380000000001</v>
      </c>
      <c r="S79" s="35">
        <f>F79/12*G79</f>
        <v>4532.380000000001</v>
      </c>
      <c r="T79" s="35">
        <f>F79/12*G79</f>
        <v>4532.380000000001</v>
      </c>
      <c r="U79" s="35">
        <f>SUM(Q79:T79)</f>
        <v>18129.520000000004</v>
      </c>
    </row>
    <row r="80" spans="1:23" s="19" customFormat="1">
      <c r="A80" s="81"/>
      <c r="B80" s="20" t="s">
        <v>25</v>
      </c>
      <c r="C80" s="82"/>
      <c r="D80" s="83"/>
      <c r="E80" s="84"/>
      <c r="F80" s="42"/>
      <c r="G80" s="85"/>
      <c r="H80" s="43">
        <f>SUM(H78:H79)</f>
        <v>60.026360000000011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>
        <f>SUM(U78:U79)</f>
        <v>23767.320000000003</v>
      </c>
      <c r="V80" s="146"/>
      <c r="W80" s="146"/>
    </row>
    <row r="81" spans="1:23" ht="25.5" customHeight="1">
      <c r="A81" s="135"/>
      <c r="B81" s="8" t="s">
        <v>84</v>
      </c>
      <c r="C81" s="64"/>
      <c r="D81" s="86"/>
      <c r="E81" s="32">
        <f>E79</f>
        <v>1536.4</v>
      </c>
      <c r="F81" s="51">
        <f>E81*12</f>
        <v>18436.800000000003</v>
      </c>
      <c r="G81" s="51">
        <v>3.05</v>
      </c>
      <c r="H81" s="118">
        <f>F81*G81/1000</f>
        <v>56.232240000000004</v>
      </c>
      <c r="I81" s="35">
        <f>F81/12*G81</f>
        <v>4686.0200000000004</v>
      </c>
      <c r="J81" s="35">
        <f>F81/12*G81</f>
        <v>4686.0200000000004</v>
      </c>
      <c r="K81" s="35">
        <f>F81/12*G81</f>
        <v>4686.0200000000004</v>
      </c>
      <c r="L81" s="35">
        <f>F81/12*G81</f>
        <v>4686.0200000000004</v>
      </c>
      <c r="M81" s="35">
        <f>F81/12*G81</f>
        <v>4686.0200000000004</v>
      </c>
      <c r="N81" s="35">
        <f>F81/12*G81</f>
        <v>4686.0200000000004</v>
      </c>
      <c r="O81" s="35">
        <f>F81/12*G81</f>
        <v>4686.0200000000004</v>
      </c>
      <c r="P81" s="35">
        <f>F81/12*G81</f>
        <v>4686.0200000000004</v>
      </c>
      <c r="Q81" s="35">
        <f>F81/12*G81</f>
        <v>4686.0200000000004</v>
      </c>
      <c r="R81" s="35">
        <f>F81/12*G81</f>
        <v>4686.0200000000004</v>
      </c>
      <c r="S81" s="35">
        <f>F81/12*G81</f>
        <v>4686.0200000000004</v>
      </c>
      <c r="T81" s="35">
        <f>F81/12*G81</f>
        <v>4686.0200000000004</v>
      </c>
      <c r="U81" s="35">
        <f>SUM(Q81:T81)</f>
        <v>18744.080000000002</v>
      </c>
    </row>
    <row r="82" spans="1:23" s="19" customFormat="1">
      <c r="A82" s="81"/>
      <c r="B82" s="87" t="s">
        <v>85</v>
      </c>
      <c r="C82" s="88"/>
      <c r="D82" s="87"/>
      <c r="E82" s="42"/>
      <c r="F82" s="42"/>
      <c r="G82" s="42"/>
      <c r="H82" s="74">
        <f>H81</f>
        <v>56.232240000000004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120">
        <f>U81</f>
        <v>18744.080000000002</v>
      </c>
      <c r="V82" s="146"/>
      <c r="W82" s="146"/>
    </row>
    <row r="83" spans="1:23" s="19" customFormat="1">
      <c r="A83" s="81"/>
      <c r="B83" s="87" t="s">
        <v>86</v>
      </c>
      <c r="C83" s="89"/>
      <c r="D83" s="90"/>
      <c r="E83" s="91"/>
      <c r="F83" s="91"/>
      <c r="G83" s="91"/>
      <c r="H83" s="74">
        <f>SUM(H82+H80+H77+H52+H40+H32+H22)</f>
        <v>431.90500084266671</v>
      </c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120">
        <f>SUM(U82+U80+U77+U52+U40+U32+U22)</f>
        <v>133022.35618422221</v>
      </c>
      <c r="V83" s="146"/>
      <c r="W83" s="146"/>
    </row>
    <row r="84" spans="1:23">
      <c r="A84" s="135"/>
      <c r="B84" s="86" t="s">
        <v>87</v>
      </c>
      <c r="C84" s="64"/>
      <c r="D84" s="86"/>
      <c r="E84" s="51"/>
      <c r="F84" s="51"/>
      <c r="G84" s="51" t="s">
        <v>88</v>
      </c>
      <c r="H84" s="92">
        <f>E81</f>
        <v>1536.4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</row>
    <row r="85" spans="1:23" s="19" customFormat="1">
      <c r="A85" s="81"/>
      <c r="B85" s="90" t="s">
        <v>89</v>
      </c>
      <c r="C85" s="89"/>
      <c r="D85" s="90"/>
      <c r="E85" s="91"/>
      <c r="F85" s="91"/>
      <c r="G85" s="91"/>
      <c r="H85" s="93">
        <f>SUM(H83/H84/12*1000)</f>
        <v>23.426245381121813</v>
      </c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121"/>
      <c r="V85" s="146"/>
      <c r="W85" s="146"/>
    </row>
    <row r="86" spans="1:23">
      <c r="A86" s="94"/>
      <c r="B86" s="86"/>
      <c r="C86" s="64"/>
      <c r="D86" s="86"/>
      <c r="E86" s="51"/>
      <c r="F86" s="51"/>
      <c r="G86" s="51"/>
      <c r="H86" s="9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122"/>
    </row>
    <row r="87" spans="1:23">
      <c r="A87" s="135"/>
      <c r="B87" s="68" t="s">
        <v>90</v>
      </c>
      <c r="C87" s="64"/>
      <c r="D87" s="86"/>
      <c r="E87" s="51"/>
      <c r="F87" s="51"/>
      <c r="G87" s="51"/>
      <c r="H87" s="5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</row>
    <row r="88" spans="1:23" ht="25.5">
      <c r="A88" s="126" t="s">
        <v>183</v>
      </c>
      <c r="B88" s="127" t="s">
        <v>118</v>
      </c>
      <c r="C88" s="116" t="s">
        <v>59</v>
      </c>
      <c r="D88" s="86"/>
      <c r="E88" s="51"/>
      <c r="F88" s="51">
        <v>104</v>
      </c>
      <c r="G88" s="51">
        <v>50.68</v>
      </c>
      <c r="H88" s="51">
        <f t="shared" ref="H88:H92" si="21">G88*F88/1000</f>
        <v>5.2707199999999998</v>
      </c>
      <c r="I88" s="35">
        <f>G88*27</f>
        <v>1368.36</v>
      </c>
      <c r="J88" s="35">
        <f>G88*27</f>
        <v>1368.36</v>
      </c>
      <c r="K88" s="35">
        <f>G88*27</f>
        <v>1368.36</v>
      </c>
      <c r="L88" s="35">
        <f>G88*27</f>
        <v>1368.36</v>
      </c>
      <c r="M88" s="35">
        <f>G88*27</f>
        <v>1368.36</v>
      </c>
      <c r="N88" s="35">
        <f>G88*27</f>
        <v>1368.36</v>
      </c>
      <c r="O88" s="35">
        <f>G88*27</f>
        <v>1368.36</v>
      </c>
      <c r="P88" s="35">
        <f>G88*27</f>
        <v>1368.36</v>
      </c>
      <c r="Q88" s="35">
        <f>G88*26</f>
        <v>1317.68</v>
      </c>
      <c r="R88" s="35">
        <f>G88*26</f>
        <v>1317.68</v>
      </c>
      <c r="S88" s="35">
        <f>G88*26</f>
        <v>1317.68</v>
      </c>
      <c r="T88" s="35">
        <f>G88*26</f>
        <v>1317.68</v>
      </c>
      <c r="U88" s="35">
        <f>SUM(Q88:T88)</f>
        <v>5270.72</v>
      </c>
    </row>
    <row r="89" spans="1:23">
      <c r="A89" s="126" t="s">
        <v>206</v>
      </c>
      <c r="B89" s="127" t="s">
        <v>205</v>
      </c>
      <c r="C89" s="116" t="s">
        <v>59</v>
      </c>
      <c r="D89" s="86"/>
      <c r="E89" s="51"/>
      <c r="F89" s="51">
        <v>1</v>
      </c>
      <c r="G89" s="51">
        <v>379.22</v>
      </c>
      <c r="H89" s="51">
        <f t="shared" si="21"/>
        <v>0.37922</v>
      </c>
      <c r="I89" s="35"/>
      <c r="J89" s="35"/>
      <c r="K89" s="35"/>
      <c r="L89" s="35"/>
      <c r="M89" s="35"/>
      <c r="N89" s="35"/>
      <c r="O89" s="35"/>
      <c r="P89" s="35"/>
      <c r="Q89" s="35">
        <v>0</v>
      </c>
      <c r="R89" s="35">
        <f>G89</f>
        <v>379.22</v>
      </c>
      <c r="S89" s="35">
        <v>0</v>
      </c>
      <c r="T89" s="35">
        <v>0</v>
      </c>
      <c r="U89" s="35">
        <f t="shared" ref="U89:U93" si="22">SUM(Q89:T89)</f>
        <v>379.22</v>
      </c>
    </row>
    <row r="90" spans="1:23">
      <c r="A90" s="147" t="s">
        <v>211</v>
      </c>
      <c r="B90" s="148" t="s">
        <v>212</v>
      </c>
      <c r="C90" s="149" t="s">
        <v>78</v>
      </c>
      <c r="D90" s="86"/>
      <c r="E90" s="51"/>
      <c r="F90" s="51">
        <f>0.2</f>
        <v>0.2</v>
      </c>
      <c r="G90" s="51">
        <v>3295.72</v>
      </c>
      <c r="H90" s="51">
        <f t="shared" si="21"/>
        <v>0.65914399999999995</v>
      </c>
      <c r="I90" s="35"/>
      <c r="J90" s="35"/>
      <c r="K90" s="35"/>
      <c r="L90" s="35"/>
      <c r="M90" s="35"/>
      <c r="N90" s="35"/>
      <c r="O90" s="35"/>
      <c r="P90" s="35"/>
      <c r="Q90" s="35">
        <v>0</v>
      </c>
      <c r="R90" s="35">
        <v>0</v>
      </c>
      <c r="S90" s="35">
        <f>G90*0.2</f>
        <v>659.14400000000001</v>
      </c>
      <c r="T90" s="35">
        <v>0</v>
      </c>
      <c r="U90" s="35">
        <f t="shared" si="22"/>
        <v>659.14400000000001</v>
      </c>
    </row>
    <row r="91" spans="1:23" ht="25.5">
      <c r="A91" s="126" t="s">
        <v>207</v>
      </c>
      <c r="B91" s="127" t="s">
        <v>119</v>
      </c>
      <c r="C91" s="117" t="s">
        <v>120</v>
      </c>
      <c r="D91" s="86"/>
      <c r="E91" s="51"/>
      <c r="F91" s="51">
        <v>2</v>
      </c>
      <c r="G91" s="51">
        <v>195.95</v>
      </c>
      <c r="H91" s="118">
        <f t="shared" si="21"/>
        <v>0.39189999999999997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f>G91*2</f>
        <v>391.9</v>
      </c>
      <c r="T91" s="35">
        <v>0</v>
      </c>
      <c r="U91" s="35">
        <f t="shared" si="22"/>
        <v>391.9</v>
      </c>
    </row>
    <row r="92" spans="1:23" ht="25.5">
      <c r="A92" s="145" t="s">
        <v>215</v>
      </c>
      <c r="B92" s="127" t="s">
        <v>213</v>
      </c>
      <c r="C92" s="126" t="s">
        <v>214</v>
      </c>
      <c r="D92" s="86"/>
      <c r="E92" s="51"/>
      <c r="F92" s="51">
        <v>2</v>
      </c>
      <c r="G92" s="51">
        <v>559.62</v>
      </c>
      <c r="H92" s="118">
        <f t="shared" si="21"/>
        <v>1.11924</v>
      </c>
      <c r="I92" s="35"/>
      <c r="J92" s="35"/>
      <c r="K92" s="35"/>
      <c r="L92" s="35"/>
      <c r="M92" s="35"/>
      <c r="N92" s="35"/>
      <c r="O92" s="35"/>
      <c r="P92" s="35"/>
      <c r="Q92" s="35">
        <v>0</v>
      </c>
      <c r="R92" s="35">
        <v>0</v>
      </c>
      <c r="S92" s="35">
        <v>0</v>
      </c>
      <c r="T92" s="35">
        <f>G92*2</f>
        <v>1119.24</v>
      </c>
      <c r="U92" s="35">
        <f t="shared" si="22"/>
        <v>1119.24</v>
      </c>
    </row>
    <row r="93" spans="1:23" ht="25.5" customHeight="1">
      <c r="A93" s="126" t="s">
        <v>171</v>
      </c>
      <c r="B93" s="127" t="s">
        <v>128</v>
      </c>
      <c r="C93" s="116" t="s">
        <v>56</v>
      </c>
      <c r="D93" s="86"/>
      <c r="E93" s="51"/>
      <c r="F93" s="51">
        <v>0.02</v>
      </c>
      <c r="G93" s="51">
        <v>3397.65</v>
      </c>
      <c r="H93" s="118">
        <f>G93*F93/1000</f>
        <v>6.7953E-2</v>
      </c>
      <c r="I93" s="35">
        <v>0</v>
      </c>
      <c r="J93" s="35">
        <v>0</v>
      </c>
      <c r="K93" s="35">
        <v>0</v>
      </c>
      <c r="L93" s="35">
        <v>0</v>
      </c>
      <c r="M93" s="35">
        <f>G93*0.03</f>
        <v>101.9295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f>G93*0.02</f>
        <v>67.953000000000003</v>
      </c>
      <c r="U93" s="35">
        <f t="shared" si="22"/>
        <v>67.953000000000003</v>
      </c>
    </row>
    <row r="94" spans="1:23" ht="25.5" customHeight="1">
      <c r="A94" s="145" t="s">
        <v>184</v>
      </c>
      <c r="B94" s="127" t="s">
        <v>138</v>
      </c>
      <c r="C94" s="126" t="s">
        <v>59</v>
      </c>
      <c r="D94" s="86"/>
      <c r="E94" s="51"/>
      <c r="F94" s="51">
        <v>1</v>
      </c>
      <c r="G94" s="51">
        <v>79.09</v>
      </c>
      <c r="H94" s="118">
        <f>G94*F94/1000</f>
        <v>7.9090000000000008E-2</v>
      </c>
      <c r="I94" s="35">
        <v>0</v>
      </c>
      <c r="J94" s="35">
        <v>0</v>
      </c>
      <c r="K94" s="35">
        <v>0</v>
      </c>
      <c r="L94" s="35">
        <v>0</v>
      </c>
      <c r="M94" s="35">
        <f>G94</f>
        <v>79.09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f>G94</f>
        <v>79.09</v>
      </c>
      <c r="U94" s="35">
        <f>SUM(Q94:T94)</f>
        <v>79.09</v>
      </c>
    </row>
    <row r="95" spans="1:23" s="19" customFormat="1">
      <c r="A95" s="96"/>
      <c r="B95" s="97" t="s">
        <v>91</v>
      </c>
      <c r="C95" s="96"/>
      <c r="D95" s="96"/>
      <c r="E95" s="91"/>
      <c r="F95" s="91"/>
      <c r="G95" s="91"/>
      <c r="H95" s="43">
        <f>SUM(H88:H94)</f>
        <v>7.9672669999999997</v>
      </c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42">
        <f>SUM(U88:U94)</f>
        <v>7967.2670000000007</v>
      </c>
      <c r="V95" s="146"/>
      <c r="W95" s="146"/>
    </row>
    <row r="96" spans="1:23">
      <c r="A96" s="94"/>
      <c r="B96" s="98"/>
      <c r="C96" s="99"/>
      <c r="D96" s="99"/>
      <c r="E96" s="51"/>
      <c r="F96" s="51"/>
      <c r="G96" s="51"/>
      <c r="H96" s="100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123"/>
    </row>
    <row r="97" spans="1:23" ht="12" customHeight="1">
      <c r="A97" s="135"/>
      <c r="B97" s="18" t="s">
        <v>92</v>
      </c>
      <c r="C97" s="64"/>
      <c r="D97" s="86"/>
      <c r="E97" s="51"/>
      <c r="F97" s="51"/>
      <c r="G97" s="51"/>
      <c r="H97" s="101">
        <f>H95/E98/12*1000</f>
        <v>0.43213936257918939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123"/>
    </row>
    <row r="98" spans="1:23" s="19" customFormat="1">
      <c r="A98" s="81"/>
      <c r="B98" s="102" t="s">
        <v>93</v>
      </c>
      <c r="C98" s="103"/>
      <c r="D98" s="102"/>
      <c r="E98" s="138">
        <v>1536.4</v>
      </c>
      <c r="F98" s="104">
        <f>SUM(E98*12)</f>
        <v>18436.800000000003</v>
      </c>
      <c r="G98" s="105">
        <f>H85+H97</f>
        <v>23.858384743701002</v>
      </c>
      <c r="H98" s="106">
        <f>SUM(F98*G98/1000)</f>
        <v>439.8722678426667</v>
      </c>
      <c r="I98" s="91">
        <f t="shared" ref="I98:R98" si="23">SUM(I11:I97)</f>
        <v>34097.650489</v>
      </c>
      <c r="J98" s="91">
        <f t="shared" si="23"/>
        <v>29765.960489000001</v>
      </c>
      <c r="K98" s="91">
        <f t="shared" si="23"/>
        <v>27136.749897000002</v>
      </c>
      <c r="L98" s="91">
        <f t="shared" si="23"/>
        <v>32162.047197000004</v>
      </c>
      <c r="M98" s="91">
        <f t="shared" si="23"/>
        <v>79866.954599111123</v>
      </c>
      <c r="N98" s="91">
        <f t="shared" si="23"/>
        <v>25387.783829111115</v>
      </c>
      <c r="O98" s="91">
        <f t="shared" si="23"/>
        <v>24986.209829111114</v>
      </c>
      <c r="P98" s="91">
        <f t="shared" si="23"/>
        <v>29317.899829111117</v>
      </c>
      <c r="Q98" s="91">
        <f t="shared" si="23"/>
        <v>35874.885485111117</v>
      </c>
      <c r="R98" s="91">
        <f t="shared" si="23"/>
        <v>34685.75882911111</v>
      </c>
      <c r="S98" s="91">
        <f>SUM(S11:S97)</f>
        <v>34883.986381000002</v>
      </c>
      <c r="T98" s="91">
        <f>SUM(T11:T97)</f>
        <v>35544.992488999997</v>
      </c>
      <c r="U98" s="42">
        <f>U83+U95</f>
        <v>140989.6231842222</v>
      </c>
      <c r="V98" s="146"/>
      <c r="W98" s="146"/>
    </row>
    <row r="99" spans="1:23">
      <c r="A99" s="67"/>
      <c r="B99" s="67"/>
      <c r="C99" s="67"/>
      <c r="D99" s="67"/>
      <c r="E99" s="107"/>
      <c r="F99" s="107"/>
      <c r="G99" s="107"/>
      <c r="H99" s="107"/>
      <c r="I99" s="107"/>
      <c r="J99" s="107"/>
      <c r="K99" s="107"/>
      <c r="L99" s="107"/>
      <c r="M99" s="67"/>
      <c r="N99" s="107"/>
      <c r="O99" s="67"/>
      <c r="P99" s="67"/>
      <c r="Q99" s="67"/>
      <c r="R99" s="67"/>
      <c r="S99" s="67"/>
      <c r="T99" s="67"/>
      <c r="U99" s="67"/>
    </row>
    <row r="100" spans="1:23">
      <c r="A100" s="67"/>
      <c r="B100" s="67"/>
      <c r="C100" s="67"/>
      <c r="D100" s="67"/>
      <c r="E100" s="107"/>
      <c r="F100" s="107"/>
      <c r="G100" s="107"/>
      <c r="H100" s="107"/>
      <c r="I100" s="107"/>
      <c r="J100" s="108"/>
      <c r="K100" s="109"/>
      <c r="L100" s="108"/>
      <c r="M100" s="107"/>
      <c r="N100" s="67"/>
      <c r="O100" s="67"/>
      <c r="P100" s="67"/>
      <c r="Q100" s="67"/>
      <c r="R100" s="67"/>
      <c r="S100" s="67"/>
      <c r="T100" s="67"/>
      <c r="U100" s="67"/>
    </row>
    <row r="101" spans="1:23" ht="45">
      <c r="A101" s="67"/>
      <c r="B101" s="110" t="s">
        <v>127</v>
      </c>
      <c r="C101" s="154">
        <v>12616.56</v>
      </c>
      <c r="D101" s="155"/>
      <c r="E101" s="155"/>
      <c r="F101" s="156"/>
      <c r="G101" s="107"/>
      <c r="H101" s="107"/>
      <c r="I101" s="107"/>
      <c r="J101" s="108"/>
      <c r="K101" s="109"/>
      <c r="L101" s="108"/>
      <c r="M101" s="107"/>
      <c r="N101" s="67"/>
      <c r="O101" s="67"/>
      <c r="P101" s="67"/>
      <c r="Q101" s="67"/>
      <c r="R101" s="67"/>
      <c r="S101" s="67"/>
      <c r="T101" s="67"/>
      <c r="U101" s="67"/>
    </row>
    <row r="102" spans="1:23" ht="30">
      <c r="A102" s="67"/>
      <c r="B102" s="22" t="s">
        <v>129</v>
      </c>
      <c r="C102" s="158">
        <f>(35014.57*8)+(43787.4*4)</f>
        <v>455266.16000000003</v>
      </c>
      <c r="D102" s="159"/>
      <c r="E102" s="159"/>
      <c r="F102" s="160"/>
      <c r="G102" s="107"/>
      <c r="H102" s="107"/>
      <c r="I102" s="107"/>
      <c r="J102" s="108"/>
      <c r="K102" s="109"/>
      <c r="L102" s="108"/>
      <c r="M102" s="107"/>
      <c r="N102" s="67"/>
      <c r="O102" s="67"/>
      <c r="P102" s="67"/>
      <c r="Q102" s="67"/>
      <c r="R102" s="67"/>
      <c r="S102" s="67"/>
      <c r="T102" s="67"/>
      <c r="U102" s="67"/>
    </row>
    <row r="103" spans="1:23" ht="30">
      <c r="A103" s="67"/>
      <c r="B103" s="22" t="s">
        <v>130</v>
      </c>
      <c r="C103" s="158">
        <f>SUM(U98-U95)+284837.56</f>
        <v>417859.91618422221</v>
      </c>
      <c r="D103" s="159"/>
      <c r="E103" s="159"/>
      <c r="F103" s="160"/>
      <c r="G103" s="107"/>
      <c r="H103" s="107"/>
      <c r="I103" s="107"/>
      <c r="J103" s="108"/>
      <c r="K103" s="109"/>
      <c r="L103" s="108"/>
      <c r="M103" s="107"/>
      <c r="N103" s="67"/>
      <c r="O103" s="67"/>
      <c r="P103" s="67"/>
      <c r="Q103" s="67"/>
      <c r="R103" s="67"/>
      <c r="S103" s="67"/>
      <c r="T103" s="67"/>
      <c r="U103" s="67"/>
    </row>
    <row r="104" spans="1:23" ht="30">
      <c r="A104" s="67"/>
      <c r="B104" s="22" t="s">
        <v>131</v>
      </c>
      <c r="C104" s="158">
        <f>SUM(U95)+245929.24</f>
        <v>253896.50699999998</v>
      </c>
      <c r="D104" s="159"/>
      <c r="E104" s="159"/>
      <c r="F104" s="160"/>
      <c r="G104" s="107"/>
      <c r="H104" s="107"/>
      <c r="I104" s="107"/>
      <c r="J104" s="108"/>
      <c r="K104" s="109"/>
      <c r="L104" s="108"/>
      <c r="M104" s="107"/>
      <c r="N104" s="67"/>
      <c r="O104" s="67"/>
      <c r="P104" s="67"/>
      <c r="Q104" s="67"/>
      <c r="R104" s="67"/>
      <c r="S104" s="67"/>
      <c r="T104" s="67"/>
      <c r="U104" s="67"/>
    </row>
    <row r="105" spans="1:23" ht="18">
      <c r="A105" s="67"/>
      <c r="B105" s="119" t="s">
        <v>132</v>
      </c>
      <c r="C105" s="158">
        <f>(31892.95+25201.32+36912.8+37088.87+47460.24+32371.72+30878.43+28553.35)+36539.29+43839.82+44169.24+48249.37</f>
        <v>443157.39999999997</v>
      </c>
      <c r="D105" s="159"/>
      <c r="E105" s="159"/>
      <c r="F105" s="160"/>
      <c r="G105" s="67"/>
      <c r="H105" s="111" t="s">
        <v>102</v>
      </c>
      <c r="J105" s="112"/>
      <c r="K105" s="113"/>
      <c r="L105" s="114"/>
      <c r="M105" s="111"/>
      <c r="N105" s="111"/>
      <c r="O105" s="67"/>
      <c r="P105" s="67"/>
      <c r="Q105" s="67"/>
      <c r="R105" s="67"/>
      <c r="S105" s="67"/>
      <c r="T105" s="67"/>
      <c r="U105" s="67"/>
    </row>
    <row r="106" spans="1:23" ht="78.75">
      <c r="A106" s="67"/>
      <c r="B106" s="23" t="s">
        <v>209</v>
      </c>
      <c r="C106" s="161">
        <v>59101.16</v>
      </c>
      <c r="D106" s="162"/>
      <c r="E106" s="162"/>
      <c r="F106" s="163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</row>
    <row r="107" spans="1:23" ht="45">
      <c r="A107" s="67"/>
      <c r="B107" s="115" t="s">
        <v>210</v>
      </c>
      <c r="C107" s="157">
        <f>(C103+C104)-C102+C101</f>
        <v>229106.82318422216</v>
      </c>
      <c r="D107" s="155"/>
      <c r="E107" s="155"/>
      <c r="F107" s="156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</row>
    <row r="109" spans="1:23">
      <c r="J109" s="3"/>
      <c r="K109" s="4"/>
      <c r="L109" s="4"/>
      <c r="M109" s="2"/>
    </row>
    <row r="110" spans="1:23">
      <c r="G110" s="5"/>
      <c r="H110" s="5"/>
    </row>
    <row r="111" spans="1:23">
      <c r="G111" s="6"/>
    </row>
  </sheetData>
  <mergeCells count="11">
    <mergeCell ref="C107:F107"/>
    <mergeCell ref="C102:F102"/>
    <mergeCell ref="C103:F103"/>
    <mergeCell ref="C104:F104"/>
    <mergeCell ref="C105:F105"/>
    <mergeCell ref="C106:F106"/>
    <mergeCell ref="B3:L3"/>
    <mergeCell ref="B4:L4"/>
    <mergeCell ref="B5:L5"/>
    <mergeCell ref="B6:L6"/>
    <mergeCell ref="C101:F101"/>
  </mergeCells>
  <pageMargins left="0.31496062992125984" right="0.31496062992125984" top="0.15748031496062992" bottom="0.19685039370078741" header="0.15748031496062992" footer="0.15748031496062992"/>
  <pageSetup paperSize="9" scale="3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Окт.,49</vt:lpstr>
      <vt:lpstr>'Окт.,49'!Область_печати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2018-02-26T12:34:06Z</dcterms:modified>
</cp:coreProperties>
</file>