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40" windowWidth="15450" windowHeight="11280" activeTab="11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1.17" sheetId="27" r:id="rId11"/>
    <sheet name="12.17" sheetId="28" r:id="rId12"/>
  </sheets>
  <definedNames>
    <definedName name="_xlnm._FilterDatabase" localSheetId="0" hidden="1">'01.17'!$I$12:$I$61</definedName>
    <definedName name="_xlnm._FilterDatabase" localSheetId="1" hidden="1">'02.17'!$I$12:$I$61</definedName>
    <definedName name="_xlnm._FilterDatabase" localSheetId="2" hidden="1">'03.17'!$I$12:$I$61</definedName>
    <definedName name="_xlnm._FilterDatabase" localSheetId="3" hidden="1">'04.17'!$I$12:$I$61</definedName>
    <definedName name="_xlnm._FilterDatabase" localSheetId="4" hidden="1">'05.17'!$I$12:$I$61</definedName>
    <definedName name="_xlnm._FilterDatabase" localSheetId="5" hidden="1">'06.17'!$I$12:$I$61</definedName>
    <definedName name="_xlnm._FilterDatabase" localSheetId="6" hidden="1">'07.17'!$I$12:$I$61</definedName>
    <definedName name="_xlnm._FilterDatabase" localSheetId="7" hidden="1">'08.17'!$I$12:$I$61</definedName>
    <definedName name="_xlnm._FilterDatabase" localSheetId="8" hidden="1">'09.17'!$I$12:$I$60</definedName>
    <definedName name="_xlnm._FilterDatabase" localSheetId="9" hidden="1">'10.17'!$I$12:$I$61</definedName>
    <definedName name="_xlnm._FilterDatabase" localSheetId="10" hidden="1">'11.17'!$I$12:$I$61</definedName>
    <definedName name="_xlnm._FilterDatabase" localSheetId="11" hidden="1">'12.17'!$I$12:$I$61</definedName>
    <definedName name="_xlnm.Print_Area" localSheetId="0">'01.17'!$A$1:$I$131</definedName>
    <definedName name="_xlnm.Print_Area" localSheetId="1">'02.17'!$A$1:$I$112</definedName>
    <definedName name="_xlnm.Print_Area" localSheetId="2">'03.17'!$A$1:$I$112</definedName>
    <definedName name="_xlnm.Print_Area" localSheetId="3">'04.17'!$A$1:$I$112</definedName>
    <definedName name="_xlnm.Print_Area" localSheetId="4">'05.17'!$A$1:$I$108</definedName>
    <definedName name="_xlnm.Print_Area" localSheetId="5">'06.17'!$A$1:$I$114</definedName>
    <definedName name="_xlnm.Print_Area" localSheetId="6">'07.17'!$A$1:$I$117</definedName>
    <definedName name="_xlnm.Print_Area" localSheetId="7">'08.17'!$A$1:$I$113</definedName>
    <definedName name="_xlnm.Print_Area" localSheetId="8">'09.17'!$A$1:$I$107</definedName>
    <definedName name="_xlnm.Print_Area" localSheetId="9">'10.17'!$A$1:$I$111</definedName>
    <definedName name="_xlnm.Print_Area" localSheetId="10">'11.17'!$A$1:$I$111</definedName>
    <definedName name="_xlnm.Print_Area" localSheetId="11">'12.17'!$A$1:$I$112</definedName>
  </definedNames>
  <calcPr calcId="124519"/>
</workbook>
</file>

<file path=xl/calcChain.xml><?xml version="1.0" encoding="utf-8"?>
<calcChain xmlns="http://schemas.openxmlformats.org/spreadsheetml/2006/main">
  <c r="I82" i="28"/>
  <c r="I82" i="27"/>
  <c r="F42" i="20"/>
  <c r="H42" s="1"/>
  <c r="I42" i="19"/>
  <c r="F42"/>
  <c r="H42" s="1"/>
  <c r="I82" i="18"/>
  <c r="I82" i="17"/>
  <c r="I42" i="20" l="1"/>
  <c r="I88" i="28" l="1"/>
  <c r="F88"/>
  <c r="H88" s="1"/>
  <c r="H86"/>
  <c r="I85"/>
  <c r="H85"/>
  <c r="I87"/>
  <c r="H87"/>
  <c r="I86"/>
  <c r="I84"/>
  <c r="H84"/>
  <c r="E81"/>
  <c r="F81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H19"/>
  <c r="F19"/>
  <c r="E18"/>
  <c r="F18" s="1"/>
  <c r="F17"/>
  <c r="I17" s="1"/>
  <c r="F16"/>
  <c r="H16" s="1"/>
  <c r="I87" i="27"/>
  <c r="H87"/>
  <c r="I86"/>
  <c r="H86"/>
  <c r="I85"/>
  <c r="H85"/>
  <c r="I84"/>
  <c r="H84"/>
  <c r="E81"/>
  <c r="F81" s="1"/>
  <c r="F80"/>
  <c r="I80" s="1"/>
  <c r="H78"/>
  <c r="H76"/>
  <c r="H74"/>
  <c r="H73"/>
  <c r="H72"/>
  <c r="I70"/>
  <c r="H70"/>
  <c r="H69"/>
  <c r="F69"/>
  <c r="I69" s="1"/>
  <c r="F68"/>
  <c r="I68" s="1"/>
  <c r="H67"/>
  <c r="F67"/>
  <c r="I67" s="1"/>
  <c r="F66"/>
  <c r="I66" s="1"/>
  <c r="H65"/>
  <c r="F65"/>
  <c r="I65" s="1"/>
  <c r="H64"/>
  <c r="H63"/>
  <c r="F61"/>
  <c r="I61" s="1"/>
  <c r="H60"/>
  <c r="H59"/>
  <c r="F57"/>
  <c r="I57" s="1"/>
  <c r="I54"/>
  <c r="F54"/>
  <c r="H54" s="1"/>
  <c r="H53"/>
  <c r="H52"/>
  <c r="F52"/>
  <c r="H51"/>
  <c r="F51"/>
  <c r="F50"/>
  <c r="I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F40"/>
  <c r="I40" s="1"/>
  <c r="F39"/>
  <c r="I39" s="1"/>
  <c r="I38"/>
  <c r="H38"/>
  <c r="H36"/>
  <c r="H35"/>
  <c r="H34"/>
  <c r="F34"/>
  <c r="I34" s="1"/>
  <c r="I33"/>
  <c r="H33"/>
  <c r="F32"/>
  <c r="I32" s="1"/>
  <c r="F31"/>
  <c r="I31" s="1"/>
  <c r="F30"/>
  <c r="I30" s="1"/>
  <c r="H27"/>
  <c r="F27"/>
  <c r="I27" s="1"/>
  <c r="F26"/>
  <c r="I26" s="1"/>
  <c r="F25"/>
  <c r="H25" s="1"/>
  <c r="F24"/>
  <c r="H24" s="1"/>
  <c r="F23"/>
  <c r="H23" s="1"/>
  <c r="F22"/>
  <c r="H22" s="1"/>
  <c r="H21"/>
  <c r="F21"/>
  <c r="I21" s="1"/>
  <c r="F20"/>
  <c r="I20" s="1"/>
  <c r="F19"/>
  <c r="H19" s="1"/>
  <c r="E18"/>
  <c r="F18" s="1"/>
  <c r="H17"/>
  <c r="F17"/>
  <c r="I17" s="1"/>
  <c r="F16"/>
  <c r="H16" s="1"/>
  <c r="I87" i="26"/>
  <c r="I86"/>
  <c r="F87"/>
  <c r="H87" s="1"/>
  <c r="H86"/>
  <c r="I85"/>
  <c r="H85"/>
  <c r="I90" i="22"/>
  <c r="H42" i="27" l="1"/>
  <c r="I89" i="28"/>
  <c r="H81"/>
  <c r="H82" s="1"/>
  <c r="I81"/>
  <c r="I18"/>
  <c r="H18"/>
  <c r="I16"/>
  <c r="H17"/>
  <c r="I20"/>
  <c r="H21"/>
  <c r="I26"/>
  <c r="H27"/>
  <c r="I30"/>
  <c r="H31"/>
  <c r="I32"/>
  <c r="I39"/>
  <c r="H40"/>
  <c r="I41"/>
  <c r="H42"/>
  <c r="I50"/>
  <c r="H57"/>
  <c r="I61"/>
  <c r="H65"/>
  <c r="I66"/>
  <c r="H67"/>
  <c r="I68"/>
  <c r="H69"/>
  <c r="I80"/>
  <c r="H57" i="27"/>
  <c r="H31"/>
  <c r="H40"/>
  <c r="H18"/>
  <c r="I18"/>
  <c r="I81"/>
  <c r="H81"/>
  <c r="H82" s="1"/>
  <c r="I16"/>
  <c r="H20"/>
  <c r="H26"/>
  <c r="H30"/>
  <c r="H32"/>
  <c r="H39"/>
  <c r="H41"/>
  <c r="H50"/>
  <c r="H61"/>
  <c r="H77" s="1"/>
  <c r="H66"/>
  <c r="H68"/>
  <c r="H80"/>
  <c r="I88"/>
  <c r="H77" i="28" l="1"/>
  <c r="I91"/>
  <c r="I90" i="27"/>
  <c r="I81" i="25" l="1"/>
  <c r="I62"/>
  <c r="I89" i="24"/>
  <c r="I88"/>
  <c r="H89"/>
  <c r="F89"/>
  <c r="H88"/>
  <c r="I87"/>
  <c r="H87"/>
  <c r="I86"/>
  <c r="H86"/>
  <c r="H85"/>
  <c r="I93" i="23"/>
  <c r="I92"/>
  <c r="I91"/>
  <c r="I94" s="1"/>
  <c r="F93"/>
  <c r="H93" s="1"/>
  <c r="H92"/>
  <c r="H91"/>
  <c r="I89"/>
  <c r="I90"/>
  <c r="I88"/>
  <c r="H90"/>
  <c r="H89"/>
  <c r="H88"/>
  <c r="I87"/>
  <c r="I86"/>
  <c r="F87"/>
  <c r="H87" s="1"/>
  <c r="H86"/>
  <c r="I85"/>
  <c r="H85"/>
  <c r="I63"/>
  <c r="I89" i="22"/>
  <c r="I88"/>
  <c r="I87"/>
  <c r="H90"/>
  <c r="H89"/>
  <c r="H88"/>
  <c r="H87"/>
  <c r="H86"/>
  <c r="I85"/>
  <c r="H85"/>
  <c r="I82"/>
  <c r="I63"/>
  <c r="I63" i="21"/>
  <c r="I88" i="20"/>
  <c r="I87"/>
  <c r="H88"/>
  <c r="H87"/>
  <c r="H86"/>
  <c r="I85"/>
  <c r="H85"/>
  <c r="I82"/>
  <c r="I86" i="19"/>
  <c r="I87"/>
  <c r="I88"/>
  <c r="F88"/>
  <c r="H88" s="1"/>
  <c r="H87"/>
  <c r="H86"/>
  <c r="I85"/>
  <c r="H85"/>
  <c r="I53"/>
  <c r="I88" i="18"/>
  <c r="I87"/>
  <c r="I85"/>
  <c r="I84"/>
  <c r="H88"/>
  <c r="F87"/>
  <c r="H87" s="1"/>
  <c r="H86"/>
  <c r="H85"/>
  <c r="H84"/>
  <c r="I86" i="17"/>
  <c r="H86"/>
  <c r="I85"/>
  <c r="H85"/>
  <c r="I84"/>
  <c r="H84"/>
  <c r="I84" i="26" l="1"/>
  <c r="H84"/>
  <c r="E81"/>
  <c r="F81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F40"/>
  <c r="I40" s="1"/>
  <c r="F39"/>
  <c r="I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53" i="25"/>
  <c r="I83"/>
  <c r="H83"/>
  <c r="E80"/>
  <c r="F80" s="1"/>
  <c r="H80" s="1"/>
  <c r="H81" s="1"/>
  <c r="F79"/>
  <c r="H79" s="1"/>
  <c r="H77"/>
  <c r="H75"/>
  <c r="H73"/>
  <c r="H72"/>
  <c r="H71"/>
  <c r="I69"/>
  <c r="H69"/>
  <c r="F68"/>
  <c r="I68" s="1"/>
  <c r="F67"/>
  <c r="H67" s="1"/>
  <c r="F66"/>
  <c r="I66" s="1"/>
  <c r="F65"/>
  <c r="H65" s="1"/>
  <c r="F64"/>
  <c r="I64" s="1"/>
  <c r="H63"/>
  <c r="H62"/>
  <c r="F60"/>
  <c r="H60" s="1"/>
  <c r="H59"/>
  <c r="H58"/>
  <c r="F56"/>
  <c r="I56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5" i="24"/>
  <c r="I84"/>
  <c r="I90" s="1"/>
  <c r="H84"/>
  <c r="E81"/>
  <c r="F81" s="1"/>
  <c r="F80"/>
  <c r="I80" s="1"/>
  <c r="H78"/>
  <c r="H76"/>
  <c r="H74"/>
  <c r="H73"/>
  <c r="H72"/>
  <c r="I70"/>
  <c r="H70"/>
  <c r="F69"/>
  <c r="I69" s="1"/>
  <c r="F68"/>
  <c r="I68" s="1"/>
  <c r="F67"/>
  <c r="I67" s="1"/>
  <c r="F66"/>
  <c r="I66" s="1"/>
  <c r="F65"/>
  <c r="I65" s="1"/>
  <c r="H64"/>
  <c r="H63"/>
  <c r="F61"/>
  <c r="I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67" i="26" l="1"/>
  <c r="H65"/>
  <c r="H69"/>
  <c r="H41"/>
  <c r="H39"/>
  <c r="I18"/>
  <c r="H18"/>
  <c r="H81"/>
  <c r="H82" s="1"/>
  <c r="I81"/>
  <c r="I16"/>
  <c r="H17"/>
  <c r="I20"/>
  <c r="H21"/>
  <c r="I26"/>
  <c r="H27"/>
  <c r="I30"/>
  <c r="H31"/>
  <c r="I32"/>
  <c r="H40"/>
  <c r="H42"/>
  <c r="I50"/>
  <c r="H57"/>
  <c r="H77" s="1"/>
  <c r="I61"/>
  <c r="I66"/>
  <c r="I68"/>
  <c r="I80"/>
  <c r="I49" i="25"/>
  <c r="I47"/>
  <c r="I45"/>
  <c r="I48"/>
  <c r="I46"/>
  <c r="I51"/>
  <c r="I52"/>
  <c r="H64"/>
  <c r="H68"/>
  <c r="H56"/>
  <c r="H66"/>
  <c r="H42"/>
  <c r="H40"/>
  <c r="I18"/>
  <c r="H18"/>
  <c r="I16"/>
  <c r="H17"/>
  <c r="I20"/>
  <c r="H21"/>
  <c r="I26"/>
  <c r="H27"/>
  <c r="I30"/>
  <c r="H31"/>
  <c r="I32"/>
  <c r="I39"/>
  <c r="I41"/>
  <c r="I50"/>
  <c r="I60"/>
  <c r="I65"/>
  <c r="I67"/>
  <c r="I79"/>
  <c r="I80"/>
  <c r="H61" i="24"/>
  <c r="H68"/>
  <c r="H80"/>
  <c r="H66"/>
  <c r="I18"/>
  <c r="H18"/>
  <c r="H81"/>
  <c r="H82" s="1"/>
  <c r="I81"/>
  <c r="I16"/>
  <c r="H17"/>
  <c r="I20"/>
  <c r="H21"/>
  <c r="I26"/>
  <c r="H27"/>
  <c r="I30"/>
  <c r="H31"/>
  <c r="I32"/>
  <c r="I39"/>
  <c r="H40"/>
  <c r="I41"/>
  <c r="H42"/>
  <c r="I50"/>
  <c r="H57"/>
  <c r="H65"/>
  <c r="H67"/>
  <c r="H69"/>
  <c r="I84" i="23"/>
  <c r="H84"/>
  <c r="E81"/>
  <c r="F81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6" i="22"/>
  <c r="I91" s="1"/>
  <c r="I72"/>
  <c r="I84"/>
  <c r="H84"/>
  <c r="E81"/>
  <c r="F81" s="1"/>
  <c r="H81" s="1"/>
  <c r="H82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4" i="21"/>
  <c r="H84"/>
  <c r="E81"/>
  <c r="F81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63" i="20"/>
  <c r="I86"/>
  <c r="I89" s="1"/>
  <c r="I84"/>
  <c r="H84"/>
  <c r="E81"/>
  <c r="F81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78" i="19"/>
  <c r="I84"/>
  <c r="H84"/>
  <c r="E81"/>
  <c r="F81" s="1"/>
  <c r="F80"/>
  <c r="I80" s="1"/>
  <c r="H78"/>
  <c r="H76"/>
  <c r="H74"/>
  <c r="H73"/>
  <c r="H72"/>
  <c r="I70"/>
  <c r="H70"/>
  <c r="F69"/>
  <c r="I69" s="1"/>
  <c r="F68"/>
  <c r="I68" s="1"/>
  <c r="F67"/>
  <c r="I67" s="1"/>
  <c r="F66"/>
  <c r="I66" s="1"/>
  <c r="F65"/>
  <c r="I65" s="1"/>
  <c r="H64"/>
  <c r="H63"/>
  <c r="F61"/>
  <c r="I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6" i="18"/>
  <c r="I53"/>
  <c r="I89"/>
  <c r="E81"/>
  <c r="F81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70" i="17"/>
  <c r="I33"/>
  <c r="H107"/>
  <c r="F106"/>
  <c r="H106" s="1"/>
  <c r="H105"/>
  <c r="F104"/>
  <c r="H104" s="1"/>
  <c r="H103"/>
  <c r="F102"/>
  <c r="H102" s="1"/>
  <c r="H101"/>
  <c r="H100"/>
  <c r="H99"/>
  <c r="H98"/>
  <c r="F97"/>
  <c r="H97" s="1"/>
  <c r="H96"/>
  <c r="H95"/>
  <c r="H94"/>
  <c r="F93"/>
  <c r="H93" s="1"/>
  <c r="H92"/>
  <c r="H91"/>
  <c r="H90"/>
  <c r="H89"/>
  <c r="H88"/>
  <c r="H87"/>
  <c r="E81"/>
  <c r="F80"/>
  <c r="I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H64"/>
  <c r="H63"/>
  <c r="F61"/>
  <c r="I61" s="1"/>
  <c r="H60"/>
  <c r="H59"/>
  <c r="F57"/>
  <c r="H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F39"/>
  <c r="I39" s="1"/>
  <c r="I38"/>
  <c r="H38"/>
  <c r="F27"/>
  <c r="I27" s="1"/>
  <c r="H36"/>
  <c r="H35"/>
  <c r="F26"/>
  <c r="H26" s="1"/>
  <c r="H34"/>
  <c r="F34"/>
  <c r="I34" s="1"/>
  <c r="H33"/>
  <c r="F32"/>
  <c r="H32" s="1"/>
  <c r="F31"/>
  <c r="H31" s="1"/>
  <c r="F30"/>
  <c r="H30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88" i="26" l="1"/>
  <c r="I82"/>
  <c r="H76" i="25"/>
  <c r="I84"/>
  <c r="I82" i="24"/>
  <c r="H77"/>
  <c r="I92"/>
  <c r="H65" i="23"/>
  <c r="H69"/>
  <c r="H67"/>
  <c r="H57"/>
  <c r="H77" s="1"/>
  <c r="I18"/>
  <c r="H18"/>
  <c r="H81"/>
  <c r="H82" s="1"/>
  <c r="I81"/>
  <c r="I16"/>
  <c r="H17"/>
  <c r="I20"/>
  <c r="H21"/>
  <c r="I26"/>
  <c r="H27"/>
  <c r="I30"/>
  <c r="H31"/>
  <c r="I32"/>
  <c r="I39"/>
  <c r="H40"/>
  <c r="I41"/>
  <c r="H42"/>
  <c r="I50"/>
  <c r="I61"/>
  <c r="I66"/>
  <c r="I68"/>
  <c r="I80"/>
  <c r="I18" i="22"/>
  <c r="H18"/>
  <c r="I16"/>
  <c r="H17"/>
  <c r="I20"/>
  <c r="H21"/>
  <c r="I26"/>
  <c r="H27"/>
  <c r="I30"/>
  <c r="H31"/>
  <c r="I32"/>
  <c r="I39"/>
  <c r="H40"/>
  <c r="I41"/>
  <c r="H42"/>
  <c r="I50"/>
  <c r="H57"/>
  <c r="I61"/>
  <c r="H65"/>
  <c r="I66"/>
  <c r="H67"/>
  <c r="I68"/>
  <c r="H69"/>
  <c r="I80"/>
  <c r="I81"/>
  <c r="I19" i="21"/>
  <c r="I49"/>
  <c r="I47"/>
  <c r="I22"/>
  <c r="I24"/>
  <c r="I45"/>
  <c r="I48"/>
  <c r="I46"/>
  <c r="I25"/>
  <c r="I23"/>
  <c r="H67"/>
  <c r="I18"/>
  <c r="H18"/>
  <c r="H81"/>
  <c r="H82" s="1"/>
  <c r="I81"/>
  <c r="I16"/>
  <c r="H17"/>
  <c r="I20"/>
  <c r="H21"/>
  <c r="I26"/>
  <c r="H27"/>
  <c r="I30"/>
  <c r="H31"/>
  <c r="I32"/>
  <c r="I39"/>
  <c r="H40"/>
  <c r="I41"/>
  <c r="H42"/>
  <c r="I50"/>
  <c r="H57"/>
  <c r="I61"/>
  <c r="H65"/>
  <c r="I66"/>
  <c r="I68"/>
  <c r="H69"/>
  <c r="I80"/>
  <c r="I85"/>
  <c r="I51" i="20"/>
  <c r="I52"/>
  <c r="H67"/>
  <c r="H65"/>
  <c r="H69"/>
  <c r="I18"/>
  <c r="H18"/>
  <c r="H81"/>
  <c r="H82" s="1"/>
  <c r="I81"/>
  <c r="I16"/>
  <c r="H17"/>
  <c r="I20"/>
  <c r="H21"/>
  <c r="I26"/>
  <c r="H27"/>
  <c r="I30"/>
  <c r="H31"/>
  <c r="I32"/>
  <c r="I39"/>
  <c r="H40"/>
  <c r="I41"/>
  <c r="I50"/>
  <c r="H57"/>
  <c r="I61"/>
  <c r="I66"/>
  <c r="I68"/>
  <c r="I80"/>
  <c r="I89" i="19"/>
  <c r="H80"/>
  <c r="H66"/>
  <c r="H61"/>
  <c r="H68"/>
  <c r="I18"/>
  <c r="H18"/>
  <c r="H81"/>
  <c r="H82" s="1"/>
  <c r="I81"/>
  <c r="I16"/>
  <c r="H17"/>
  <c r="I20"/>
  <c r="H21"/>
  <c r="I26"/>
  <c r="H27"/>
  <c r="I30"/>
  <c r="H31"/>
  <c r="I32"/>
  <c r="I39"/>
  <c r="H40"/>
  <c r="I41"/>
  <c r="I50"/>
  <c r="H57"/>
  <c r="H65"/>
  <c r="H67"/>
  <c r="H69"/>
  <c r="I51" i="18"/>
  <c r="H69"/>
  <c r="I52"/>
  <c r="I18"/>
  <c r="H18"/>
  <c r="H81"/>
  <c r="H82" s="1"/>
  <c r="I81"/>
  <c r="I16"/>
  <c r="H17"/>
  <c r="I20"/>
  <c r="H21"/>
  <c r="I26"/>
  <c r="H27"/>
  <c r="I30"/>
  <c r="H31"/>
  <c r="I32"/>
  <c r="I39"/>
  <c r="H40"/>
  <c r="I41"/>
  <c r="H42"/>
  <c r="I50"/>
  <c r="H57"/>
  <c r="I61"/>
  <c r="H65"/>
  <c r="I66"/>
  <c r="H67"/>
  <c r="I68"/>
  <c r="I80"/>
  <c r="I68" i="17"/>
  <c r="I66"/>
  <c r="I65"/>
  <c r="I69"/>
  <c r="I67"/>
  <c r="I30"/>
  <c r="I32"/>
  <c r="I31"/>
  <c r="H80"/>
  <c r="F81"/>
  <c r="H81" s="1"/>
  <c r="H82" s="1"/>
  <c r="H20"/>
  <c r="H16"/>
  <c r="H61"/>
  <c r="H77" s="1"/>
  <c r="H17"/>
  <c r="H18"/>
  <c r="H21"/>
  <c r="I26"/>
  <c r="H27"/>
  <c r="H39"/>
  <c r="I40"/>
  <c r="H41"/>
  <c r="I42"/>
  <c r="I50"/>
  <c r="I57"/>
  <c r="I81"/>
  <c r="I108"/>
  <c r="I82" i="21" l="1"/>
  <c r="I82" i="19"/>
  <c r="I91" s="1"/>
  <c r="I110" i="17"/>
  <c r="I90" i="26"/>
  <c r="I86" i="25"/>
  <c r="I82" i="23"/>
  <c r="I96" s="1"/>
  <c r="H77" i="22"/>
  <c r="H77" i="21"/>
  <c r="I87"/>
  <c r="I91" i="20"/>
  <c r="H77"/>
  <c r="H77" i="19"/>
  <c r="I91" i="18"/>
  <c r="H77"/>
  <c r="I93" i="22" l="1"/>
</calcChain>
</file>

<file path=xl/sharedStrings.xml><?xml version="1.0" encoding="utf-8"?>
<sst xmlns="http://schemas.openxmlformats.org/spreadsheetml/2006/main" count="2647" uniqueCount="252">
  <si>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</si>
  <si>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</si>
  <si>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</si>
  <si>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</si>
  <si>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</si>
  <si>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</si>
  <si>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</si>
  <si>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</si>
  <si>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</si>
  <si>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</si>
  <si>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</si>
  <si>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</si>
  <si>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</si>
  <si>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</si>
  <si>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</si>
  <si>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</si>
  <si>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</si>
  <si>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</si>
  <si>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</si>
  <si>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</si>
  <si>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</si>
  <si>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</si>
  <si>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</si>
  <si>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</si>
  <si>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</si>
  <si>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</si>
  <si>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</si>
  <si>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</si>
  <si>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</si>
  <si>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</si>
  <si>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</si>
  <si>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</si>
  <si>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</si>
  <si>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</si>
  <si>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</si>
  <si>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</si>
  <si>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</si>
  <si>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</si>
  <si>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</si>
  <si>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</si>
  <si>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</si>
  <si>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</si>
  <si>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</si>
  <si>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</si>
  <si>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</si>
  <si>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</si>
  <si>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</si>
  <si>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</si>
  <si>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</si>
  <si>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</si>
  <si>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</si>
  <si>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</si>
  <si>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</si>
  <si>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</si>
  <si>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</si>
  <si>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</si>
  <si>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</si>
  <si>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</si>
  <si>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</si>
  <si>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</si>
  <si>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</si>
  <si>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</si>
  <si>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</si>
  <si>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</si>
  <si>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</si>
  <si>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</si>
  <si>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</si>
  <si>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</si>
  <si>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</si>
  <si>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</si>
  <si>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</si>
  <si>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</si>
  <si>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</si>
  <si>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</si>
  <si>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</si>
  <si>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</si>
  <si>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</si>
  <si>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</si>
  <si>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</si>
  <si>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</si>
  <si>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</si>
  <si>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</si>
  <si>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</si>
  <si>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</si>
  <si>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</si>
  <si>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</si>
  <si>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за период с 01.09.2016 г. по 30.09.2016 г.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</si>
  <si>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</si>
  <si>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</si>
  <si>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</si>
  <si>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</si>
  <si>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</si>
  <si>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</si>
  <si>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</si>
  <si>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</si>
  <si>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</si>
  <si>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</si>
  <si>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</si>
  <si>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</si>
  <si>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</si>
  <si>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</si>
  <si>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</si>
  <si>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</si>
  <si>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</si>
  <si>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</si>
  <si>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</si>
  <si>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</si>
  <si>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</si>
  <si>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</si>
  <si>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</si>
  <si>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</si>
  <si>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</si>
  <si>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</si>
  <si>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</si>
  <si>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</si>
  <si>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</si>
  <si>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</si>
  <si>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</si>
  <si>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</si>
  <si>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</si>
  <si>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</si>
  <si>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</si>
  <si>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</si>
  <si>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</si>
  <si>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</si>
  <si>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</si>
  <si>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</si>
  <si>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</si>
  <si>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Прочистка каналов</t>
  </si>
  <si>
    <t>Очистка края кровли от слежавшегося снега со сбрасыванием сосулек (10% от S кровли и козырьки)</t>
  </si>
  <si>
    <t xml:space="preserve"> </t>
  </si>
  <si>
    <t>Очистка урн от мусора</t>
  </si>
  <si>
    <t>10 м2</t>
  </si>
  <si>
    <t>Снятие показаний эл.счетчика коммунального назначения</t>
  </si>
  <si>
    <t xml:space="preserve">1 раз в год  </t>
  </si>
  <si>
    <t>20 раз за сезон</t>
  </si>
  <si>
    <t>50 раз за сезон</t>
  </si>
  <si>
    <t>Осмотр шиферной кровли</t>
  </si>
  <si>
    <t>Очистка подвала от чердака</t>
  </si>
  <si>
    <t>Очистка подвала от мусора</t>
  </si>
  <si>
    <t>Смена стекол в деревянных переплетах при площади стекла до 1,0 м2</t>
  </si>
  <si>
    <t>тыс.руб.</t>
  </si>
  <si>
    <t xml:space="preserve">приемки оказанных услуг и выполненных работ по содержанию и текущему ремонту
общего имущества в многоквартирном доме №11 по ул.Строительная пгт.Ярега
</t>
  </si>
  <si>
    <t>1 шт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</si>
  <si>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</si>
  <si>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</si>
  <si>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</si>
  <si>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</si>
  <si>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III. Содержание общего имущества МКД</t>
  </si>
  <si>
    <t>IV. Прочие услуги</t>
  </si>
  <si>
    <t>АКТ №1</t>
  </si>
  <si>
    <t>по мере необходимости</t>
  </si>
  <si>
    <t>100шт</t>
  </si>
  <si>
    <t>Ремонт поверхности кирпичных стен при глубине заделки в 1 кирпич площадью в одном месте до 1 м2</t>
  </si>
  <si>
    <t>Смена арматуры - вентилей и клапанов обратных муфтовых диаметром до 20 мм</t>
  </si>
  <si>
    <t>Работа автовышки</t>
  </si>
  <si>
    <t>маш/час</t>
  </si>
  <si>
    <t xml:space="preserve">Смена тройников диаметром до 20 мм </t>
  </si>
  <si>
    <t xml:space="preserve">Смена тройников диаметром до 32 мм </t>
  </si>
  <si>
    <t>2 шт</t>
  </si>
  <si>
    <t>Смена арматуры - вентилей и клапанов обратных муфтовых диаметром до 32 мм</t>
  </si>
  <si>
    <t>Устройство хомута диаметром до 50 мм</t>
  </si>
  <si>
    <t>Смена светодиодных светильников</t>
  </si>
  <si>
    <t>Замена кран-буксы</t>
  </si>
  <si>
    <t xml:space="preserve">Смена сгонов у трубопроводов диаметром до 20 мм </t>
  </si>
  <si>
    <t>1 сгон</t>
  </si>
  <si>
    <t>Настройка таймера освещения ТО-2</t>
  </si>
  <si>
    <t>Ремонт ограждений контейнерной площадки</t>
  </si>
  <si>
    <t>Смена патронов</t>
  </si>
  <si>
    <t>Прочистка засоров ГВС, XВC</t>
  </si>
  <si>
    <t>3м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</si>
  <si>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</si>
  <si>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</si>
  <si>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Ремонт штукатурки потолков по камню и бетону цементно-известковым раствором площадью до 1 м2 толщиной слоя до 20 мм</t>
  </si>
  <si>
    <t>Смена внутренних трубопроводов из стальных труб диаметром до 32 мм</t>
  </si>
  <si>
    <t>Ремонт дверных полотен</t>
  </si>
  <si>
    <t>5 раз в год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</si>
  <si>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</si>
  <si>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</si>
  <si>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</si>
  <si>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</si>
  <si>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</si>
  <si>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</si>
  <si>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</si>
  <si>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</si>
  <si>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</si>
  <si>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за период с 01.01.2017 г. по 31.01.2017 г.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</si>
  <si>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д.11</t>
    </r>
  </si>
  <si>
    <r>
      <t xml:space="preserve">    Собственники помещений в многоквартирном доме, расположенном по адресу:  пгт.Ярега, ул.Строительная,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29.12.2012г. стороны,  и ООО «Жилсервис»,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</si>
  <si>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156 раз в год</t>
  </si>
  <si>
    <t>104 раза в год</t>
  </si>
  <si>
    <t xml:space="preserve">24 раза в год </t>
  </si>
  <si>
    <t xml:space="preserve">ежедневно </t>
  </si>
  <si>
    <t>Смена сгонов у трубопроводов диаметром до 32 мм</t>
  </si>
  <si>
    <t xml:space="preserve">Смена светодиодных светильников </t>
  </si>
  <si>
    <t>Итого затраты за месяц</t>
  </si>
  <si>
    <t>за период с 01.02.2017 г. по 28.02.2017 г.</t>
  </si>
  <si>
    <t>за период с 01.03.2017 г. по 31.03.2017 г.</t>
  </si>
  <si>
    <t>Заделка "шахты" после работ ВДИС</t>
  </si>
  <si>
    <t>2. Всего за период с 01.03.2017 по 31.03.2017 выполнено работ (оказано услуг) на общую сумму: 66146,96 руб.</t>
  </si>
  <si>
    <t>(шестьдесят шесть тысяч сто сорок шесть рублей 96 копеек)</t>
  </si>
  <si>
    <t>за период с 01.04.2017 г. по 30.04.2017 г.</t>
  </si>
  <si>
    <t>Устройство хомута диаметром от 51 до 75 мм</t>
  </si>
  <si>
    <t>Ремонт силового предохранительного шкафа (без стоимости материалов)</t>
  </si>
  <si>
    <t>Внеплановый осмотр вводных электрических щитков</t>
  </si>
  <si>
    <t>2. Всего за период с 01.04.2017 по 30.04.2017 выполнено работ (оказано услуг) на общую сумму: 64530,39 руб.</t>
  </si>
  <si>
    <t>(шестьдесят четыре тысячи пятьсот тридцать рублей 39 копеек)</t>
  </si>
  <si>
    <t>52 раза в сезон</t>
  </si>
  <si>
    <t>78 раз за сезон</t>
  </si>
  <si>
    <t>2. Всего за период с 01.05.2017 по 31.05.2017 выполнено работ (оказано услуг) на общую сумму: 134948,47 руб.</t>
  </si>
  <si>
    <t>(сто тридцать четыре тысячи девятьсот сорок восемь рублей 47 копеек)</t>
  </si>
  <si>
    <t>за период с 01.05.2017 г. по 31.05.2017 г.</t>
  </si>
  <si>
    <t>за период с 01.06.2017 г. по 30.06.2017 г.</t>
  </si>
  <si>
    <t>по  необходимости</t>
  </si>
  <si>
    <t>Смена сгонов у трубопроводов диаметром до 20 мм</t>
  </si>
  <si>
    <t>Смена трубопроводов на полипропиленовые трубы PN25 диаметром 20 мм</t>
  </si>
  <si>
    <t>Внеплановый осмотр электросетей, армазуры и электрооборудования на лестничных клетках</t>
  </si>
  <si>
    <t>за период с 01.07.2017 г. по 31.07.2017 г.</t>
  </si>
  <si>
    <t>Снятие секций радиаторов одной или двух крайних</t>
  </si>
  <si>
    <t>радиатор</t>
  </si>
  <si>
    <t>Ремонт штукатурки внугренних стен по камню известковым раствором площадью до 1 м2 толщиной слоя до 20 мм</t>
  </si>
  <si>
    <t>за период с 01.08.2017 г. по 31.08.2017 г.</t>
  </si>
  <si>
    <t>Смена сгонов у трубопроводов диаметром до 50 мм</t>
  </si>
  <si>
    <t>Простая масляная окраска ранее окрашенных входных металлических дверей (I, II, III под.)</t>
  </si>
  <si>
    <t>2. Всего за период с 01.09.2017 по 30.09.2017 выполнено работ (оказано услуг) на общую сумму: 54549,21 руб.</t>
  </si>
  <si>
    <t>(пятьдесят четыре тысячи пятьсот сорок девять рублей 21 копейка)</t>
  </si>
  <si>
    <t>за период с 01.10.2017 г. по 31.10.2017 г.</t>
  </si>
  <si>
    <t>2. Всего за период с 01.06.2017 по 30.06.2017 выполнено работ (оказано услуг) на общую сумму: 48371,67 руб.</t>
  </si>
  <si>
    <t>(сорок восемь тысяч триста семьдесят один рубль 67 копеек)</t>
  </si>
  <si>
    <t>2. Всего за период с 01.07.2017 по 31.07.2017 выполнено работ (оказано услуг) на общую сумму: 49384,12 руб.</t>
  </si>
  <si>
    <t>(сорок девять тысяч триста восемьдесят четыре рубля 12 копеек)</t>
  </si>
  <si>
    <t>2. Всего за период с 01.08.2017 по 31.08.2017 выполнено работ (оказано услуг) на общую сумму: 54942,66 руб.</t>
  </si>
  <si>
    <t>(пятьдесят четыре тысячи девятьсот сорок два рубля 66 копеек)</t>
  </si>
  <si>
    <t>Ремонт отдельных мест покрытия из асбоцементных листов обыкновенного профиля</t>
  </si>
  <si>
    <t>2. Всего за период с 01.10.2017 по 31.10.2017 выполнено работ (оказано услуг) на общую сумму: 48107,85 руб.</t>
  </si>
  <si>
    <t>(сорок восемь тысяч сто семь рублей 85 копеек)</t>
  </si>
  <si>
    <t>АКТ №11</t>
  </si>
  <si>
    <t>за период с 01.11.2017 г. по 30.11.2017 г.</t>
  </si>
  <si>
    <t>Ремонт и регулировка доводчика (со стоимостью доводчика)</t>
  </si>
  <si>
    <t>1шт.</t>
  </si>
  <si>
    <t>АКТ №12</t>
  </si>
  <si>
    <t>за период с 01.12.2017 г. по 31.12.2017 г.</t>
  </si>
  <si>
    <t>Прочистка засоров канализации</t>
  </si>
  <si>
    <t>2. Всего за период с 01.01.2017 по 31.01.2017 выполнено работ (оказано услуг) на общую сумму: 54450,08 руб.</t>
  </si>
  <si>
    <t>(пятьдесят четыре тысячи четыреста пятьдесят рублей 08 копеек)</t>
  </si>
  <si>
    <t>2. Всего за период с 01.02.2017 по 28.02.2017 выполнено работ (оказано услуг) на общую сумму: 59030,77 руб.</t>
  </si>
  <si>
    <t>(пятьдесят девять тысяч тридцать рублей 77 копеек)</t>
  </si>
  <si>
    <t>15 раз за сезон</t>
  </si>
  <si>
    <t>2. Всего за период с 01.11.2017 по 31.11.2017 выполнено работ (оказано услуг) на общую сумму: 52782,14 руб.</t>
  </si>
  <si>
    <t>(пятьдесят две тысячи семьсот восемьдесят два рубля 14 копеек)</t>
  </si>
  <si>
    <t>2. Всего за период с 01.12.2017 по 31.12.2017 выполнено работ (оказано услуг) на общую сумму: 66500,61 руб.</t>
  </si>
  <si>
    <t>(шестьдесят шесть тысяч пятьсот рублей 61 копейка)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</si>
</sst>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wrapText="1"/>
    </xf>
    <xf numFmtId="4" fontId="11" fillId="2" borderId="1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left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150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186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3">
        <v>42766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hidden="1" customHeight="1">
      <c r="A19" s="32"/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5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6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7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31.5" hidden="1" customHeight="1">
      <c r="A30" s="32">
        <v>8</v>
      </c>
      <c r="B30" s="74" t="s">
        <v>112</v>
      </c>
      <c r="C30" s="75" t="s">
        <v>95</v>
      </c>
      <c r="D30" s="74" t="s">
        <v>109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1">SUM(F30*G30/1000)</f>
        <v>5.4076993880000011</v>
      </c>
      <c r="I30" s="13">
        <f t="shared" ref="I30:I34" si="2">F30/6*G30</f>
        <v>901.28323133333345</v>
      </c>
      <c r="J30" s="25"/>
      <c r="K30" s="8"/>
      <c r="L30" s="8"/>
      <c r="M30" s="8"/>
    </row>
    <row r="31" spans="1:13" ht="31.5" hidden="1" customHeight="1">
      <c r="A31" s="32">
        <v>9</v>
      </c>
      <c r="B31" s="74" t="s">
        <v>126</v>
      </c>
      <c r="C31" s="75" t="s">
        <v>95</v>
      </c>
      <c r="D31" s="74" t="s">
        <v>110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1"/>
        <v>9.2288080872000009</v>
      </c>
      <c r="I31" s="13">
        <f t="shared" si="2"/>
        <v>1538.1346812000002</v>
      </c>
      <c r="J31" s="25"/>
      <c r="K31" s="8"/>
      <c r="L31" s="8"/>
      <c r="M31" s="8"/>
    </row>
    <row r="32" spans="1:13" ht="15.75" hidden="1" customHeight="1">
      <c r="A32" s="32"/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1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hidden="1" customHeight="1">
      <c r="A33" s="32">
        <v>10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2"/>
        <v>336.35516666666672</v>
      </c>
      <c r="J33" s="25"/>
      <c r="K33" s="8"/>
      <c r="L33" s="8"/>
      <c r="M33" s="8"/>
    </row>
    <row r="34" spans="1:14" ht="15.75" hidden="1" customHeight="1">
      <c r="A34" s="32">
        <v>11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1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1"/>
        <v>2.2726599999999997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3">SUM(F38*G38/1000)</f>
        <v>15.272200000000002</v>
      </c>
      <c r="I38" s="13">
        <f t="shared" ref="I38:I43" si="4">F38/6*G38</f>
        <v>2545.3666666666668</v>
      </c>
      <c r="J38" s="26"/>
    </row>
    <row r="39" spans="1:14" ht="15.75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3"/>
        <v>19.238955416</v>
      </c>
      <c r="I39" s="13">
        <f t="shared" si="4"/>
        <v>3206.492569333333</v>
      </c>
      <c r="J39" s="26"/>
      <c r="L39" s="19"/>
      <c r="M39" s="20"/>
      <c r="N39" s="21"/>
    </row>
    <row r="40" spans="1:14" ht="15.75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3"/>
        <v>5.8367605999999999</v>
      </c>
      <c r="I40" s="13">
        <f t="shared" si="4"/>
        <v>972.79343333333316</v>
      </c>
      <c r="J40" s="26"/>
      <c r="L40" s="19"/>
      <c r="M40" s="20"/>
      <c r="N40" s="21"/>
    </row>
    <row r="41" spans="1:14" ht="48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3"/>
        <v>6.9639359999999995</v>
      </c>
      <c r="I41" s="13">
        <f t="shared" si="4"/>
        <v>1160.6559999999999</v>
      </c>
      <c r="J41" s="26"/>
      <c r="L41" s="19"/>
      <c r="M41" s="20"/>
      <c r="N41" s="21"/>
    </row>
    <row r="42" spans="1:14" ht="15.75" hidden="1" customHeight="1">
      <c r="A42" s="32">
        <v>12</v>
      </c>
      <c r="B42" s="74" t="s">
        <v>96</v>
      </c>
      <c r="C42" s="75" t="s">
        <v>95</v>
      </c>
      <c r="D42" s="74" t="s">
        <v>71</v>
      </c>
      <c r="E42" s="77">
        <v>123.36</v>
      </c>
      <c r="F42" s="77">
        <f>SUM(E42*45/1000)</f>
        <v>5.5511999999999997</v>
      </c>
      <c r="G42" s="77">
        <v>428.7</v>
      </c>
      <c r="H42" s="78">
        <f t="shared" si="3"/>
        <v>2.3797994399999998</v>
      </c>
      <c r="I42" s="13">
        <f t="shared" si="4"/>
        <v>396.63323999999994</v>
      </c>
      <c r="J42" s="26"/>
      <c r="L42" s="19"/>
      <c r="M42" s="20"/>
      <c r="N42" s="21"/>
    </row>
    <row r="43" spans="1:14" ht="15.75" customHeight="1">
      <c r="A43" s="32">
        <v>12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3"/>
        <v>0.71820000000000006</v>
      </c>
      <c r="I43" s="13">
        <f t="shared" si="4"/>
        <v>119.69999999999999</v>
      </c>
      <c r="J43" s="26"/>
      <c r="L43" s="19"/>
      <c r="M43" s="20"/>
      <c r="N43" s="21"/>
    </row>
    <row r="44" spans="1:14" ht="15.75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hidden="1" customHeight="1">
      <c r="A45" s="32"/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5"/>
        <v>2.44182897</v>
      </c>
      <c r="I49" s="13">
        <v>0</v>
      </c>
      <c r="J49" s="26"/>
      <c r="L49" s="19"/>
      <c r="M49" s="20"/>
      <c r="N49" s="21"/>
    </row>
    <row r="50" spans="1:22" ht="15.75" customHeight="1">
      <c r="A50" s="32">
        <v>13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5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hidden="1" customHeight="1">
      <c r="A51" s="32"/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5"/>
        <v>4.65129444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5"/>
        <v>1.0921959999999999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5"/>
        <v>0.11304260000000001</v>
      </c>
      <c r="I53" s="13">
        <v>0</v>
      </c>
      <c r="J53" s="26"/>
      <c r="L53" s="19"/>
      <c r="M53" s="20"/>
      <c r="N53" s="21"/>
    </row>
    <row r="54" spans="1:22" ht="15.75" hidden="1" customHeight="1">
      <c r="A54" s="32">
        <v>15</v>
      </c>
      <c r="B54" s="74" t="s">
        <v>42</v>
      </c>
      <c r="C54" s="75" t="s">
        <v>114</v>
      </c>
      <c r="D54" s="74" t="s">
        <v>73</v>
      </c>
      <c r="E54" s="76">
        <v>120</v>
      </c>
      <c r="F54" s="77">
        <f>SUM(E54)*3</f>
        <v>360</v>
      </c>
      <c r="G54" s="13">
        <v>65.67</v>
      </c>
      <c r="H54" s="78">
        <f t="shared" si="5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135" t="s">
        <v>145</v>
      </c>
      <c r="B55" s="136"/>
      <c r="C55" s="136"/>
      <c r="D55" s="136"/>
      <c r="E55" s="136"/>
      <c r="F55" s="136"/>
      <c r="G55" s="136"/>
      <c r="H55" s="136"/>
      <c r="I55" s="137"/>
      <c r="J55" s="26"/>
      <c r="L55" s="19"/>
      <c r="M55" s="20"/>
      <c r="N55" s="21"/>
    </row>
    <row r="56" spans="1:22" ht="15.75" customHeight="1">
      <c r="A56" s="32"/>
      <c r="B56" s="100" t="s">
        <v>44</v>
      </c>
      <c r="C56" s="75"/>
      <c r="D56" s="74"/>
      <c r="E56" s="76"/>
      <c r="F56" s="77"/>
      <c r="G56" s="77"/>
      <c r="H56" s="78"/>
      <c r="I56" s="13"/>
      <c r="J56" s="26"/>
      <c r="L56" s="19"/>
      <c r="M56" s="20"/>
      <c r="N56" s="21"/>
    </row>
    <row r="57" spans="1:22" ht="31.5" customHeight="1">
      <c r="A57" s="32">
        <v>14</v>
      </c>
      <c r="B57" s="74" t="s">
        <v>129</v>
      </c>
      <c r="C57" s="75" t="s">
        <v>93</v>
      </c>
      <c r="D57" s="74" t="s">
        <v>115</v>
      </c>
      <c r="E57" s="76">
        <v>131.77500000000001</v>
      </c>
      <c r="F57" s="77">
        <f>SUM(E57*6/100)</f>
        <v>7.9065000000000012</v>
      </c>
      <c r="G57" s="13">
        <v>1547.28</v>
      </c>
      <c r="H57" s="78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101" t="s">
        <v>45</v>
      </c>
      <c r="C58" s="83"/>
      <c r="D58" s="84"/>
      <c r="E58" s="85"/>
      <c r="F58" s="87"/>
      <c r="G58" s="13"/>
      <c r="H58" s="88"/>
      <c r="I58" s="13"/>
      <c r="J58" s="26"/>
      <c r="L58" s="19"/>
      <c r="M58" s="20"/>
      <c r="N58" s="21"/>
    </row>
    <row r="59" spans="1:22" ht="15.75" hidden="1" customHeight="1">
      <c r="A59" s="32"/>
      <c r="B59" s="84" t="s">
        <v>138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84" t="s">
        <v>139</v>
      </c>
      <c r="C60" s="83" t="s">
        <v>54</v>
      </c>
      <c r="D60" s="84" t="s">
        <v>55</v>
      </c>
      <c r="E60" s="85">
        <v>890</v>
      </c>
      <c r="F60" s="87">
        <v>8.9</v>
      </c>
      <c r="G60" s="13">
        <v>793.61</v>
      </c>
      <c r="H60" s="88">
        <f>F60*G60/1000</f>
        <v>7.0631290000000009</v>
      </c>
      <c r="I60" s="13">
        <v>0</v>
      </c>
    </row>
    <row r="61" spans="1:22" ht="15.75" customHeight="1">
      <c r="A61" s="32">
        <v>15</v>
      </c>
      <c r="B61" s="84" t="s">
        <v>127</v>
      </c>
      <c r="C61" s="83" t="s">
        <v>25</v>
      </c>
      <c r="D61" s="84" t="s">
        <v>30</v>
      </c>
      <c r="E61" s="85">
        <v>158.19999999999999</v>
      </c>
      <c r="F61" s="87">
        <f>E61*12</f>
        <v>1898.3999999999999</v>
      </c>
      <c r="G61" s="94">
        <v>2.6</v>
      </c>
      <c r="H61" s="88">
        <f>F61*G61/1000</f>
        <v>4.9358399999999998</v>
      </c>
      <c r="I61" s="13">
        <f>F61/12*G61</f>
        <v>411.32</v>
      </c>
    </row>
    <row r="62" spans="1:22" ht="15.75" hidden="1" customHeight="1">
      <c r="A62" s="32"/>
      <c r="B62" s="101" t="s">
        <v>46</v>
      </c>
      <c r="C62" s="83"/>
      <c r="D62" s="84"/>
      <c r="E62" s="85"/>
      <c r="F62" s="86"/>
      <c r="G62" s="86"/>
      <c r="H62" s="87" t="s">
        <v>130</v>
      </c>
      <c r="I62" s="13"/>
    </row>
    <row r="63" spans="1:22" ht="15.75" hidden="1" customHeight="1">
      <c r="A63" s="32"/>
      <c r="B63" s="14" t="s">
        <v>47</v>
      </c>
      <c r="C63" s="16" t="s">
        <v>114</v>
      </c>
      <c r="D63" s="14" t="s">
        <v>151</v>
      </c>
      <c r="E63" s="18">
        <v>15</v>
      </c>
      <c r="F63" s="77">
        <v>15</v>
      </c>
      <c r="G63" s="13">
        <v>222.4</v>
      </c>
      <c r="H63" s="89">
        <f t="shared" ref="H63:H76" si="6">SUM(F63*G63/1000)</f>
        <v>3.3359999999999999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114</v>
      </c>
      <c r="D64" s="14" t="s">
        <v>151</v>
      </c>
      <c r="E64" s="18">
        <v>8</v>
      </c>
      <c r="F64" s="77">
        <v>8</v>
      </c>
      <c r="G64" s="13">
        <v>76.25</v>
      </c>
      <c r="H64" s="89">
        <f t="shared" si="6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116</v>
      </c>
      <c r="D65" s="14" t="s">
        <v>55</v>
      </c>
      <c r="E65" s="76">
        <v>14220</v>
      </c>
      <c r="F65" s="13">
        <f>SUM(E65/100)</f>
        <v>142.19999999999999</v>
      </c>
      <c r="G65" s="13">
        <v>212.15</v>
      </c>
      <c r="H65" s="89">
        <f t="shared" si="6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117</v>
      </c>
      <c r="D66" s="14"/>
      <c r="E66" s="76">
        <v>14220</v>
      </c>
      <c r="F66" s="13">
        <f>SUM(E66/1000)</f>
        <v>14.22</v>
      </c>
      <c r="G66" s="13">
        <v>165.21</v>
      </c>
      <c r="H66" s="89">
        <f t="shared" si="6"/>
        <v>2.3492861999999999</v>
      </c>
      <c r="I66" s="13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8"/>
      <c r="S66" s="138"/>
      <c r="T66" s="138"/>
      <c r="U66" s="138"/>
    </row>
    <row r="67" spans="1:21" ht="15.75" hidden="1" customHeight="1">
      <c r="A67" s="32"/>
      <c r="B67" s="14" t="s">
        <v>51</v>
      </c>
      <c r="C67" s="16" t="s">
        <v>79</v>
      </c>
      <c r="D67" s="14" t="s">
        <v>55</v>
      </c>
      <c r="E67" s="76">
        <v>2260</v>
      </c>
      <c r="F67" s="13">
        <f>SUM(E67/100)</f>
        <v>22.6</v>
      </c>
      <c r="G67" s="13">
        <v>2074.63</v>
      </c>
      <c r="H67" s="89">
        <f t="shared" si="6"/>
        <v>46.886638000000005</v>
      </c>
      <c r="I67" s="13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90" t="s">
        <v>118</v>
      </c>
      <c r="C68" s="16" t="s">
        <v>33</v>
      </c>
      <c r="D68" s="14"/>
      <c r="E68" s="76">
        <v>11</v>
      </c>
      <c r="F68" s="13">
        <f>SUM(E68)</f>
        <v>11</v>
      </c>
      <c r="G68" s="13">
        <v>45.32</v>
      </c>
      <c r="H68" s="89">
        <f t="shared" si="6"/>
        <v>0.49851999999999996</v>
      </c>
      <c r="I68" s="13">
        <f t="shared" si="7"/>
        <v>498.52</v>
      </c>
    </row>
    <row r="69" spans="1:21" ht="15.75" hidden="1" customHeight="1">
      <c r="A69" s="32"/>
      <c r="B69" s="90" t="s">
        <v>119</v>
      </c>
      <c r="C69" s="16" t="s">
        <v>33</v>
      </c>
      <c r="D69" s="14"/>
      <c r="E69" s="76">
        <v>11</v>
      </c>
      <c r="F69" s="13">
        <f>SUM(E69)</f>
        <v>11</v>
      </c>
      <c r="G69" s="13">
        <v>42.28</v>
      </c>
      <c r="H69" s="89">
        <f t="shared" si="6"/>
        <v>0.46508000000000005</v>
      </c>
      <c r="I69" s="13">
        <f t="shared" si="7"/>
        <v>465.08000000000004</v>
      </c>
    </row>
    <row r="70" spans="1:21" ht="15.75" hidden="1" customHeight="1">
      <c r="A70" s="32"/>
      <c r="B70" s="14" t="s">
        <v>59</v>
      </c>
      <c r="C70" s="16" t="s">
        <v>60</v>
      </c>
      <c r="D70" s="14" t="s">
        <v>55</v>
      </c>
      <c r="E70" s="18">
        <v>8</v>
      </c>
      <c r="F70" s="77">
        <v>8</v>
      </c>
      <c r="G70" s="13">
        <v>49.88</v>
      </c>
      <c r="H70" s="89">
        <f t="shared" si="6"/>
        <v>0.39904000000000001</v>
      </c>
      <c r="I70" s="13">
        <f t="shared" si="7"/>
        <v>399.04</v>
      </c>
    </row>
    <row r="71" spans="1:21" ht="15.75" hidden="1" customHeight="1">
      <c r="A71" s="32"/>
      <c r="B71" s="62" t="s">
        <v>74</v>
      </c>
      <c r="C71" s="16"/>
      <c r="D71" s="14"/>
      <c r="E71" s="18"/>
      <c r="F71" s="13"/>
      <c r="G71" s="13"/>
      <c r="H71" s="89" t="s">
        <v>130</v>
      </c>
      <c r="I71" s="13"/>
    </row>
    <row r="72" spans="1:21" ht="15.75" hidden="1" customHeight="1">
      <c r="A72" s="32"/>
      <c r="B72" s="14" t="s">
        <v>75</v>
      </c>
      <c r="C72" s="16" t="s">
        <v>77</v>
      </c>
      <c r="D72" s="14"/>
      <c r="E72" s="18">
        <v>2</v>
      </c>
      <c r="F72" s="13">
        <v>0.2</v>
      </c>
      <c r="G72" s="13">
        <v>501.62</v>
      </c>
      <c r="H72" s="89">
        <f t="shared" si="6"/>
        <v>0.10032400000000001</v>
      </c>
      <c r="I72" s="13">
        <v>0</v>
      </c>
    </row>
    <row r="73" spans="1:21" ht="15.75" hidden="1" customHeight="1">
      <c r="A73" s="32"/>
      <c r="B73" s="14" t="s">
        <v>76</v>
      </c>
      <c r="C73" s="16" t="s">
        <v>31</v>
      </c>
      <c r="D73" s="14"/>
      <c r="E73" s="18">
        <v>1</v>
      </c>
      <c r="F73" s="66">
        <v>1</v>
      </c>
      <c r="G73" s="13">
        <v>852.99</v>
      </c>
      <c r="H73" s="89">
        <f>F73*G73/1000</f>
        <v>0.85299000000000003</v>
      </c>
      <c r="I73" s="13">
        <v>0</v>
      </c>
    </row>
    <row r="74" spans="1:21" ht="15.75" hidden="1" customHeight="1">
      <c r="A74" s="32"/>
      <c r="B74" s="14" t="s">
        <v>121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9">
        <f>G74*F74/1000</f>
        <v>0.35851</v>
      </c>
      <c r="I74" s="13">
        <v>0</v>
      </c>
    </row>
    <row r="75" spans="1:21" ht="15.75" hidden="1" customHeight="1">
      <c r="A75" s="32"/>
      <c r="B75" s="92" t="s">
        <v>78</v>
      </c>
      <c r="C75" s="16"/>
      <c r="D75" s="14"/>
      <c r="E75" s="18"/>
      <c r="F75" s="13"/>
      <c r="G75" s="13" t="s">
        <v>130</v>
      </c>
      <c r="H75" s="89" t="s">
        <v>130</v>
      </c>
      <c r="I75" s="13"/>
    </row>
    <row r="76" spans="1:21" ht="15.75" hidden="1" customHeight="1">
      <c r="A76" s="32"/>
      <c r="B76" s="46" t="s">
        <v>128</v>
      </c>
      <c r="C76" s="16" t="s">
        <v>79</v>
      </c>
      <c r="D76" s="14"/>
      <c r="E76" s="18"/>
      <c r="F76" s="13">
        <v>0.1</v>
      </c>
      <c r="G76" s="13">
        <v>2759.44</v>
      </c>
      <c r="H76" s="89">
        <f t="shared" si="6"/>
        <v>0.27594400000000002</v>
      </c>
      <c r="I76" s="13">
        <v>0</v>
      </c>
    </row>
    <row r="77" spans="1:21" ht="15.75" hidden="1" customHeight="1">
      <c r="A77" s="32"/>
      <c r="B77" s="104" t="s">
        <v>99</v>
      </c>
      <c r="C77" s="104"/>
      <c r="D77" s="104"/>
      <c r="E77" s="104"/>
      <c r="F77" s="104"/>
      <c r="G77" s="80"/>
      <c r="H77" s="93">
        <f>SUM(H57:H76)</f>
        <v>117.59572952000001</v>
      </c>
      <c r="I77" s="80"/>
    </row>
    <row r="78" spans="1:21" ht="15.75" hidden="1" customHeight="1">
      <c r="A78" s="32"/>
      <c r="B78" s="102" t="s">
        <v>120</v>
      </c>
      <c r="C78" s="23"/>
      <c r="D78" s="22"/>
      <c r="E78" s="67"/>
      <c r="F78" s="103">
        <v>1</v>
      </c>
      <c r="G78" s="13">
        <v>10966.5</v>
      </c>
      <c r="H78" s="89">
        <f>G78*F78/1000</f>
        <v>10.9665</v>
      </c>
      <c r="I78" s="13">
        <v>0</v>
      </c>
    </row>
    <row r="79" spans="1:21" ht="15.75" customHeight="1">
      <c r="A79" s="139" t="s">
        <v>146</v>
      </c>
      <c r="B79" s="140"/>
      <c r="C79" s="140"/>
      <c r="D79" s="140"/>
      <c r="E79" s="140"/>
      <c r="F79" s="140"/>
      <c r="G79" s="140"/>
      <c r="H79" s="140"/>
      <c r="I79" s="141"/>
    </row>
    <row r="80" spans="1:21" ht="15.75" customHeight="1">
      <c r="A80" s="32">
        <v>16</v>
      </c>
      <c r="B80" s="74" t="s">
        <v>122</v>
      </c>
      <c r="C80" s="16" t="s">
        <v>56</v>
      </c>
      <c r="D80" s="65" t="s">
        <v>57</v>
      </c>
      <c r="E80" s="13">
        <v>3382.7</v>
      </c>
      <c r="F80" s="13">
        <f>SUM(E80*12)</f>
        <v>40592.399999999994</v>
      </c>
      <c r="G80" s="13">
        <v>2.1</v>
      </c>
      <c r="H80" s="89">
        <f>SUM(F80*G80/1000)</f>
        <v>85.244039999999998</v>
      </c>
      <c r="I80" s="13">
        <f>F80/12*G80</f>
        <v>7103.6699999999992</v>
      </c>
    </row>
    <row r="81" spans="1:9" ht="31.5" customHeight="1">
      <c r="A81" s="32">
        <v>17</v>
      </c>
      <c r="B81" s="14" t="s">
        <v>80</v>
      </c>
      <c r="C81" s="16"/>
      <c r="D81" s="65" t="s">
        <v>57</v>
      </c>
      <c r="E81" s="76">
        <f>E80</f>
        <v>3382.7</v>
      </c>
      <c r="F81" s="13">
        <f>E81*12</f>
        <v>40592.399999999994</v>
      </c>
      <c r="G81" s="13">
        <v>1.63</v>
      </c>
      <c r="H81" s="89">
        <f>F81*G81/1000</f>
        <v>66.165611999999982</v>
      </c>
      <c r="I81" s="13">
        <f>F81/12*G81</f>
        <v>5513.8009999999986</v>
      </c>
    </row>
    <row r="82" spans="1:9" ht="15.75" customHeight="1">
      <c r="A82" s="32"/>
      <c r="B82" s="39" t="s">
        <v>83</v>
      </c>
      <c r="C82" s="92"/>
      <c r="D82" s="91"/>
      <c r="E82" s="80"/>
      <c r="F82" s="80"/>
      <c r="G82" s="80"/>
      <c r="H82" s="93">
        <f>H81</f>
        <v>66.165611999999982</v>
      </c>
      <c r="I82" s="80">
        <f>I16+I17+I18+I20+I21+I26+I27+I38+I39+I40+I41+I43+I50+I57+I61+I80+I81</f>
        <v>49682.563679333332</v>
      </c>
    </row>
    <row r="83" spans="1:9" ht="15.75" customHeight="1">
      <c r="A83" s="126" t="s">
        <v>62</v>
      </c>
      <c r="B83" s="127"/>
      <c r="C83" s="127"/>
      <c r="D83" s="127"/>
      <c r="E83" s="127"/>
      <c r="F83" s="127"/>
      <c r="G83" s="127"/>
      <c r="H83" s="127"/>
      <c r="I83" s="128"/>
    </row>
    <row r="84" spans="1:9" ht="15.75" customHeight="1">
      <c r="A84" s="32">
        <v>18</v>
      </c>
      <c r="B84" s="51" t="s">
        <v>193</v>
      </c>
      <c r="C84" s="54" t="s">
        <v>165</v>
      </c>
      <c r="D84" s="105"/>
      <c r="E84" s="95"/>
      <c r="F84" s="95">
        <v>1</v>
      </c>
      <c r="G84" s="95">
        <v>306.37</v>
      </c>
      <c r="H84" s="87">
        <f t="shared" ref="H84:H86" si="8">SUM(F84*G84/1000)</f>
        <v>0.30637000000000003</v>
      </c>
      <c r="I84" s="95">
        <f>G84</f>
        <v>306.37</v>
      </c>
    </row>
    <row r="85" spans="1:9" ht="15.75" customHeight="1">
      <c r="A85" s="32">
        <v>19</v>
      </c>
      <c r="B85" s="51" t="s">
        <v>194</v>
      </c>
      <c r="C85" s="54" t="s">
        <v>114</v>
      </c>
      <c r="D85" s="46"/>
      <c r="E85" s="13"/>
      <c r="F85" s="13">
        <v>1</v>
      </c>
      <c r="G85" s="13">
        <v>1202.53</v>
      </c>
      <c r="H85" s="87">
        <f t="shared" si="8"/>
        <v>1.2025299999999999</v>
      </c>
      <c r="I85" s="95">
        <f>G85</f>
        <v>1202.53</v>
      </c>
    </row>
    <row r="86" spans="1:9" ht="15.75" customHeight="1">
      <c r="A86" s="32">
        <v>20</v>
      </c>
      <c r="B86" s="51" t="s">
        <v>133</v>
      </c>
      <c r="C86" s="73" t="s">
        <v>114</v>
      </c>
      <c r="D86" s="84"/>
      <c r="E86" s="85"/>
      <c r="F86" s="86">
        <v>549</v>
      </c>
      <c r="G86" s="95">
        <v>53.42</v>
      </c>
      <c r="H86" s="87">
        <f t="shared" si="8"/>
        <v>29.327580000000001</v>
      </c>
      <c r="I86" s="95">
        <f>G86*61</f>
        <v>3258.62</v>
      </c>
    </row>
    <row r="87" spans="1:9" ht="31.5" hidden="1" customHeight="1">
      <c r="A87" s="32"/>
      <c r="B87" s="51" t="s">
        <v>154</v>
      </c>
      <c r="C87" s="54" t="s">
        <v>143</v>
      </c>
      <c r="D87" s="96"/>
      <c r="E87" s="18"/>
      <c r="F87" s="97">
        <v>4</v>
      </c>
      <c r="G87" s="13">
        <v>559.62</v>
      </c>
      <c r="H87" s="97">
        <f t="shared" ref="H87:H93" si="9">G87*F87/1000</f>
        <v>2.23848</v>
      </c>
      <c r="I87" s="95">
        <v>0</v>
      </c>
    </row>
    <row r="88" spans="1:9" ht="15.75" hidden="1" customHeight="1">
      <c r="A88" s="32"/>
      <c r="B88" s="51" t="s">
        <v>155</v>
      </c>
      <c r="C88" s="54" t="s">
        <v>156</v>
      </c>
      <c r="D88" s="96"/>
      <c r="E88" s="18"/>
      <c r="F88" s="97">
        <v>1.5</v>
      </c>
      <c r="G88" s="13">
        <v>1501</v>
      </c>
      <c r="H88" s="99">
        <f t="shared" si="9"/>
        <v>2.2515000000000001</v>
      </c>
      <c r="I88" s="95">
        <v>0</v>
      </c>
    </row>
    <row r="89" spans="1:9" ht="15.75" hidden="1" customHeight="1">
      <c r="A89" s="32"/>
      <c r="B89" s="51" t="s">
        <v>157</v>
      </c>
      <c r="C89" s="54" t="s">
        <v>143</v>
      </c>
      <c r="D89" s="96"/>
      <c r="E89" s="18"/>
      <c r="F89" s="97">
        <v>1</v>
      </c>
      <c r="G89" s="13">
        <v>195.95</v>
      </c>
      <c r="H89" s="99">
        <f t="shared" si="9"/>
        <v>0.19594999999999999</v>
      </c>
      <c r="I89" s="95">
        <v>0</v>
      </c>
    </row>
    <row r="90" spans="1:9" ht="15.75" hidden="1" customHeight="1">
      <c r="A90" s="32"/>
      <c r="B90" s="51" t="s">
        <v>158</v>
      </c>
      <c r="C90" s="54" t="s">
        <v>159</v>
      </c>
      <c r="D90" s="96"/>
      <c r="E90" s="18"/>
      <c r="F90" s="97">
        <v>1</v>
      </c>
      <c r="G90" s="13">
        <v>290.67</v>
      </c>
      <c r="H90" s="99">
        <f t="shared" si="9"/>
        <v>0.29067000000000004</v>
      </c>
      <c r="I90" s="95">
        <v>0</v>
      </c>
    </row>
    <row r="91" spans="1:9" ht="31.5" hidden="1" customHeight="1">
      <c r="A91" s="32"/>
      <c r="B91" s="51" t="s">
        <v>160</v>
      </c>
      <c r="C91" s="54" t="s">
        <v>143</v>
      </c>
      <c r="D91" s="96"/>
      <c r="E91" s="18"/>
      <c r="F91" s="97">
        <v>2</v>
      </c>
      <c r="G91" s="13">
        <v>762.37</v>
      </c>
      <c r="H91" s="97">
        <f t="shared" si="9"/>
        <v>1.52474</v>
      </c>
      <c r="I91" s="95">
        <v>0</v>
      </c>
    </row>
    <row r="92" spans="1:9" ht="15.75" hidden="1" customHeight="1">
      <c r="A92" s="32"/>
      <c r="B92" s="51" t="s">
        <v>161</v>
      </c>
      <c r="C92" s="54" t="s">
        <v>88</v>
      </c>
      <c r="D92" s="96"/>
      <c r="E92" s="18"/>
      <c r="F92" s="97">
        <v>4</v>
      </c>
      <c r="G92" s="13">
        <v>185.81</v>
      </c>
      <c r="H92" s="99">
        <f t="shared" si="9"/>
        <v>0.74324000000000001</v>
      </c>
      <c r="I92" s="95">
        <v>0</v>
      </c>
    </row>
    <row r="93" spans="1:9" ht="31.5" hidden="1" customHeight="1">
      <c r="A93" s="32"/>
      <c r="B93" s="98" t="s">
        <v>153</v>
      </c>
      <c r="C93" s="32" t="s">
        <v>101</v>
      </c>
      <c r="D93" s="96"/>
      <c r="E93" s="18"/>
      <c r="F93" s="97">
        <f>0.27/10</f>
        <v>2.7000000000000003E-2</v>
      </c>
      <c r="G93" s="13">
        <v>39222.99</v>
      </c>
      <c r="H93" s="99">
        <f t="shared" si="9"/>
        <v>1.0590207299999999</v>
      </c>
      <c r="I93" s="95">
        <v>0</v>
      </c>
    </row>
    <row r="94" spans="1:9" ht="15.75" hidden="1" customHeight="1">
      <c r="A94" s="32"/>
      <c r="B94" s="51" t="s">
        <v>162</v>
      </c>
      <c r="C94" s="54" t="s">
        <v>114</v>
      </c>
      <c r="D94" s="14"/>
      <c r="E94" s="18"/>
      <c r="F94" s="13">
        <v>1</v>
      </c>
      <c r="G94" s="13">
        <v>1027.21</v>
      </c>
      <c r="H94" s="89">
        <f>G94*F94/1000</f>
        <v>1.02721</v>
      </c>
      <c r="I94" s="13">
        <v>0</v>
      </c>
    </row>
    <row r="95" spans="1:9" ht="15.75" hidden="1" customHeight="1">
      <c r="A95" s="32"/>
      <c r="B95" s="51" t="s">
        <v>163</v>
      </c>
      <c r="C95" s="54" t="s">
        <v>143</v>
      </c>
      <c r="D95" s="96"/>
      <c r="E95" s="18"/>
      <c r="F95" s="97">
        <v>1</v>
      </c>
      <c r="G95" s="13">
        <v>332.87</v>
      </c>
      <c r="H95" s="97">
        <f>G95*F95/1000</f>
        <v>0.33287</v>
      </c>
      <c r="I95" s="95">
        <v>0</v>
      </c>
    </row>
    <row r="96" spans="1:9" ht="15.75" hidden="1" customHeight="1">
      <c r="A96" s="32"/>
      <c r="B96" s="51" t="s">
        <v>164</v>
      </c>
      <c r="C96" s="54" t="s">
        <v>165</v>
      </c>
      <c r="D96" s="14"/>
      <c r="E96" s="18"/>
      <c r="F96" s="13">
        <v>1</v>
      </c>
      <c r="G96" s="13">
        <v>195.95</v>
      </c>
      <c r="H96" s="97">
        <f t="shared" ref="H96:H107" si="10">G96*F96/1000</f>
        <v>0.19594999999999999</v>
      </c>
      <c r="I96" s="13">
        <v>0</v>
      </c>
    </row>
    <row r="97" spans="1:9" ht="15.75" hidden="1" customHeight="1">
      <c r="A97" s="32"/>
      <c r="B97" s="51" t="s">
        <v>166</v>
      </c>
      <c r="C97" s="54" t="s">
        <v>152</v>
      </c>
      <c r="D97" s="14"/>
      <c r="E97" s="18"/>
      <c r="F97" s="13">
        <f>1/100</f>
        <v>0.01</v>
      </c>
      <c r="G97" s="13">
        <v>7033.13</v>
      </c>
      <c r="H97" s="97">
        <f t="shared" si="10"/>
        <v>7.0331299999999999E-2</v>
      </c>
      <c r="I97" s="13">
        <v>0</v>
      </c>
    </row>
    <row r="98" spans="1:9" ht="15.75" hidden="1" customHeight="1">
      <c r="A98" s="32"/>
      <c r="B98" s="51" t="s">
        <v>85</v>
      </c>
      <c r="C98" s="54" t="s">
        <v>114</v>
      </c>
      <c r="D98" s="14"/>
      <c r="E98" s="18"/>
      <c r="F98" s="13">
        <v>3</v>
      </c>
      <c r="G98" s="13">
        <v>180.15</v>
      </c>
      <c r="H98" s="97">
        <f t="shared" si="10"/>
        <v>0.5404500000000001</v>
      </c>
      <c r="I98" s="13">
        <v>0</v>
      </c>
    </row>
    <row r="99" spans="1:9" ht="15.75" hidden="1" customHeight="1">
      <c r="A99" s="32"/>
      <c r="B99" s="71" t="s">
        <v>89</v>
      </c>
      <c r="C99" s="54" t="s">
        <v>114</v>
      </c>
      <c r="D99" s="96"/>
      <c r="E99" s="18"/>
      <c r="F99" s="97">
        <v>3</v>
      </c>
      <c r="G99" s="13">
        <v>179.96</v>
      </c>
      <c r="H99" s="97">
        <f t="shared" si="10"/>
        <v>0.53988000000000003</v>
      </c>
      <c r="I99" s="95">
        <v>0</v>
      </c>
    </row>
    <row r="100" spans="1:9" ht="15.75" hidden="1" customHeight="1">
      <c r="A100" s="32"/>
      <c r="B100" s="71" t="s">
        <v>167</v>
      </c>
      <c r="C100" s="54" t="s">
        <v>141</v>
      </c>
      <c r="D100" s="96"/>
      <c r="E100" s="18"/>
      <c r="F100" s="97">
        <v>1</v>
      </c>
      <c r="G100" s="13">
        <v>424</v>
      </c>
      <c r="H100" s="97">
        <f t="shared" si="10"/>
        <v>0.42399999999999999</v>
      </c>
      <c r="I100" s="95">
        <v>0</v>
      </c>
    </row>
    <row r="101" spans="1:9" ht="15.75" hidden="1" customHeight="1">
      <c r="A101" s="32"/>
      <c r="B101" s="51" t="s">
        <v>168</v>
      </c>
      <c r="C101" s="54" t="s">
        <v>114</v>
      </c>
      <c r="D101" s="96"/>
      <c r="E101" s="18"/>
      <c r="F101" s="97">
        <v>1</v>
      </c>
      <c r="G101" s="13">
        <v>149.63999999999999</v>
      </c>
      <c r="H101" s="97">
        <f t="shared" si="10"/>
        <v>0.14964</v>
      </c>
      <c r="I101" s="95">
        <v>0</v>
      </c>
    </row>
    <row r="102" spans="1:9" ht="15.75" hidden="1" customHeight="1">
      <c r="A102" s="32"/>
      <c r="B102" s="72" t="s">
        <v>169</v>
      </c>
      <c r="C102" s="73" t="s">
        <v>170</v>
      </c>
      <c r="D102" s="96"/>
      <c r="E102" s="18"/>
      <c r="F102" s="97">
        <f>7/3</f>
        <v>2.3333333333333335</v>
      </c>
      <c r="G102" s="13">
        <v>1063.47</v>
      </c>
      <c r="H102" s="97">
        <f t="shared" si="10"/>
        <v>2.4814300000000005</v>
      </c>
      <c r="I102" s="95">
        <v>0</v>
      </c>
    </row>
    <row r="103" spans="1:9" ht="31.5" hidden="1" customHeight="1">
      <c r="A103" s="32"/>
      <c r="B103" s="51" t="s">
        <v>171</v>
      </c>
      <c r="C103" s="54" t="s">
        <v>172</v>
      </c>
      <c r="D103" s="14"/>
      <c r="E103" s="18"/>
      <c r="F103" s="13">
        <v>2</v>
      </c>
      <c r="G103" s="13">
        <v>51.39</v>
      </c>
      <c r="H103" s="97">
        <f t="shared" si="10"/>
        <v>0.10278</v>
      </c>
      <c r="I103" s="95">
        <v>0</v>
      </c>
    </row>
    <row r="104" spans="1:9" ht="31.5" hidden="1" customHeight="1">
      <c r="A104" s="32"/>
      <c r="B104" s="51" t="s">
        <v>173</v>
      </c>
      <c r="C104" s="54" t="s">
        <v>132</v>
      </c>
      <c r="D104" s="96"/>
      <c r="E104" s="18"/>
      <c r="F104" s="97">
        <f>1.6/10</f>
        <v>0.16</v>
      </c>
      <c r="G104" s="13">
        <v>12132.03</v>
      </c>
      <c r="H104" s="97">
        <f t="shared" si="10"/>
        <v>1.9411248000000001</v>
      </c>
      <c r="I104" s="95">
        <v>0</v>
      </c>
    </row>
    <row r="105" spans="1:9" ht="31.5" hidden="1" customHeight="1">
      <c r="A105" s="32"/>
      <c r="B105" s="51" t="s">
        <v>174</v>
      </c>
      <c r="C105" s="54" t="s">
        <v>84</v>
      </c>
      <c r="D105" s="96"/>
      <c r="E105" s="18"/>
      <c r="F105" s="97">
        <v>1</v>
      </c>
      <c r="G105" s="13">
        <v>994.03</v>
      </c>
      <c r="H105" s="97">
        <f t="shared" si="10"/>
        <v>0.99402999999999997</v>
      </c>
      <c r="I105" s="95">
        <v>0</v>
      </c>
    </row>
    <row r="106" spans="1:9" ht="31.5" hidden="1" customHeight="1">
      <c r="A106" s="32"/>
      <c r="B106" s="51" t="s">
        <v>140</v>
      </c>
      <c r="C106" s="55" t="s">
        <v>132</v>
      </c>
      <c r="D106" s="96"/>
      <c r="E106" s="18"/>
      <c r="F106" s="97">
        <f>1.295/10</f>
        <v>0.1295</v>
      </c>
      <c r="G106" s="13">
        <v>8916.31</v>
      </c>
      <c r="H106" s="97">
        <f t="shared" si="10"/>
        <v>1.1546621450000001</v>
      </c>
      <c r="I106" s="95">
        <v>0</v>
      </c>
    </row>
    <row r="107" spans="1:9" ht="15.75" hidden="1" customHeight="1">
      <c r="A107" s="32"/>
      <c r="B107" s="51" t="s">
        <v>175</v>
      </c>
      <c r="C107" s="55" t="s">
        <v>143</v>
      </c>
      <c r="D107" s="96"/>
      <c r="E107" s="18"/>
      <c r="F107" s="97">
        <v>1</v>
      </c>
      <c r="G107" s="13">
        <v>811.24</v>
      </c>
      <c r="H107" s="97">
        <f t="shared" si="10"/>
        <v>0.81123999999999996</v>
      </c>
      <c r="I107" s="95">
        <v>0</v>
      </c>
    </row>
    <row r="108" spans="1:9" ht="15.75" customHeight="1">
      <c r="A108" s="32"/>
      <c r="B108" s="44" t="s">
        <v>52</v>
      </c>
      <c r="C108" s="40"/>
      <c r="D108" s="47"/>
      <c r="E108" s="40">
        <v>1</v>
      </c>
      <c r="F108" s="40"/>
      <c r="G108" s="40"/>
      <c r="H108" s="40"/>
      <c r="I108" s="34">
        <f>SUM(I84:I107)</f>
        <v>4767.5200000000004</v>
      </c>
    </row>
    <row r="109" spans="1:9" ht="15.75" customHeight="1">
      <c r="A109" s="32"/>
      <c r="B109" s="46" t="s">
        <v>81</v>
      </c>
      <c r="C109" s="15"/>
      <c r="D109" s="15"/>
      <c r="E109" s="41"/>
      <c r="F109" s="41"/>
      <c r="G109" s="42"/>
      <c r="H109" s="42"/>
      <c r="I109" s="17">
        <v>0</v>
      </c>
    </row>
    <row r="110" spans="1:9" ht="15.75" customHeight="1">
      <c r="A110" s="48"/>
      <c r="B110" s="45" t="s">
        <v>195</v>
      </c>
      <c r="C110" s="35"/>
      <c r="D110" s="35"/>
      <c r="E110" s="35"/>
      <c r="F110" s="35"/>
      <c r="G110" s="35"/>
      <c r="H110" s="35"/>
      <c r="I110" s="43">
        <f>I82+I108</f>
        <v>54450.083679333329</v>
      </c>
    </row>
    <row r="111" spans="1:9" ht="15.75" customHeight="1">
      <c r="A111" s="142" t="s">
        <v>243</v>
      </c>
      <c r="B111" s="142"/>
      <c r="C111" s="142"/>
      <c r="D111" s="142"/>
      <c r="E111" s="142"/>
      <c r="F111" s="142"/>
      <c r="G111" s="142"/>
      <c r="H111" s="142"/>
      <c r="I111" s="142"/>
    </row>
    <row r="112" spans="1:9" ht="15.75" customHeight="1">
      <c r="A112" s="64"/>
      <c r="B112" s="143" t="s">
        <v>244</v>
      </c>
      <c r="C112" s="143"/>
      <c r="D112" s="143"/>
      <c r="E112" s="143"/>
      <c r="F112" s="143"/>
      <c r="G112" s="143"/>
      <c r="H112" s="70"/>
      <c r="I112" s="3"/>
    </row>
    <row r="113" spans="1:9">
      <c r="A113" s="49"/>
      <c r="B113" s="144" t="s">
        <v>6</v>
      </c>
      <c r="C113" s="144"/>
      <c r="D113" s="144"/>
      <c r="E113" s="144"/>
      <c r="F113" s="144"/>
      <c r="G113" s="144"/>
      <c r="H113" s="27"/>
      <c r="I113" s="50"/>
    </row>
    <row r="114" spans="1:9" ht="15.75" customHeight="1">
      <c r="A114" s="56"/>
      <c r="B114" s="56"/>
      <c r="C114" s="56"/>
      <c r="D114" s="56"/>
      <c r="E114" s="56"/>
      <c r="F114" s="56"/>
      <c r="G114" s="56"/>
      <c r="H114" s="56"/>
      <c r="I114" s="56"/>
    </row>
    <row r="115" spans="1:9" ht="15.75" customHeight="1">
      <c r="A115" s="145" t="s">
        <v>7</v>
      </c>
      <c r="B115" s="145"/>
      <c r="C115" s="145"/>
      <c r="D115" s="145"/>
      <c r="E115" s="145"/>
      <c r="F115" s="145"/>
      <c r="G115" s="145"/>
      <c r="H115" s="145"/>
      <c r="I115" s="145"/>
    </row>
    <row r="116" spans="1:9" ht="15.75" customHeight="1">
      <c r="A116" s="145" t="s">
        <v>8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5.75" customHeight="1">
      <c r="A117" s="146" t="s">
        <v>63</v>
      </c>
      <c r="B117" s="146"/>
      <c r="C117" s="146"/>
      <c r="D117" s="146"/>
      <c r="E117" s="146"/>
      <c r="F117" s="146"/>
      <c r="G117" s="146"/>
      <c r="H117" s="146"/>
      <c r="I117" s="146"/>
    </row>
    <row r="118" spans="1:9" ht="15.75" customHeight="1">
      <c r="A118" s="11"/>
    </row>
    <row r="119" spans="1:9" ht="15.75" customHeight="1">
      <c r="A119" s="147" t="s">
        <v>9</v>
      </c>
      <c r="B119" s="147"/>
      <c r="C119" s="147"/>
      <c r="D119" s="147"/>
      <c r="E119" s="147"/>
      <c r="F119" s="147"/>
      <c r="G119" s="147"/>
      <c r="H119" s="147"/>
      <c r="I119" s="147"/>
    </row>
    <row r="120" spans="1:9" ht="15.75" customHeight="1">
      <c r="A120" s="4"/>
    </row>
    <row r="121" spans="1:9" ht="15.75" customHeight="1">
      <c r="B121" s="61" t="s">
        <v>10</v>
      </c>
      <c r="C121" s="148" t="s">
        <v>147</v>
      </c>
      <c r="D121" s="148"/>
      <c r="E121" s="148"/>
      <c r="F121" s="68"/>
      <c r="I121" s="59"/>
    </row>
    <row r="122" spans="1:9" ht="15.75" customHeight="1">
      <c r="A122" s="60"/>
      <c r="C122" s="144" t="s">
        <v>11</v>
      </c>
      <c r="D122" s="144"/>
      <c r="E122" s="144"/>
      <c r="F122" s="27"/>
      <c r="I122" s="58" t="s">
        <v>12</v>
      </c>
    </row>
    <row r="123" spans="1:9" ht="15.75" customHeight="1">
      <c r="A123" s="28"/>
      <c r="C123" s="12"/>
      <c r="D123" s="12"/>
      <c r="G123" s="12"/>
      <c r="H123" s="12"/>
    </row>
    <row r="124" spans="1:9" ht="15.75">
      <c r="B124" s="61" t="s">
        <v>13</v>
      </c>
      <c r="C124" s="149"/>
      <c r="D124" s="149"/>
      <c r="E124" s="149"/>
      <c r="F124" s="69"/>
      <c r="I124" s="59"/>
    </row>
    <row r="125" spans="1:9">
      <c r="A125" s="60"/>
      <c r="C125" s="138" t="s">
        <v>11</v>
      </c>
      <c r="D125" s="138"/>
      <c r="E125" s="138"/>
      <c r="F125" s="60"/>
      <c r="I125" s="58" t="s">
        <v>12</v>
      </c>
    </row>
    <row r="126" spans="1:9" ht="15.75" customHeight="1">
      <c r="A126" s="4" t="s">
        <v>14</v>
      </c>
    </row>
    <row r="127" spans="1:9" ht="15.75" customHeight="1">
      <c r="A127" s="150" t="s">
        <v>15</v>
      </c>
      <c r="B127" s="150"/>
      <c r="C127" s="150"/>
      <c r="D127" s="150"/>
      <c r="E127" s="150"/>
      <c r="F127" s="150"/>
      <c r="G127" s="150"/>
      <c r="H127" s="150"/>
      <c r="I127" s="150"/>
    </row>
    <row r="128" spans="1:9" ht="45" customHeight="1">
      <c r="A128" s="151" t="s">
        <v>16</v>
      </c>
      <c r="B128" s="151"/>
      <c r="C128" s="151"/>
      <c r="D128" s="151"/>
      <c r="E128" s="151"/>
      <c r="F128" s="151"/>
      <c r="G128" s="151"/>
      <c r="H128" s="151"/>
      <c r="I128" s="151"/>
    </row>
    <row r="129" spans="1:9" ht="30" customHeight="1">
      <c r="A129" s="151" t="s">
        <v>17</v>
      </c>
      <c r="B129" s="151"/>
      <c r="C129" s="151"/>
      <c r="D129" s="151"/>
      <c r="E129" s="151"/>
      <c r="F129" s="151"/>
      <c r="G129" s="151"/>
      <c r="H129" s="151"/>
      <c r="I129" s="151"/>
    </row>
    <row r="130" spans="1:9" ht="30" customHeight="1">
      <c r="A130" s="151" t="s">
        <v>21</v>
      </c>
      <c r="B130" s="151"/>
      <c r="C130" s="151"/>
      <c r="D130" s="151"/>
      <c r="E130" s="151"/>
      <c r="F130" s="151"/>
      <c r="G130" s="151"/>
      <c r="H130" s="151"/>
      <c r="I130" s="151"/>
    </row>
    <row r="131" spans="1:9" ht="15" customHeight="1">
      <c r="A131" s="151" t="s">
        <v>20</v>
      </c>
      <c r="B131" s="151"/>
      <c r="C131" s="151"/>
      <c r="D131" s="151"/>
      <c r="E131" s="151"/>
      <c r="F131" s="151"/>
      <c r="G131" s="151"/>
      <c r="H131" s="151"/>
      <c r="I131" s="151"/>
    </row>
  </sheetData>
  <autoFilter ref="I12:I61"/>
  <mergeCells count="29">
    <mergeCell ref="A127:I127"/>
    <mergeCell ref="A128:I128"/>
    <mergeCell ref="A129:I129"/>
    <mergeCell ref="A130:I130"/>
    <mergeCell ref="A131:I131"/>
    <mergeCell ref="R66:U66"/>
    <mergeCell ref="C125:E125"/>
    <mergeCell ref="A79:I79"/>
    <mergeCell ref="A111:I111"/>
    <mergeCell ref="B112:G112"/>
    <mergeCell ref="B113:G113"/>
    <mergeCell ref="A115:I115"/>
    <mergeCell ref="A116:I116"/>
    <mergeCell ref="A117:I117"/>
    <mergeCell ref="A119:I119"/>
    <mergeCell ref="C121:E121"/>
    <mergeCell ref="C122:E122"/>
    <mergeCell ref="C124:E124"/>
    <mergeCell ref="A14:I14"/>
    <mergeCell ref="A83:I83"/>
    <mergeCell ref="A3:I3"/>
    <mergeCell ref="A4:I4"/>
    <mergeCell ref="A5:I5"/>
    <mergeCell ref="A8:I8"/>
    <mergeCell ref="A10:I10"/>
    <mergeCell ref="A15:I15"/>
    <mergeCell ref="A28:I28"/>
    <mergeCell ref="A44:I44"/>
    <mergeCell ref="A55:I5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185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226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3">
        <v>43039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hidden="1" customHeight="1">
      <c r="A19" s="32"/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5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6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7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15.75" customHeight="1">
      <c r="A30" s="32">
        <v>8</v>
      </c>
      <c r="B30" s="74" t="s">
        <v>112</v>
      </c>
      <c r="C30" s="75" t="s">
        <v>95</v>
      </c>
      <c r="D30" s="74" t="s">
        <v>207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1">SUM(F30*G30/1000)</f>
        <v>5.4076993880000011</v>
      </c>
      <c r="I30" s="13">
        <f t="shared" ref="I30:I34" si="2">F30/6*G30</f>
        <v>901.28323133333345</v>
      </c>
      <c r="J30" s="25"/>
      <c r="K30" s="8"/>
      <c r="L30" s="8"/>
      <c r="M30" s="8"/>
    </row>
    <row r="31" spans="1:13" ht="31.5" customHeight="1">
      <c r="A31" s="32">
        <v>9</v>
      </c>
      <c r="B31" s="74" t="s">
        <v>126</v>
      </c>
      <c r="C31" s="75" t="s">
        <v>95</v>
      </c>
      <c r="D31" s="74" t="s">
        <v>208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1"/>
        <v>9.2288080872000009</v>
      </c>
      <c r="I31" s="13">
        <f t="shared" si="2"/>
        <v>1538.1346812000002</v>
      </c>
      <c r="J31" s="25"/>
      <c r="K31" s="8"/>
      <c r="L31" s="8"/>
      <c r="M31" s="8"/>
    </row>
    <row r="32" spans="1:13" ht="15.75" hidden="1" customHeight="1">
      <c r="A32" s="32"/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1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customHeight="1">
      <c r="A33" s="32">
        <v>10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2"/>
        <v>336.35516666666672</v>
      </c>
      <c r="J33" s="25"/>
      <c r="K33" s="8"/>
      <c r="L33" s="8"/>
      <c r="M33" s="8"/>
    </row>
    <row r="34" spans="1:14" ht="15.75" customHeight="1">
      <c r="A34" s="32">
        <v>11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1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1"/>
        <v>2.2726599999999997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hidden="1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3">SUM(F38*G38/1000)</f>
        <v>15.272200000000002</v>
      </c>
      <c r="I38" s="13">
        <f t="shared" ref="I38:I43" si="4">F38/6*G38</f>
        <v>2545.3666666666668</v>
      </c>
      <c r="J38" s="26"/>
    </row>
    <row r="39" spans="1:14" ht="15.75" hidden="1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3"/>
        <v>19.238955416</v>
      </c>
      <c r="I39" s="13">
        <f t="shared" si="4"/>
        <v>3206.492569333333</v>
      </c>
      <c r="J39" s="26"/>
      <c r="L39" s="19"/>
      <c r="M39" s="20"/>
      <c r="N39" s="21"/>
    </row>
    <row r="40" spans="1:14" ht="15.75" hidden="1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3"/>
        <v>5.8367605999999999</v>
      </c>
      <c r="I40" s="13">
        <f t="shared" si="4"/>
        <v>972.79343333333316</v>
      </c>
      <c r="J40" s="26"/>
      <c r="L40" s="19"/>
      <c r="M40" s="20"/>
      <c r="N40" s="21"/>
    </row>
    <row r="41" spans="1:14" ht="48" hidden="1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3"/>
        <v>6.9639359999999995</v>
      </c>
      <c r="I41" s="13">
        <f t="shared" si="4"/>
        <v>1160.6559999999999</v>
      </c>
      <c r="J41" s="26"/>
      <c r="L41" s="19"/>
      <c r="M41" s="20"/>
      <c r="N41" s="21"/>
    </row>
    <row r="42" spans="1:14" ht="15.75" hidden="1" customHeight="1">
      <c r="A42" s="32">
        <v>12</v>
      </c>
      <c r="B42" s="74" t="s">
        <v>96</v>
      </c>
      <c r="C42" s="75" t="s">
        <v>95</v>
      </c>
      <c r="D42" s="74" t="s">
        <v>71</v>
      </c>
      <c r="E42" s="77">
        <v>123.36</v>
      </c>
      <c r="F42" s="77">
        <f>SUM(E42*45/1000)</f>
        <v>5.5511999999999997</v>
      </c>
      <c r="G42" s="77">
        <v>428.7</v>
      </c>
      <c r="H42" s="78">
        <f t="shared" si="3"/>
        <v>2.3797994399999998</v>
      </c>
      <c r="I42" s="13">
        <f t="shared" si="4"/>
        <v>396.63323999999994</v>
      </c>
      <c r="J42" s="26"/>
      <c r="L42" s="19"/>
      <c r="M42" s="20"/>
      <c r="N42" s="21"/>
    </row>
    <row r="43" spans="1:14" ht="15.75" hidden="1" customHeight="1">
      <c r="A43" s="32">
        <v>13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3"/>
        <v>0.71820000000000006</v>
      </c>
      <c r="I43" s="13">
        <f t="shared" si="4"/>
        <v>119.69999999999999</v>
      </c>
      <c r="J43" s="26"/>
      <c r="L43" s="19"/>
      <c r="M43" s="20"/>
      <c r="N43" s="21"/>
    </row>
    <row r="44" spans="1:14" ht="15.75" hidden="1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hidden="1" customHeight="1">
      <c r="A45" s="32"/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5"/>
        <v>2.44182897</v>
      </c>
      <c r="I49" s="13">
        <v>0</v>
      </c>
      <c r="J49" s="26"/>
      <c r="L49" s="19"/>
      <c r="M49" s="20"/>
      <c r="N49" s="21"/>
    </row>
    <row r="50" spans="1:22" ht="15.75" hidden="1" customHeight="1">
      <c r="A50" s="32">
        <v>14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5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hidden="1" customHeight="1">
      <c r="A51" s="32"/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5"/>
        <v>4.65129444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5"/>
        <v>1.0921959999999999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5"/>
        <v>0.11304260000000001</v>
      </c>
      <c r="I53" s="13">
        <v>0</v>
      </c>
      <c r="J53" s="26"/>
      <c r="L53" s="19"/>
      <c r="M53" s="20"/>
      <c r="N53" s="21"/>
    </row>
    <row r="54" spans="1:22" ht="15.75" hidden="1" customHeight="1">
      <c r="A54" s="32">
        <v>15</v>
      </c>
      <c r="B54" s="74" t="s">
        <v>42</v>
      </c>
      <c r="C54" s="75" t="s">
        <v>114</v>
      </c>
      <c r="D54" s="74" t="s">
        <v>73</v>
      </c>
      <c r="E54" s="76">
        <v>120</v>
      </c>
      <c r="F54" s="77">
        <f>SUM(E54)*3</f>
        <v>360</v>
      </c>
      <c r="G54" s="13">
        <v>65.67</v>
      </c>
      <c r="H54" s="78">
        <f t="shared" si="5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135" t="s">
        <v>148</v>
      </c>
      <c r="B55" s="136"/>
      <c r="C55" s="136"/>
      <c r="D55" s="136"/>
      <c r="E55" s="136"/>
      <c r="F55" s="136"/>
      <c r="G55" s="136"/>
      <c r="H55" s="136"/>
      <c r="I55" s="137"/>
      <c r="J55" s="26"/>
      <c r="L55" s="19"/>
      <c r="M55" s="20"/>
      <c r="N55" s="21"/>
    </row>
    <row r="56" spans="1:22" ht="15.75" hidden="1" customHeight="1">
      <c r="A56" s="32"/>
      <c r="B56" s="100" t="s">
        <v>44</v>
      </c>
      <c r="C56" s="75"/>
      <c r="D56" s="74"/>
      <c r="E56" s="76"/>
      <c r="F56" s="77"/>
      <c r="G56" s="77"/>
      <c r="H56" s="78"/>
      <c r="I56" s="13"/>
      <c r="J56" s="26"/>
      <c r="L56" s="19"/>
      <c r="M56" s="20"/>
      <c r="N56" s="21"/>
    </row>
    <row r="57" spans="1:22" ht="31.5" hidden="1" customHeight="1">
      <c r="A57" s="32">
        <v>12</v>
      </c>
      <c r="B57" s="74" t="s">
        <v>129</v>
      </c>
      <c r="C57" s="75" t="s">
        <v>93</v>
      </c>
      <c r="D57" s="74" t="s">
        <v>115</v>
      </c>
      <c r="E57" s="76">
        <v>131.77500000000001</v>
      </c>
      <c r="F57" s="77">
        <f>SUM(E57*6/100)</f>
        <v>7.9065000000000012</v>
      </c>
      <c r="G57" s="13">
        <v>1547.28</v>
      </c>
      <c r="H57" s="78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101" t="s">
        <v>45</v>
      </c>
      <c r="C58" s="83"/>
      <c r="D58" s="84"/>
      <c r="E58" s="85"/>
      <c r="F58" s="87"/>
      <c r="G58" s="13"/>
      <c r="H58" s="88"/>
      <c r="I58" s="13"/>
      <c r="J58" s="26"/>
      <c r="L58" s="19"/>
      <c r="M58" s="20"/>
      <c r="N58" s="21"/>
    </row>
    <row r="59" spans="1:22" ht="15.75" hidden="1" customHeight="1">
      <c r="A59" s="32"/>
      <c r="B59" s="84" t="s">
        <v>138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84" t="s">
        <v>139</v>
      </c>
      <c r="C60" s="83" t="s">
        <v>54</v>
      </c>
      <c r="D60" s="84" t="s">
        <v>55</v>
      </c>
      <c r="E60" s="85">
        <v>890</v>
      </c>
      <c r="F60" s="87">
        <v>8.9</v>
      </c>
      <c r="G60" s="13">
        <v>793.61</v>
      </c>
      <c r="H60" s="88">
        <f>F60*G60/1000</f>
        <v>7.0631290000000009</v>
      </c>
      <c r="I60" s="13">
        <v>0</v>
      </c>
    </row>
    <row r="61" spans="1:22" ht="15.75" customHeight="1">
      <c r="A61" s="32">
        <v>12</v>
      </c>
      <c r="B61" s="84" t="s">
        <v>127</v>
      </c>
      <c r="C61" s="83" t="s">
        <v>25</v>
      </c>
      <c r="D61" s="84" t="s">
        <v>30</v>
      </c>
      <c r="E61" s="85">
        <v>158.19999999999999</v>
      </c>
      <c r="F61" s="87">
        <f>E61*12</f>
        <v>1898.3999999999999</v>
      </c>
      <c r="G61" s="94">
        <v>2.6</v>
      </c>
      <c r="H61" s="88">
        <f>F61*G61/1000</f>
        <v>4.9358399999999998</v>
      </c>
      <c r="I61" s="13">
        <f>F61/12*G61</f>
        <v>411.32</v>
      </c>
    </row>
    <row r="62" spans="1:22" ht="15.75" hidden="1" customHeight="1">
      <c r="A62" s="32"/>
      <c r="B62" s="101" t="s">
        <v>46</v>
      </c>
      <c r="C62" s="83"/>
      <c r="D62" s="84"/>
      <c r="E62" s="85"/>
      <c r="F62" s="86"/>
      <c r="G62" s="86"/>
      <c r="H62" s="87" t="s">
        <v>130</v>
      </c>
      <c r="I62" s="13"/>
    </row>
    <row r="63" spans="1:22" ht="15.75" hidden="1" customHeight="1">
      <c r="A63" s="32"/>
      <c r="B63" s="14" t="s">
        <v>47</v>
      </c>
      <c r="C63" s="16" t="s">
        <v>114</v>
      </c>
      <c r="D63" s="14" t="s">
        <v>151</v>
      </c>
      <c r="E63" s="18">
        <v>15</v>
      </c>
      <c r="F63" s="77">
        <v>15</v>
      </c>
      <c r="G63" s="13">
        <v>222.4</v>
      </c>
      <c r="H63" s="89">
        <f t="shared" ref="H63:H76" si="6">SUM(F63*G63/1000)</f>
        <v>3.3359999999999999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114</v>
      </c>
      <c r="D64" s="14" t="s">
        <v>151</v>
      </c>
      <c r="E64" s="18">
        <v>8</v>
      </c>
      <c r="F64" s="77">
        <v>8</v>
      </c>
      <c r="G64" s="13">
        <v>76.25</v>
      </c>
      <c r="H64" s="89">
        <f t="shared" si="6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116</v>
      </c>
      <c r="D65" s="14" t="s">
        <v>55</v>
      </c>
      <c r="E65" s="76">
        <v>14220</v>
      </c>
      <c r="F65" s="13">
        <f>SUM(E65/100)</f>
        <v>142.19999999999999</v>
      </c>
      <c r="G65" s="13">
        <v>212.15</v>
      </c>
      <c r="H65" s="89">
        <f t="shared" si="6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117</v>
      </c>
      <c r="D66" s="14"/>
      <c r="E66" s="76">
        <v>14220</v>
      </c>
      <c r="F66" s="13">
        <f>SUM(E66/1000)</f>
        <v>14.22</v>
      </c>
      <c r="G66" s="13">
        <v>165.21</v>
      </c>
      <c r="H66" s="89">
        <f t="shared" si="6"/>
        <v>2.3492861999999999</v>
      </c>
      <c r="I66" s="13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8"/>
      <c r="S66" s="138"/>
      <c r="T66" s="138"/>
      <c r="U66" s="138"/>
    </row>
    <row r="67" spans="1:21" ht="15.75" hidden="1" customHeight="1">
      <c r="A67" s="32"/>
      <c r="B67" s="14" t="s">
        <v>51</v>
      </c>
      <c r="C67" s="16" t="s">
        <v>79</v>
      </c>
      <c r="D67" s="14" t="s">
        <v>55</v>
      </c>
      <c r="E67" s="76">
        <v>2260</v>
      </c>
      <c r="F67" s="13">
        <f>SUM(E67/100)</f>
        <v>22.6</v>
      </c>
      <c r="G67" s="13">
        <v>2074.63</v>
      </c>
      <c r="H67" s="89">
        <f t="shared" si="6"/>
        <v>46.886638000000005</v>
      </c>
      <c r="I67" s="13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90" t="s">
        <v>118</v>
      </c>
      <c r="C68" s="16" t="s">
        <v>33</v>
      </c>
      <c r="D68" s="14"/>
      <c r="E68" s="76">
        <v>11</v>
      </c>
      <c r="F68" s="13">
        <f>SUM(E68)</f>
        <v>11</v>
      </c>
      <c r="G68" s="13">
        <v>45.32</v>
      </c>
      <c r="H68" s="89">
        <f t="shared" si="6"/>
        <v>0.49851999999999996</v>
      </c>
      <c r="I68" s="13">
        <f t="shared" si="7"/>
        <v>498.52</v>
      </c>
    </row>
    <row r="69" spans="1:21" ht="15.75" hidden="1" customHeight="1">
      <c r="A69" s="32"/>
      <c r="B69" s="90" t="s">
        <v>119</v>
      </c>
      <c r="C69" s="16" t="s">
        <v>33</v>
      </c>
      <c r="D69" s="14"/>
      <c r="E69" s="76">
        <v>11</v>
      </c>
      <c r="F69" s="13">
        <f>SUM(E69)</f>
        <v>11</v>
      </c>
      <c r="G69" s="13">
        <v>42.28</v>
      </c>
      <c r="H69" s="89">
        <f t="shared" si="6"/>
        <v>0.46508000000000005</v>
      </c>
      <c r="I69" s="13">
        <f t="shared" si="7"/>
        <v>465.08000000000004</v>
      </c>
    </row>
    <row r="70" spans="1:21" ht="15.75" hidden="1" customHeight="1">
      <c r="A70" s="32"/>
      <c r="B70" s="14" t="s">
        <v>59</v>
      </c>
      <c r="C70" s="16" t="s">
        <v>60</v>
      </c>
      <c r="D70" s="14" t="s">
        <v>55</v>
      </c>
      <c r="E70" s="18">
        <v>8</v>
      </c>
      <c r="F70" s="77">
        <v>8</v>
      </c>
      <c r="G70" s="13">
        <v>49.88</v>
      </c>
      <c r="H70" s="89">
        <f t="shared" si="6"/>
        <v>0.39904000000000001</v>
      </c>
      <c r="I70" s="13">
        <f t="shared" si="7"/>
        <v>399.04</v>
      </c>
    </row>
    <row r="71" spans="1:21" ht="15.75" hidden="1" customHeight="1">
      <c r="A71" s="32"/>
      <c r="B71" s="62" t="s">
        <v>74</v>
      </c>
      <c r="C71" s="16"/>
      <c r="D71" s="14"/>
      <c r="E71" s="18"/>
      <c r="F71" s="13"/>
      <c r="G71" s="13"/>
      <c r="H71" s="89" t="s">
        <v>130</v>
      </c>
      <c r="I71" s="13"/>
    </row>
    <row r="72" spans="1:21" ht="15.75" hidden="1" customHeight="1">
      <c r="A72" s="32"/>
      <c r="B72" s="14" t="s">
        <v>75</v>
      </c>
      <c r="C72" s="16" t="s">
        <v>77</v>
      </c>
      <c r="D72" s="14"/>
      <c r="E72" s="18">
        <v>2</v>
      </c>
      <c r="F72" s="13">
        <v>0.2</v>
      </c>
      <c r="G72" s="13">
        <v>501.62</v>
      </c>
      <c r="H72" s="89">
        <f t="shared" si="6"/>
        <v>0.10032400000000001</v>
      </c>
      <c r="I72" s="13">
        <v>0</v>
      </c>
    </row>
    <row r="73" spans="1:21" ht="15.75" hidden="1" customHeight="1">
      <c r="A73" s="32"/>
      <c r="B73" s="14" t="s">
        <v>76</v>
      </c>
      <c r="C73" s="16" t="s">
        <v>31</v>
      </c>
      <c r="D73" s="14"/>
      <c r="E73" s="18">
        <v>1</v>
      </c>
      <c r="F73" s="66">
        <v>1</v>
      </c>
      <c r="G73" s="13">
        <v>852.99</v>
      </c>
      <c r="H73" s="89">
        <f>F73*G73/1000</f>
        <v>0.85299000000000003</v>
      </c>
      <c r="I73" s="13">
        <v>0</v>
      </c>
    </row>
    <row r="74" spans="1:21" ht="15.75" hidden="1" customHeight="1">
      <c r="A74" s="32"/>
      <c r="B74" s="14" t="s">
        <v>121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9">
        <f>G74*F74/1000</f>
        <v>0.35851</v>
      </c>
      <c r="I74" s="13">
        <v>0</v>
      </c>
    </row>
    <row r="75" spans="1:21" ht="15.75" hidden="1" customHeight="1">
      <c r="A75" s="32"/>
      <c r="B75" s="92" t="s">
        <v>78</v>
      </c>
      <c r="C75" s="16"/>
      <c r="D75" s="14"/>
      <c r="E75" s="18"/>
      <c r="F75" s="13"/>
      <c r="G75" s="13" t="s">
        <v>130</v>
      </c>
      <c r="H75" s="89" t="s">
        <v>130</v>
      </c>
      <c r="I75" s="13"/>
    </row>
    <row r="76" spans="1:21" ht="15.75" hidden="1" customHeight="1">
      <c r="A76" s="32"/>
      <c r="B76" s="46" t="s">
        <v>128</v>
      </c>
      <c r="C76" s="16" t="s">
        <v>79</v>
      </c>
      <c r="D76" s="14"/>
      <c r="E76" s="18"/>
      <c r="F76" s="13">
        <v>0.1</v>
      </c>
      <c r="G76" s="13">
        <v>2759.44</v>
      </c>
      <c r="H76" s="89">
        <f t="shared" si="6"/>
        <v>0.27594400000000002</v>
      </c>
      <c r="I76" s="13">
        <v>0</v>
      </c>
    </row>
    <row r="77" spans="1:21" ht="15.75" hidden="1" customHeight="1">
      <c r="A77" s="32"/>
      <c r="B77" s="104" t="s">
        <v>99</v>
      </c>
      <c r="C77" s="104"/>
      <c r="D77" s="104"/>
      <c r="E77" s="104"/>
      <c r="F77" s="104"/>
      <c r="G77" s="80"/>
      <c r="H77" s="93">
        <f>SUM(H57:H76)</f>
        <v>117.59572952000001</v>
      </c>
      <c r="I77" s="80"/>
    </row>
    <row r="78" spans="1:21" ht="15.75" hidden="1" customHeight="1">
      <c r="A78" s="32"/>
      <c r="B78" s="102" t="s">
        <v>120</v>
      </c>
      <c r="C78" s="23"/>
      <c r="D78" s="22"/>
      <c r="E78" s="67"/>
      <c r="F78" s="103">
        <v>1</v>
      </c>
      <c r="G78" s="13">
        <v>10966.5</v>
      </c>
      <c r="H78" s="89">
        <f>G78*F78/1000</f>
        <v>10.9665</v>
      </c>
      <c r="I78" s="13">
        <v>0</v>
      </c>
    </row>
    <row r="79" spans="1:21" ht="15.75" customHeight="1">
      <c r="A79" s="139" t="s">
        <v>149</v>
      </c>
      <c r="B79" s="140"/>
      <c r="C79" s="140"/>
      <c r="D79" s="140"/>
      <c r="E79" s="140"/>
      <c r="F79" s="140"/>
      <c r="G79" s="140"/>
      <c r="H79" s="140"/>
      <c r="I79" s="141"/>
    </row>
    <row r="80" spans="1:21" ht="15.75" customHeight="1">
      <c r="A80" s="32">
        <v>13</v>
      </c>
      <c r="B80" s="74" t="s">
        <v>122</v>
      </c>
      <c r="C80" s="16" t="s">
        <v>56</v>
      </c>
      <c r="D80" s="65" t="s">
        <v>57</v>
      </c>
      <c r="E80" s="13">
        <v>3382.7</v>
      </c>
      <c r="F80" s="13">
        <f>SUM(E80*12)</f>
        <v>40592.399999999994</v>
      </c>
      <c r="G80" s="13">
        <v>2.1</v>
      </c>
      <c r="H80" s="89">
        <f>SUM(F80*G80/1000)</f>
        <v>85.244039999999998</v>
      </c>
      <c r="I80" s="13">
        <f>F80/12*G80</f>
        <v>7103.6699999999992</v>
      </c>
    </row>
    <row r="81" spans="1:9" ht="31.5" customHeight="1">
      <c r="A81" s="32">
        <v>14</v>
      </c>
      <c r="B81" s="14" t="s">
        <v>80</v>
      </c>
      <c r="C81" s="16"/>
      <c r="D81" s="65" t="s">
        <v>57</v>
      </c>
      <c r="E81" s="76">
        <f>E80</f>
        <v>3382.7</v>
      </c>
      <c r="F81" s="13">
        <f>E81*12</f>
        <v>40592.399999999994</v>
      </c>
      <c r="G81" s="13">
        <v>1.63</v>
      </c>
      <c r="H81" s="89">
        <f>F81*G81/1000</f>
        <v>66.165611999999982</v>
      </c>
      <c r="I81" s="13">
        <f>F81/12*G81</f>
        <v>5513.8009999999986</v>
      </c>
    </row>
    <row r="82" spans="1:9" ht="15.75" customHeight="1">
      <c r="A82" s="32"/>
      <c r="B82" s="39" t="s">
        <v>83</v>
      </c>
      <c r="C82" s="92"/>
      <c r="D82" s="91"/>
      <c r="E82" s="80"/>
      <c r="F82" s="80"/>
      <c r="G82" s="80"/>
      <c r="H82" s="93">
        <f>H81</f>
        <v>66.165611999999982</v>
      </c>
      <c r="I82" s="80">
        <f>I16+I17+I18+I20+I21+I26+I27+I30+I31+I33+I34+I61+I80+I81</f>
        <v>40576.916538088888</v>
      </c>
    </row>
    <row r="83" spans="1:9" ht="15.75" customHeight="1">
      <c r="A83" s="126" t="s">
        <v>62</v>
      </c>
      <c r="B83" s="127"/>
      <c r="C83" s="127"/>
      <c r="D83" s="127"/>
      <c r="E83" s="127"/>
      <c r="F83" s="127"/>
      <c r="G83" s="127"/>
      <c r="H83" s="127"/>
      <c r="I83" s="128"/>
    </row>
    <row r="84" spans="1:9" ht="15.75" customHeight="1">
      <c r="A84" s="32">
        <v>15</v>
      </c>
      <c r="B84" s="51" t="s">
        <v>133</v>
      </c>
      <c r="C84" s="73" t="s">
        <v>114</v>
      </c>
      <c r="D84" s="84"/>
      <c r="E84" s="85"/>
      <c r="F84" s="86">
        <v>732</v>
      </c>
      <c r="G84" s="95">
        <v>53.42</v>
      </c>
      <c r="H84" s="87">
        <f>SUM(F84*G84/1000)</f>
        <v>39.103439999999999</v>
      </c>
      <c r="I84" s="95">
        <f>G84*61</f>
        <v>3258.62</v>
      </c>
    </row>
    <row r="85" spans="1:9" ht="15.75" customHeight="1">
      <c r="A85" s="32">
        <v>16</v>
      </c>
      <c r="B85" s="51" t="s">
        <v>155</v>
      </c>
      <c r="C85" s="54" t="s">
        <v>156</v>
      </c>
      <c r="D85" s="109"/>
      <c r="E85" s="17"/>
      <c r="F85" s="110">
        <v>7.5</v>
      </c>
      <c r="G85" s="36">
        <v>1582</v>
      </c>
      <c r="H85" s="108">
        <f t="shared" ref="H85" si="8">SUM(F85*G85/1000)</f>
        <v>11.865</v>
      </c>
      <c r="I85" s="95">
        <f>G85*2</f>
        <v>3164</v>
      </c>
    </row>
    <row r="86" spans="1:9" ht="15.75" customHeight="1">
      <c r="A86" s="32">
        <v>17</v>
      </c>
      <c r="B86" s="71" t="s">
        <v>89</v>
      </c>
      <c r="C86" s="54" t="s">
        <v>114</v>
      </c>
      <c r="D86" s="38"/>
      <c r="E86" s="17"/>
      <c r="F86" s="36">
        <v>1</v>
      </c>
      <c r="G86" s="36">
        <v>189.67</v>
      </c>
      <c r="H86" s="108">
        <f t="shared" ref="H86:H87" si="9">SUM(F86*G86/1000)</f>
        <v>0.18966999999999998</v>
      </c>
      <c r="I86" s="95">
        <f>G86</f>
        <v>189.67</v>
      </c>
    </row>
    <row r="87" spans="1:9" ht="31.5" customHeight="1">
      <c r="A87" s="32">
        <v>18</v>
      </c>
      <c r="B87" s="52" t="s">
        <v>233</v>
      </c>
      <c r="C87" s="120" t="s">
        <v>132</v>
      </c>
      <c r="D87" s="38"/>
      <c r="E87" s="17"/>
      <c r="F87" s="36">
        <f>(1.545)/10</f>
        <v>0.1545</v>
      </c>
      <c r="G87" s="36">
        <v>5945.91</v>
      </c>
      <c r="H87" s="108">
        <f t="shared" si="9"/>
        <v>0.91864309499999997</v>
      </c>
      <c r="I87" s="95">
        <f>G87*F87</f>
        <v>918.64309500000002</v>
      </c>
    </row>
    <row r="88" spans="1:9" ht="15.75" customHeight="1">
      <c r="A88" s="32"/>
      <c r="B88" s="44" t="s">
        <v>52</v>
      </c>
      <c r="C88" s="40"/>
      <c r="D88" s="47"/>
      <c r="E88" s="40">
        <v>1</v>
      </c>
      <c r="F88" s="40"/>
      <c r="G88" s="40"/>
      <c r="H88" s="40"/>
      <c r="I88" s="34">
        <f>SUM(I84:I87)</f>
        <v>7530.9330950000003</v>
      </c>
    </row>
    <row r="89" spans="1:9" ht="15.75" customHeight="1">
      <c r="A89" s="32"/>
      <c r="B89" s="46" t="s">
        <v>81</v>
      </c>
      <c r="C89" s="15"/>
      <c r="D89" s="15"/>
      <c r="E89" s="41"/>
      <c r="F89" s="41"/>
      <c r="G89" s="42"/>
      <c r="H89" s="42"/>
      <c r="I89" s="17">
        <v>0</v>
      </c>
    </row>
    <row r="90" spans="1:9" ht="15.75" customHeight="1">
      <c r="A90" s="48"/>
      <c r="B90" s="45" t="s">
        <v>53</v>
      </c>
      <c r="C90" s="35"/>
      <c r="D90" s="35"/>
      <c r="E90" s="35"/>
      <c r="F90" s="35"/>
      <c r="G90" s="35"/>
      <c r="H90" s="35"/>
      <c r="I90" s="43">
        <f>I82+I88</f>
        <v>48107.849633088888</v>
      </c>
    </row>
    <row r="91" spans="1:9" ht="15.75" customHeight="1">
      <c r="A91" s="142" t="s">
        <v>234</v>
      </c>
      <c r="B91" s="142"/>
      <c r="C91" s="142"/>
      <c r="D91" s="142"/>
      <c r="E91" s="142"/>
      <c r="F91" s="142"/>
      <c r="G91" s="142"/>
      <c r="H91" s="142"/>
      <c r="I91" s="142"/>
    </row>
    <row r="92" spans="1:9" ht="15.75" customHeight="1">
      <c r="A92" s="64"/>
      <c r="B92" s="143" t="s">
        <v>235</v>
      </c>
      <c r="C92" s="143"/>
      <c r="D92" s="143"/>
      <c r="E92" s="143"/>
      <c r="F92" s="143"/>
      <c r="G92" s="143"/>
      <c r="H92" s="70"/>
      <c r="I92" s="3"/>
    </row>
    <row r="93" spans="1:9">
      <c r="A93" s="49"/>
      <c r="B93" s="144" t="s">
        <v>6</v>
      </c>
      <c r="C93" s="144"/>
      <c r="D93" s="144"/>
      <c r="E93" s="144"/>
      <c r="F93" s="144"/>
      <c r="G93" s="144"/>
      <c r="H93" s="27"/>
      <c r="I93" s="50"/>
    </row>
    <row r="94" spans="1:9" ht="15.75" customHeight="1">
      <c r="A94" s="56"/>
      <c r="B94" s="56"/>
      <c r="C94" s="56"/>
      <c r="D94" s="56"/>
      <c r="E94" s="56"/>
      <c r="F94" s="56"/>
      <c r="G94" s="56"/>
      <c r="H94" s="56"/>
      <c r="I94" s="56"/>
    </row>
    <row r="95" spans="1:9" ht="15.75" customHeight="1">
      <c r="A95" s="145" t="s">
        <v>7</v>
      </c>
      <c r="B95" s="145"/>
      <c r="C95" s="145"/>
      <c r="D95" s="145"/>
      <c r="E95" s="145"/>
      <c r="F95" s="145"/>
      <c r="G95" s="145"/>
      <c r="H95" s="145"/>
      <c r="I95" s="145"/>
    </row>
    <row r="96" spans="1:9" ht="15.75" customHeight="1">
      <c r="A96" s="145" t="s">
        <v>8</v>
      </c>
      <c r="B96" s="145"/>
      <c r="C96" s="145"/>
      <c r="D96" s="145"/>
      <c r="E96" s="145"/>
      <c r="F96" s="145"/>
      <c r="G96" s="145"/>
      <c r="H96" s="145"/>
      <c r="I96" s="145"/>
    </row>
    <row r="97" spans="1:9" ht="15.75" customHeight="1">
      <c r="A97" s="146" t="s">
        <v>63</v>
      </c>
      <c r="B97" s="146"/>
      <c r="C97" s="146"/>
      <c r="D97" s="146"/>
      <c r="E97" s="146"/>
      <c r="F97" s="146"/>
      <c r="G97" s="146"/>
      <c r="H97" s="146"/>
      <c r="I97" s="146"/>
    </row>
    <row r="98" spans="1:9" ht="15.75" customHeight="1">
      <c r="A98" s="11"/>
    </row>
    <row r="99" spans="1:9" ht="15.75" customHeight="1">
      <c r="A99" s="147" t="s">
        <v>9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 customHeight="1">
      <c r="A100" s="4"/>
    </row>
    <row r="101" spans="1:9" ht="15.75" customHeight="1">
      <c r="B101" s="61" t="s">
        <v>10</v>
      </c>
      <c r="C101" s="148" t="s">
        <v>147</v>
      </c>
      <c r="D101" s="148"/>
      <c r="E101" s="148"/>
      <c r="F101" s="68"/>
      <c r="I101" s="59"/>
    </row>
    <row r="102" spans="1:9" ht="15.75" customHeight="1">
      <c r="A102" s="60"/>
      <c r="C102" s="144" t="s">
        <v>11</v>
      </c>
      <c r="D102" s="144"/>
      <c r="E102" s="144"/>
      <c r="F102" s="27"/>
      <c r="I102" s="58" t="s">
        <v>12</v>
      </c>
    </row>
    <row r="103" spans="1:9" ht="15.75" customHeight="1">
      <c r="A103" s="28"/>
      <c r="C103" s="12"/>
      <c r="D103" s="12"/>
      <c r="G103" s="12"/>
      <c r="H103" s="12"/>
    </row>
    <row r="104" spans="1:9" ht="15.75">
      <c r="B104" s="61" t="s">
        <v>13</v>
      </c>
      <c r="C104" s="149"/>
      <c r="D104" s="149"/>
      <c r="E104" s="149"/>
      <c r="F104" s="69"/>
      <c r="I104" s="59"/>
    </row>
    <row r="105" spans="1:9">
      <c r="A105" s="60"/>
      <c r="C105" s="138" t="s">
        <v>11</v>
      </c>
      <c r="D105" s="138"/>
      <c r="E105" s="138"/>
      <c r="F105" s="60"/>
      <c r="I105" s="58" t="s">
        <v>12</v>
      </c>
    </row>
    <row r="106" spans="1:9" ht="15.75" customHeight="1">
      <c r="A106" s="4" t="s">
        <v>14</v>
      </c>
    </row>
    <row r="107" spans="1:9" ht="15.75" customHeight="1">
      <c r="A107" s="150" t="s">
        <v>15</v>
      </c>
      <c r="B107" s="150"/>
      <c r="C107" s="150"/>
      <c r="D107" s="150"/>
      <c r="E107" s="150"/>
      <c r="F107" s="150"/>
      <c r="G107" s="150"/>
      <c r="H107" s="150"/>
      <c r="I107" s="150"/>
    </row>
    <row r="108" spans="1:9" ht="45" customHeight="1">
      <c r="A108" s="151" t="s">
        <v>16</v>
      </c>
      <c r="B108" s="151"/>
      <c r="C108" s="151"/>
      <c r="D108" s="151"/>
      <c r="E108" s="151"/>
      <c r="F108" s="151"/>
      <c r="G108" s="151"/>
      <c r="H108" s="151"/>
      <c r="I108" s="151"/>
    </row>
    <row r="109" spans="1:9" ht="30" customHeight="1">
      <c r="A109" s="151" t="s">
        <v>17</v>
      </c>
      <c r="B109" s="151"/>
      <c r="C109" s="151"/>
      <c r="D109" s="151"/>
      <c r="E109" s="151"/>
      <c r="F109" s="151"/>
      <c r="G109" s="151"/>
      <c r="H109" s="151"/>
      <c r="I109" s="151"/>
    </row>
    <row r="110" spans="1:9" ht="30" customHeight="1">
      <c r="A110" s="151" t="s">
        <v>21</v>
      </c>
      <c r="B110" s="151"/>
      <c r="C110" s="151"/>
      <c r="D110" s="151"/>
      <c r="E110" s="151"/>
      <c r="F110" s="151"/>
      <c r="G110" s="151"/>
      <c r="H110" s="151"/>
      <c r="I110" s="151"/>
    </row>
    <row r="111" spans="1:9" ht="15" customHeight="1">
      <c r="A111" s="151" t="s">
        <v>20</v>
      </c>
      <c r="B111" s="151"/>
      <c r="C111" s="151"/>
      <c r="D111" s="151"/>
      <c r="E111" s="151"/>
      <c r="F111" s="151"/>
      <c r="G111" s="151"/>
      <c r="H111" s="151"/>
      <c r="I111" s="151"/>
    </row>
  </sheetData>
  <autoFilter ref="I12:I61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8:I28"/>
    <mergeCell ref="A44:I44"/>
    <mergeCell ref="A55:I55"/>
    <mergeCell ref="A91:I91"/>
    <mergeCell ref="B92:G92"/>
    <mergeCell ref="B93:G93"/>
    <mergeCell ref="A95:I95"/>
    <mergeCell ref="A96:I96"/>
    <mergeCell ref="A83:I83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236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237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115"/>
      <c r="C6" s="115"/>
      <c r="D6" s="115"/>
      <c r="E6" s="115"/>
      <c r="F6" s="115"/>
      <c r="G6" s="115"/>
      <c r="H6" s="115"/>
      <c r="I6" s="33">
        <v>43069</v>
      </c>
      <c r="J6" s="2"/>
      <c r="K6" s="2"/>
      <c r="L6" s="2"/>
      <c r="M6" s="2"/>
    </row>
    <row r="7" spans="1:13" ht="15.75">
      <c r="B7" s="118"/>
      <c r="C7" s="118"/>
      <c r="D7" s="11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hidden="1" customHeight="1">
      <c r="A19" s="32"/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5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6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7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15.75" hidden="1" customHeight="1">
      <c r="A30" s="32">
        <v>8</v>
      </c>
      <c r="B30" s="74" t="s">
        <v>112</v>
      </c>
      <c r="C30" s="75" t="s">
        <v>95</v>
      </c>
      <c r="D30" s="74" t="s">
        <v>207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1">SUM(F30*G30/1000)</f>
        <v>5.4076993880000011</v>
      </c>
      <c r="I30" s="13">
        <f t="shared" ref="I30:I34" si="2">F30/6*G30</f>
        <v>901.28323133333345</v>
      </c>
      <c r="J30" s="25"/>
      <c r="K30" s="8"/>
      <c r="L30" s="8"/>
      <c r="M30" s="8"/>
    </row>
    <row r="31" spans="1:13" ht="31.5" hidden="1" customHeight="1">
      <c r="A31" s="32">
        <v>9</v>
      </c>
      <c r="B31" s="74" t="s">
        <v>126</v>
      </c>
      <c r="C31" s="75" t="s">
        <v>95</v>
      </c>
      <c r="D31" s="74" t="s">
        <v>208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1"/>
        <v>9.2288080872000009</v>
      </c>
      <c r="I31" s="13">
        <f t="shared" si="2"/>
        <v>1538.1346812000002</v>
      </c>
      <c r="J31" s="25"/>
      <c r="K31" s="8"/>
      <c r="L31" s="8"/>
      <c r="M31" s="8"/>
    </row>
    <row r="32" spans="1:13" ht="15.75" hidden="1" customHeight="1">
      <c r="A32" s="32"/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1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hidden="1" customHeight="1">
      <c r="A33" s="32">
        <v>10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2"/>
        <v>336.35516666666672</v>
      </c>
      <c r="J33" s="25"/>
      <c r="K33" s="8"/>
      <c r="L33" s="8"/>
      <c r="M33" s="8"/>
    </row>
    <row r="34" spans="1:14" ht="15.75" hidden="1" customHeight="1">
      <c r="A34" s="32">
        <v>11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1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1"/>
        <v>2.2726599999999997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3">SUM(F38*G38/1000)</f>
        <v>15.272200000000002</v>
      </c>
      <c r="I38" s="13">
        <f t="shared" ref="I38:I43" si="4">F38/6*G38</f>
        <v>2545.3666666666668</v>
      </c>
      <c r="J38" s="26"/>
    </row>
    <row r="39" spans="1:14" ht="15.75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3"/>
        <v>19.238955416</v>
      </c>
      <c r="I39" s="13">
        <f t="shared" si="4"/>
        <v>3206.492569333333</v>
      </c>
      <c r="J39" s="26"/>
      <c r="L39" s="19"/>
      <c r="M39" s="20"/>
      <c r="N39" s="21"/>
    </row>
    <row r="40" spans="1:14" ht="15.75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3"/>
        <v>5.8367605999999999</v>
      </c>
      <c r="I40" s="13">
        <f t="shared" si="4"/>
        <v>972.79343333333316</v>
      </c>
      <c r="J40" s="26"/>
      <c r="L40" s="19"/>
      <c r="M40" s="20"/>
      <c r="N40" s="21"/>
    </row>
    <row r="41" spans="1:14" ht="48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3"/>
        <v>6.9639359999999995</v>
      </c>
      <c r="I41" s="13">
        <f t="shared" si="4"/>
        <v>1160.6559999999999</v>
      </c>
      <c r="J41" s="26"/>
      <c r="L41" s="19"/>
      <c r="M41" s="20"/>
      <c r="N41" s="21"/>
    </row>
    <row r="42" spans="1:14" ht="15.75" hidden="1" customHeight="1">
      <c r="A42" s="32">
        <v>12</v>
      </c>
      <c r="B42" s="74" t="s">
        <v>96</v>
      </c>
      <c r="C42" s="75" t="s">
        <v>95</v>
      </c>
      <c r="D42" s="74" t="s">
        <v>71</v>
      </c>
      <c r="E42" s="77">
        <v>123.36</v>
      </c>
      <c r="F42" s="77">
        <f>SUM(E42*45/1000)</f>
        <v>5.5511999999999997</v>
      </c>
      <c r="G42" s="77">
        <v>428.7</v>
      </c>
      <c r="H42" s="78">
        <f t="shared" si="3"/>
        <v>2.3797994399999998</v>
      </c>
      <c r="I42" s="13">
        <f t="shared" si="4"/>
        <v>396.63323999999994</v>
      </c>
      <c r="J42" s="26"/>
      <c r="L42" s="19"/>
      <c r="M42" s="20"/>
      <c r="N42" s="21"/>
    </row>
    <row r="43" spans="1:14" ht="15.75" customHeight="1">
      <c r="A43" s="32">
        <v>12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3"/>
        <v>0.71820000000000006</v>
      </c>
      <c r="I43" s="13">
        <f t="shared" si="4"/>
        <v>119.69999999999999</v>
      </c>
      <c r="J43" s="26"/>
      <c r="L43" s="19"/>
      <c r="M43" s="20"/>
      <c r="N43" s="21"/>
    </row>
    <row r="44" spans="1:14" ht="15.75" hidden="1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hidden="1" customHeight="1">
      <c r="A45" s="32"/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5"/>
        <v>2.44182897</v>
      </c>
      <c r="I49" s="13">
        <v>0</v>
      </c>
      <c r="J49" s="26"/>
      <c r="L49" s="19"/>
      <c r="M49" s="20"/>
      <c r="N49" s="21"/>
    </row>
    <row r="50" spans="1:22" ht="15.75" hidden="1" customHeight="1">
      <c r="A50" s="32">
        <v>14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5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hidden="1" customHeight="1">
      <c r="A51" s="32"/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5"/>
        <v>4.65129444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5"/>
        <v>1.0921959999999999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5"/>
        <v>0.11304260000000001</v>
      </c>
      <c r="I53" s="13">
        <v>0</v>
      </c>
      <c r="J53" s="26"/>
      <c r="L53" s="19"/>
      <c r="M53" s="20"/>
      <c r="N53" s="21"/>
    </row>
    <row r="54" spans="1:22" ht="15.75" hidden="1" customHeight="1">
      <c r="A54" s="32">
        <v>15</v>
      </c>
      <c r="B54" s="74" t="s">
        <v>42</v>
      </c>
      <c r="C54" s="75" t="s">
        <v>114</v>
      </c>
      <c r="D54" s="74" t="s">
        <v>73</v>
      </c>
      <c r="E54" s="76">
        <v>120</v>
      </c>
      <c r="F54" s="77">
        <f>SUM(E54)*3</f>
        <v>360</v>
      </c>
      <c r="G54" s="13">
        <v>65.67</v>
      </c>
      <c r="H54" s="78">
        <f t="shared" si="5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135" t="s">
        <v>148</v>
      </c>
      <c r="B55" s="136"/>
      <c r="C55" s="136"/>
      <c r="D55" s="136"/>
      <c r="E55" s="136"/>
      <c r="F55" s="136"/>
      <c r="G55" s="136"/>
      <c r="H55" s="136"/>
      <c r="I55" s="137"/>
      <c r="J55" s="26"/>
      <c r="L55" s="19"/>
      <c r="M55" s="20"/>
      <c r="N55" s="21"/>
    </row>
    <row r="56" spans="1:22" ht="15.75" customHeight="1">
      <c r="A56" s="32"/>
      <c r="B56" s="100" t="s">
        <v>44</v>
      </c>
      <c r="C56" s="75"/>
      <c r="D56" s="74"/>
      <c r="E56" s="76"/>
      <c r="F56" s="77"/>
      <c r="G56" s="77"/>
      <c r="H56" s="78"/>
      <c r="I56" s="13"/>
      <c r="J56" s="26"/>
      <c r="L56" s="19"/>
      <c r="M56" s="20"/>
      <c r="N56" s="21"/>
    </row>
    <row r="57" spans="1:22" ht="31.5" customHeight="1">
      <c r="A57" s="32">
        <v>13</v>
      </c>
      <c r="B57" s="74" t="s">
        <v>129</v>
      </c>
      <c r="C57" s="75" t="s">
        <v>93</v>
      </c>
      <c r="D57" s="74" t="s">
        <v>115</v>
      </c>
      <c r="E57" s="76">
        <v>131.77500000000001</v>
      </c>
      <c r="F57" s="77">
        <f>SUM(E57*6/100)</f>
        <v>7.9065000000000012</v>
      </c>
      <c r="G57" s="13">
        <v>1547.28</v>
      </c>
      <c r="H57" s="78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101" t="s">
        <v>45</v>
      </c>
      <c r="C58" s="83"/>
      <c r="D58" s="84"/>
      <c r="E58" s="85"/>
      <c r="F58" s="87"/>
      <c r="G58" s="13"/>
      <c r="H58" s="88"/>
      <c r="I58" s="13"/>
      <c r="J58" s="26"/>
      <c r="L58" s="19"/>
      <c r="M58" s="20"/>
      <c r="N58" s="21"/>
    </row>
    <row r="59" spans="1:22" ht="15.75" hidden="1" customHeight="1">
      <c r="A59" s="32"/>
      <c r="B59" s="84" t="s">
        <v>138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84" t="s">
        <v>139</v>
      </c>
      <c r="C60" s="83" t="s">
        <v>54</v>
      </c>
      <c r="D60" s="84" t="s">
        <v>55</v>
      </c>
      <c r="E60" s="85">
        <v>890</v>
      </c>
      <c r="F60" s="87">
        <v>8.9</v>
      </c>
      <c r="G60" s="13">
        <v>793.61</v>
      </c>
      <c r="H60" s="88">
        <f>F60*G60/1000</f>
        <v>7.0631290000000009</v>
      </c>
      <c r="I60" s="13">
        <v>0</v>
      </c>
    </row>
    <row r="61" spans="1:22" ht="15.75" customHeight="1">
      <c r="A61" s="32">
        <v>14</v>
      </c>
      <c r="B61" s="84" t="s">
        <v>127</v>
      </c>
      <c r="C61" s="83" t="s">
        <v>25</v>
      </c>
      <c r="D61" s="84" t="s">
        <v>30</v>
      </c>
      <c r="E61" s="85">
        <v>158.19999999999999</v>
      </c>
      <c r="F61" s="87">
        <f>E61*12</f>
        <v>1898.3999999999999</v>
      </c>
      <c r="G61" s="94">
        <v>2.6</v>
      </c>
      <c r="H61" s="88">
        <f>F61*G61/1000</f>
        <v>4.9358399999999998</v>
      </c>
      <c r="I61" s="13">
        <f>F61/12*G61</f>
        <v>411.32</v>
      </c>
    </row>
    <row r="62" spans="1:22" ht="15.75" hidden="1" customHeight="1">
      <c r="A62" s="32"/>
      <c r="B62" s="101" t="s">
        <v>46</v>
      </c>
      <c r="C62" s="83"/>
      <c r="D62" s="84"/>
      <c r="E62" s="85"/>
      <c r="F62" s="86"/>
      <c r="G62" s="86"/>
      <c r="H62" s="87" t="s">
        <v>130</v>
      </c>
      <c r="I62" s="13"/>
    </row>
    <row r="63" spans="1:22" ht="15.75" hidden="1" customHeight="1">
      <c r="A63" s="32"/>
      <c r="B63" s="14" t="s">
        <v>47</v>
      </c>
      <c r="C63" s="16" t="s">
        <v>114</v>
      </c>
      <c r="D63" s="14" t="s">
        <v>151</v>
      </c>
      <c r="E63" s="18">
        <v>15</v>
      </c>
      <c r="F63" s="77">
        <v>15</v>
      </c>
      <c r="G63" s="13">
        <v>222.4</v>
      </c>
      <c r="H63" s="89">
        <f t="shared" ref="H63:H76" si="6">SUM(F63*G63/1000)</f>
        <v>3.3359999999999999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114</v>
      </c>
      <c r="D64" s="14" t="s">
        <v>151</v>
      </c>
      <c r="E64" s="18">
        <v>8</v>
      </c>
      <c r="F64" s="77">
        <v>8</v>
      </c>
      <c r="G64" s="13">
        <v>76.25</v>
      </c>
      <c r="H64" s="89">
        <f t="shared" si="6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116</v>
      </c>
      <c r="D65" s="14" t="s">
        <v>55</v>
      </c>
      <c r="E65" s="76">
        <v>14220</v>
      </c>
      <c r="F65" s="13">
        <f>SUM(E65/100)</f>
        <v>142.19999999999999</v>
      </c>
      <c r="G65" s="13">
        <v>212.15</v>
      </c>
      <c r="H65" s="89">
        <f t="shared" si="6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117</v>
      </c>
      <c r="D66" s="14"/>
      <c r="E66" s="76">
        <v>14220</v>
      </c>
      <c r="F66" s="13">
        <f>SUM(E66/1000)</f>
        <v>14.22</v>
      </c>
      <c r="G66" s="13">
        <v>165.21</v>
      </c>
      <c r="H66" s="89">
        <f t="shared" si="6"/>
        <v>2.3492861999999999</v>
      </c>
      <c r="I66" s="13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8"/>
      <c r="S66" s="138"/>
      <c r="T66" s="138"/>
      <c r="U66" s="138"/>
    </row>
    <row r="67" spans="1:21" ht="15.75" hidden="1" customHeight="1">
      <c r="A67" s="32"/>
      <c r="B67" s="14" t="s">
        <v>51</v>
      </c>
      <c r="C67" s="16" t="s">
        <v>79</v>
      </c>
      <c r="D67" s="14" t="s">
        <v>55</v>
      </c>
      <c r="E67" s="76">
        <v>2260</v>
      </c>
      <c r="F67" s="13">
        <f>SUM(E67/100)</f>
        <v>22.6</v>
      </c>
      <c r="G67" s="13">
        <v>2074.63</v>
      </c>
      <c r="H67" s="89">
        <f t="shared" si="6"/>
        <v>46.886638000000005</v>
      </c>
      <c r="I67" s="13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90" t="s">
        <v>118</v>
      </c>
      <c r="C68" s="16" t="s">
        <v>33</v>
      </c>
      <c r="D68" s="14"/>
      <c r="E68" s="76">
        <v>11</v>
      </c>
      <c r="F68" s="13">
        <f>SUM(E68)</f>
        <v>11</v>
      </c>
      <c r="G68" s="13">
        <v>45.32</v>
      </c>
      <c r="H68" s="89">
        <f t="shared" si="6"/>
        <v>0.49851999999999996</v>
      </c>
      <c r="I68" s="13">
        <f t="shared" si="7"/>
        <v>498.52</v>
      </c>
    </row>
    <row r="69" spans="1:21" ht="15.75" hidden="1" customHeight="1">
      <c r="A69" s="32"/>
      <c r="B69" s="90" t="s">
        <v>119</v>
      </c>
      <c r="C69" s="16" t="s">
        <v>33</v>
      </c>
      <c r="D69" s="14"/>
      <c r="E69" s="76">
        <v>11</v>
      </c>
      <c r="F69" s="13">
        <f>SUM(E69)</f>
        <v>11</v>
      </c>
      <c r="G69" s="13">
        <v>42.28</v>
      </c>
      <c r="H69" s="89">
        <f t="shared" si="6"/>
        <v>0.46508000000000005</v>
      </c>
      <c r="I69" s="13">
        <f t="shared" si="7"/>
        <v>465.08000000000004</v>
      </c>
    </row>
    <row r="70" spans="1:21" ht="15.75" hidden="1" customHeight="1">
      <c r="A70" s="32"/>
      <c r="B70" s="14" t="s">
        <v>59</v>
      </c>
      <c r="C70" s="16" t="s">
        <v>60</v>
      </c>
      <c r="D70" s="14" t="s">
        <v>55</v>
      </c>
      <c r="E70" s="18">
        <v>8</v>
      </c>
      <c r="F70" s="77">
        <v>8</v>
      </c>
      <c r="G70" s="13">
        <v>49.88</v>
      </c>
      <c r="H70" s="89">
        <f t="shared" si="6"/>
        <v>0.39904000000000001</v>
      </c>
      <c r="I70" s="13">
        <f t="shared" si="7"/>
        <v>399.04</v>
      </c>
    </row>
    <row r="71" spans="1:21" ht="15.75" hidden="1" customHeight="1">
      <c r="A71" s="32"/>
      <c r="B71" s="114" t="s">
        <v>74</v>
      </c>
      <c r="C71" s="16"/>
      <c r="D71" s="14"/>
      <c r="E71" s="18"/>
      <c r="F71" s="13"/>
      <c r="G71" s="13"/>
      <c r="H71" s="89" t="s">
        <v>130</v>
      </c>
      <c r="I71" s="13"/>
    </row>
    <row r="72" spans="1:21" ht="15.75" hidden="1" customHeight="1">
      <c r="A72" s="32"/>
      <c r="B72" s="14" t="s">
        <v>75</v>
      </c>
      <c r="C72" s="16" t="s">
        <v>77</v>
      </c>
      <c r="D72" s="14"/>
      <c r="E72" s="18">
        <v>2</v>
      </c>
      <c r="F72" s="13">
        <v>0.2</v>
      </c>
      <c r="G72" s="13">
        <v>501.62</v>
      </c>
      <c r="H72" s="89">
        <f t="shared" si="6"/>
        <v>0.10032400000000001</v>
      </c>
      <c r="I72" s="13">
        <v>0</v>
      </c>
    </row>
    <row r="73" spans="1:21" ht="15.75" hidden="1" customHeight="1">
      <c r="A73" s="32"/>
      <c r="B73" s="14" t="s">
        <v>76</v>
      </c>
      <c r="C73" s="16" t="s">
        <v>31</v>
      </c>
      <c r="D73" s="14"/>
      <c r="E73" s="18">
        <v>1</v>
      </c>
      <c r="F73" s="66">
        <v>1</v>
      </c>
      <c r="G73" s="13">
        <v>852.99</v>
      </c>
      <c r="H73" s="89">
        <f>F73*G73/1000</f>
        <v>0.85299000000000003</v>
      </c>
      <c r="I73" s="13">
        <v>0</v>
      </c>
    </row>
    <row r="74" spans="1:21" ht="15.75" hidden="1" customHeight="1">
      <c r="A74" s="32"/>
      <c r="B74" s="14" t="s">
        <v>121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9">
        <f>G74*F74/1000</f>
        <v>0.35851</v>
      </c>
      <c r="I74" s="13">
        <v>0</v>
      </c>
    </row>
    <row r="75" spans="1:21" ht="15.75" hidden="1" customHeight="1">
      <c r="A75" s="32"/>
      <c r="B75" s="92" t="s">
        <v>78</v>
      </c>
      <c r="C75" s="16"/>
      <c r="D75" s="14"/>
      <c r="E75" s="18"/>
      <c r="F75" s="13"/>
      <c r="G75" s="13" t="s">
        <v>130</v>
      </c>
      <c r="H75" s="89" t="s">
        <v>130</v>
      </c>
      <c r="I75" s="13"/>
    </row>
    <row r="76" spans="1:21" ht="15.75" hidden="1" customHeight="1">
      <c r="A76" s="32"/>
      <c r="B76" s="46" t="s">
        <v>128</v>
      </c>
      <c r="C76" s="16" t="s">
        <v>79</v>
      </c>
      <c r="D76" s="14"/>
      <c r="E76" s="18"/>
      <c r="F76" s="13">
        <v>0.1</v>
      </c>
      <c r="G76" s="13">
        <v>2759.44</v>
      </c>
      <c r="H76" s="89">
        <f t="shared" si="6"/>
        <v>0.27594400000000002</v>
      </c>
      <c r="I76" s="13">
        <v>0</v>
      </c>
    </row>
    <row r="77" spans="1:21" ht="15.75" hidden="1" customHeight="1">
      <c r="A77" s="32"/>
      <c r="B77" s="104" t="s">
        <v>99</v>
      </c>
      <c r="C77" s="104"/>
      <c r="D77" s="104"/>
      <c r="E77" s="104"/>
      <c r="F77" s="104"/>
      <c r="G77" s="80"/>
      <c r="H77" s="93">
        <f>SUM(H57:H76)</f>
        <v>117.59572952000001</v>
      </c>
      <c r="I77" s="80"/>
    </row>
    <row r="78" spans="1:21" ht="15.75" hidden="1" customHeight="1">
      <c r="A78" s="32"/>
      <c r="B78" s="102" t="s">
        <v>120</v>
      </c>
      <c r="C78" s="23"/>
      <c r="D78" s="22"/>
      <c r="E78" s="67"/>
      <c r="F78" s="103">
        <v>1</v>
      </c>
      <c r="G78" s="13">
        <v>10966.5</v>
      </c>
      <c r="H78" s="89">
        <f>G78*F78/1000</f>
        <v>10.9665</v>
      </c>
      <c r="I78" s="13">
        <v>0</v>
      </c>
    </row>
    <row r="79" spans="1:21" ht="15.75" customHeight="1">
      <c r="A79" s="139" t="s">
        <v>149</v>
      </c>
      <c r="B79" s="140"/>
      <c r="C79" s="140"/>
      <c r="D79" s="140"/>
      <c r="E79" s="140"/>
      <c r="F79" s="140"/>
      <c r="G79" s="140"/>
      <c r="H79" s="140"/>
      <c r="I79" s="141"/>
    </row>
    <row r="80" spans="1:21" ht="15.75" customHeight="1">
      <c r="A80" s="32">
        <v>15</v>
      </c>
      <c r="B80" s="74" t="s">
        <v>122</v>
      </c>
      <c r="C80" s="16" t="s">
        <v>56</v>
      </c>
      <c r="D80" s="65" t="s">
        <v>57</v>
      </c>
      <c r="E80" s="13">
        <v>3382.7</v>
      </c>
      <c r="F80" s="13">
        <f>SUM(E80*12)</f>
        <v>40592.399999999994</v>
      </c>
      <c r="G80" s="13">
        <v>2.1</v>
      </c>
      <c r="H80" s="89">
        <f>SUM(F80*G80/1000)</f>
        <v>85.244039999999998</v>
      </c>
      <c r="I80" s="13">
        <f>F80/12*G80</f>
        <v>7103.6699999999992</v>
      </c>
    </row>
    <row r="81" spans="1:9" ht="31.5" customHeight="1">
      <c r="A81" s="32">
        <v>16</v>
      </c>
      <c r="B81" s="14" t="s">
        <v>80</v>
      </c>
      <c r="C81" s="16"/>
      <c r="D81" s="65" t="s">
        <v>57</v>
      </c>
      <c r="E81" s="76">
        <f>E80</f>
        <v>3382.7</v>
      </c>
      <c r="F81" s="13">
        <f>E81*12</f>
        <v>40592.399999999994</v>
      </c>
      <c r="G81" s="13">
        <v>1.63</v>
      </c>
      <c r="H81" s="89">
        <f>F81*G81/1000</f>
        <v>66.165611999999982</v>
      </c>
      <c r="I81" s="13">
        <f>F81/12*G81</f>
        <v>5513.8009999999986</v>
      </c>
    </row>
    <row r="82" spans="1:9" ht="15.75" customHeight="1">
      <c r="A82" s="32"/>
      <c r="B82" s="39" t="s">
        <v>83</v>
      </c>
      <c r="C82" s="92"/>
      <c r="D82" s="91"/>
      <c r="E82" s="80"/>
      <c r="F82" s="80"/>
      <c r="G82" s="80"/>
      <c r="H82" s="93">
        <f>H81</f>
        <v>66.165611999999982</v>
      </c>
      <c r="I82" s="80">
        <f>I16+I17+I18+I20+I21+I26+I27+I38+I39+I40+I41+I43+I57+I61+I80+I81</f>
        <v>47356.916459333326</v>
      </c>
    </row>
    <row r="83" spans="1:9" ht="15.75" customHeight="1">
      <c r="A83" s="126" t="s">
        <v>62</v>
      </c>
      <c r="B83" s="127"/>
      <c r="C83" s="127"/>
      <c r="D83" s="127"/>
      <c r="E83" s="127"/>
      <c r="F83" s="127"/>
      <c r="G83" s="127"/>
      <c r="H83" s="127"/>
      <c r="I83" s="128"/>
    </row>
    <row r="84" spans="1:9" ht="15.75" customHeight="1">
      <c r="A84" s="32">
        <v>17</v>
      </c>
      <c r="B84" s="51" t="s">
        <v>133</v>
      </c>
      <c r="C84" s="73" t="s">
        <v>114</v>
      </c>
      <c r="D84" s="84"/>
      <c r="E84" s="85"/>
      <c r="F84" s="86">
        <v>732</v>
      </c>
      <c r="G84" s="95">
        <v>53.42</v>
      </c>
      <c r="H84" s="87">
        <f>SUM(F84*G84/1000)</f>
        <v>39.103439999999999</v>
      </c>
      <c r="I84" s="95">
        <f>G84*61</f>
        <v>3258.62</v>
      </c>
    </row>
    <row r="85" spans="1:9" ht="15.75" customHeight="1">
      <c r="A85" s="32">
        <v>18</v>
      </c>
      <c r="B85" s="51" t="s">
        <v>161</v>
      </c>
      <c r="C85" s="54" t="s">
        <v>88</v>
      </c>
      <c r="D85" s="109"/>
      <c r="E85" s="17"/>
      <c r="F85" s="110">
        <v>3</v>
      </c>
      <c r="G85" s="36">
        <v>195.85</v>
      </c>
      <c r="H85" s="108">
        <f t="shared" ref="H85" si="8">SUM(F85*G85/1000)</f>
        <v>0.58754999999999991</v>
      </c>
      <c r="I85" s="95">
        <f>G85</f>
        <v>195.85</v>
      </c>
    </row>
    <row r="86" spans="1:9" ht="31.5" customHeight="1">
      <c r="A86" s="32">
        <v>19</v>
      </c>
      <c r="B86" s="51" t="s">
        <v>216</v>
      </c>
      <c r="C86" s="54" t="s">
        <v>39</v>
      </c>
      <c r="D86" s="14"/>
      <c r="E86" s="18"/>
      <c r="F86" s="13">
        <v>0.09</v>
      </c>
      <c r="G86" s="13">
        <v>3581.13</v>
      </c>
      <c r="H86" s="87">
        <f>SUM(F86*G86/1000)</f>
        <v>0.32230169999999997</v>
      </c>
      <c r="I86" s="95">
        <f>G86*0.01</f>
        <v>35.811300000000003</v>
      </c>
    </row>
    <row r="87" spans="1:9" ht="31.5" customHeight="1">
      <c r="A87" s="32">
        <v>20</v>
      </c>
      <c r="B87" s="98" t="s">
        <v>238</v>
      </c>
      <c r="C87" s="32" t="s">
        <v>239</v>
      </c>
      <c r="D87" s="38"/>
      <c r="E87" s="17"/>
      <c r="F87" s="36">
        <v>1</v>
      </c>
      <c r="G87" s="36">
        <v>1934.94</v>
      </c>
      <c r="H87" s="108">
        <f t="shared" ref="H87" si="9">SUM(F87*G87/1000)</f>
        <v>1.9349400000000001</v>
      </c>
      <c r="I87" s="95">
        <f>G87</f>
        <v>1934.94</v>
      </c>
    </row>
    <row r="88" spans="1:9" ht="15.75" customHeight="1">
      <c r="A88" s="32"/>
      <c r="B88" s="44" t="s">
        <v>52</v>
      </c>
      <c r="C88" s="40"/>
      <c r="D88" s="47"/>
      <c r="E88" s="40">
        <v>1</v>
      </c>
      <c r="F88" s="40"/>
      <c r="G88" s="40"/>
      <c r="H88" s="40"/>
      <c r="I88" s="34">
        <f>SUM(I84:I87)</f>
        <v>5425.2212999999992</v>
      </c>
    </row>
    <row r="89" spans="1:9" ht="15.75" customHeight="1">
      <c r="A89" s="32"/>
      <c r="B89" s="46" t="s">
        <v>81</v>
      </c>
      <c r="C89" s="15"/>
      <c r="D89" s="15"/>
      <c r="E89" s="41"/>
      <c r="F89" s="41"/>
      <c r="G89" s="42"/>
      <c r="H89" s="42"/>
      <c r="I89" s="17">
        <v>0</v>
      </c>
    </row>
    <row r="90" spans="1:9" ht="15.75" customHeight="1">
      <c r="A90" s="48"/>
      <c r="B90" s="45" t="s">
        <v>53</v>
      </c>
      <c r="C90" s="35"/>
      <c r="D90" s="35"/>
      <c r="E90" s="35"/>
      <c r="F90" s="35"/>
      <c r="G90" s="35"/>
      <c r="H90" s="35"/>
      <c r="I90" s="43">
        <f>I82+I88</f>
        <v>52782.137759333324</v>
      </c>
    </row>
    <row r="91" spans="1:9" ht="15.75" customHeight="1">
      <c r="A91" s="142" t="s">
        <v>248</v>
      </c>
      <c r="B91" s="142"/>
      <c r="C91" s="142"/>
      <c r="D91" s="142"/>
      <c r="E91" s="142"/>
      <c r="F91" s="142"/>
      <c r="G91" s="142"/>
      <c r="H91" s="142"/>
      <c r="I91" s="142"/>
    </row>
    <row r="92" spans="1:9" ht="15.75" customHeight="1">
      <c r="A92" s="64"/>
      <c r="B92" s="143" t="s">
        <v>249</v>
      </c>
      <c r="C92" s="143"/>
      <c r="D92" s="143"/>
      <c r="E92" s="143"/>
      <c r="F92" s="143"/>
      <c r="G92" s="143"/>
      <c r="H92" s="70"/>
      <c r="I92" s="3"/>
    </row>
    <row r="93" spans="1:9">
      <c r="A93" s="49"/>
      <c r="B93" s="144" t="s">
        <v>6</v>
      </c>
      <c r="C93" s="144"/>
      <c r="D93" s="144"/>
      <c r="E93" s="144"/>
      <c r="F93" s="144"/>
      <c r="G93" s="144"/>
      <c r="H93" s="27"/>
      <c r="I93" s="50"/>
    </row>
    <row r="94" spans="1:9" ht="15.75" customHeight="1">
      <c r="A94" s="56"/>
      <c r="B94" s="56"/>
      <c r="C94" s="56"/>
      <c r="D94" s="56"/>
      <c r="E94" s="56"/>
      <c r="F94" s="56"/>
      <c r="G94" s="56"/>
      <c r="H94" s="56"/>
      <c r="I94" s="56"/>
    </row>
    <row r="95" spans="1:9" ht="15.75" customHeight="1">
      <c r="A95" s="145" t="s">
        <v>7</v>
      </c>
      <c r="B95" s="145"/>
      <c r="C95" s="145"/>
      <c r="D95" s="145"/>
      <c r="E95" s="145"/>
      <c r="F95" s="145"/>
      <c r="G95" s="145"/>
      <c r="H95" s="145"/>
      <c r="I95" s="145"/>
    </row>
    <row r="96" spans="1:9" ht="15.75" customHeight="1">
      <c r="A96" s="145" t="s">
        <v>8</v>
      </c>
      <c r="B96" s="145"/>
      <c r="C96" s="145"/>
      <c r="D96" s="145"/>
      <c r="E96" s="145"/>
      <c r="F96" s="145"/>
      <c r="G96" s="145"/>
      <c r="H96" s="145"/>
      <c r="I96" s="145"/>
    </row>
    <row r="97" spans="1:9" ht="15.75" customHeight="1">
      <c r="A97" s="146" t="s">
        <v>63</v>
      </c>
      <c r="B97" s="146"/>
      <c r="C97" s="146"/>
      <c r="D97" s="146"/>
      <c r="E97" s="146"/>
      <c r="F97" s="146"/>
      <c r="G97" s="146"/>
      <c r="H97" s="146"/>
      <c r="I97" s="146"/>
    </row>
    <row r="98" spans="1:9" ht="15.75" customHeight="1">
      <c r="A98" s="11"/>
    </row>
    <row r="99" spans="1:9" ht="15.75" customHeight="1">
      <c r="A99" s="147" t="s">
        <v>9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 customHeight="1">
      <c r="A100" s="4"/>
    </row>
    <row r="101" spans="1:9" ht="15.75" customHeight="1">
      <c r="B101" s="118" t="s">
        <v>10</v>
      </c>
      <c r="C101" s="148" t="s">
        <v>147</v>
      </c>
      <c r="D101" s="148"/>
      <c r="E101" s="148"/>
      <c r="F101" s="68"/>
      <c r="I101" s="119"/>
    </row>
    <row r="102" spans="1:9" ht="15.75" customHeight="1">
      <c r="A102" s="116"/>
      <c r="C102" s="144" t="s">
        <v>11</v>
      </c>
      <c r="D102" s="144"/>
      <c r="E102" s="144"/>
      <c r="F102" s="27"/>
      <c r="I102" s="117" t="s">
        <v>12</v>
      </c>
    </row>
    <row r="103" spans="1:9" ht="15.75" customHeight="1">
      <c r="A103" s="28"/>
      <c r="C103" s="12"/>
      <c r="D103" s="12"/>
      <c r="G103" s="12"/>
      <c r="H103" s="12"/>
    </row>
    <row r="104" spans="1:9" ht="15.75">
      <c r="B104" s="118" t="s">
        <v>13</v>
      </c>
      <c r="C104" s="149"/>
      <c r="D104" s="149"/>
      <c r="E104" s="149"/>
      <c r="F104" s="69"/>
      <c r="I104" s="119"/>
    </row>
    <row r="105" spans="1:9">
      <c r="A105" s="116"/>
      <c r="C105" s="138" t="s">
        <v>11</v>
      </c>
      <c r="D105" s="138"/>
      <c r="E105" s="138"/>
      <c r="F105" s="116"/>
      <c r="I105" s="117" t="s">
        <v>12</v>
      </c>
    </row>
    <row r="106" spans="1:9" ht="15.75" customHeight="1">
      <c r="A106" s="4" t="s">
        <v>14</v>
      </c>
    </row>
    <row r="107" spans="1:9" ht="15.75" customHeight="1">
      <c r="A107" s="150" t="s">
        <v>15</v>
      </c>
      <c r="B107" s="150"/>
      <c r="C107" s="150"/>
      <c r="D107" s="150"/>
      <c r="E107" s="150"/>
      <c r="F107" s="150"/>
      <c r="G107" s="150"/>
      <c r="H107" s="150"/>
      <c r="I107" s="150"/>
    </row>
    <row r="108" spans="1:9" ht="45" customHeight="1">
      <c r="A108" s="151" t="s">
        <v>16</v>
      </c>
      <c r="B108" s="151"/>
      <c r="C108" s="151"/>
      <c r="D108" s="151"/>
      <c r="E108" s="151"/>
      <c r="F108" s="151"/>
      <c r="G108" s="151"/>
      <c r="H108" s="151"/>
      <c r="I108" s="151"/>
    </row>
    <row r="109" spans="1:9" ht="30" customHeight="1">
      <c r="A109" s="151" t="s">
        <v>17</v>
      </c>
      <c r="B109" s="151"/>
      <c r="C109" s="151"/>
      <c r="D109" s="151"/>
      <c r="E109" s="151"/>
      <c r="F109" s="151"/>
      <c r="G109" s="151"/>
      <c r="H109" s="151"/>
      <c r="I109" s="151"/>
    </row>
    <row r="110" spans="1:9" ht="30" customHeight="1">
      <c r="A110" s="151" t="s">
        <v>21</v>
      </c>
      <c r="B110" s="151"/>
      <c r="C110" s="151"/>
      <c r="D110" s="151"/>
      <c r="E110" s="151"/>
      <c r="F110" s="151"/>
      <c r="G110" s="151"/>
      <c r="H110" s="151"/>
      <c r="I110" s="151"/>
    </row>
    <row r="111" spans="1:9" ht="15" customHeight="1">
      <c r="A111" s="151" t="s">
        <v>20</v>
      </c>
      <c r="B111" s="151"/>
      <c r="C111" s="151"/>
      <c r="D111" s="151"/>
      <c r="E111" s="151"/>
      <c r="F111" s="151"/>
      <c r="G111" s="151"/>
      <c r="H111" s="151"/>
      <c r="I111" s="151"/>
    </row>
  </sheetData>
  <autoFilter ref="I12:I61"/>
  <mergeCells count="29">
    <mergeCell ref="A79:I79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R66:U66"/>
    <mergeCell ref="C105:E105"/>
    <mergeCell ref="A83:I83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107:I107"/>
    <mergeCell ref="A108:I108"/>
    <mergeCell ref="A109:I109"/>
    <mergeCell ref="A110:I110"/>
    <mergeCell ref="A111:I111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240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241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115"/>
      <c r="C6" s="115"/>
      <c r="D6" s="115"/>
      <c r="E6" s="115"/>
      <c r="F6" s="115"/>
      <c r="G6" s="115"/>
      <c r="H6" s="115"/>
      <c r="I6" s="33">
        <v>43100</v>
      </c>
      <c r="J6" s="2"/>
      <c r="K6" s="2"/>
      <c r="L6" s="2"/>
      <c r="M6" s="2"/>
    </row>
    <row r="7" spans="1:13" ht="15.75">
      <c r="B7" s="118"/>
      <c r="C7" s="118"/>
      <c r="D7" s="11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hidden="1" customHeight="1">
      <c r="A19" s="32"/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5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6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7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15.75" hidden="1" customHeight="1">
      <c r="A30" s="32">
        <v>8</v>
      </c>
      <c r="B30" s="74" t="s">
        <v>112</v>
      </c>
      <c r="C30" s="75" t="s">
        <v>95</v>
      </c>
      <c r="D30" s="74" t="s">
        <v>207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1">SUM(F30*G30/1000)</f>
        <v>5.4076993880000011</v>
      </c>
      <c r="I30" s="13">
        <f t="shared" ref="I30:I34" si="2">F30/6*G30</f>
        <v>901.28323133333345</v>
      </c>
      <c r="J30" s="25"/>
      <c r="K30" s="8"/>
      <c r="L30" s="8"/>
      <c r="M30" s="8"/>
    </row>
    <row r="31" spans="1:13" ht="31.5" hidden="1" customHeight="1">
      <c r="A31" s="32">
        <v>9</v>
      </c>
      <c r="B31" s="74" t="s">
        <v>126</v>
      </c>
      <c r="C31" s="75" t="s">
        <v>95</v>
      </c>
      <c r="D31" s="74" t="s">
        <v>208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1"/>
        <v>9.2288080872000009</v>
      </c>
      <c r="I31" s="13">
        <f t="shared" si="2"/>
        <v>1538.1346812000002</v>
      </c>
      <c r="J31" s="25"/>
      <c r="K31" s="8"/>
      <c r="L31" s="8"/>
      <c r="M31" s="8"/>
    </row>
    <row r="32" spans="1:13" ht="15.75" hidden="1" customHeight="1">
      <c r="A32" s="32"/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1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hidden="1" customHeight="1">
      <c r="A33" s="32">
        <v>10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2"/>
        <v>336.35516666666672</v>
      </c>
      <c r="J33" s="25"/>
      <c r="K33" s="8"/>
      <c r="L33" s="8"/>
      <c r="M33" s="8"/>
    </row>
    <row r="34" spans="1:14" ht="15.75" hidden="1" customHeight="1">
      <c r="A34" s="32">
        <v>11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1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1"/>
        <v>2.2726599999999997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3">SUM(F38*G38/1000)</f>
        <v>15.272200000000002</v>
      </c>
      <c r="I38" s="13">
        <f t="shared" ref="I38:I43" si="4">F38/6*G38</f>
        <v>2545.3666666666668</v>
      </c>
      <c r="J38" s="26"/>
    </row>
    <row r="39" spans="1:14" ht="15.75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3"/>
        <v>19.238955416</v>
      </c>
      <c r="I39" s="13">
        <f t="shared" si="4"/>
        <v>3206.492569333333</v>
      </c>
      <c r="J39" s="26"/>
      <c r="L39" s="19"/>
      <c r="M39" s="20"/>
      <c r="N39" s="21"/>
    </row>
    <row r="40" spans="1:14" ht="15.75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3"/>
        <v>5.8367605999999999</v>
      </c>
      <c r="I40" s="13">
        <f t="shared" si="4"/>
        <v>972.79343333333316</v>
      </c>
      <c r="J40" s="26"/>
      <c r="L40" s="19"/>
      <c r="M40" s="20"/>
      <c r="N40" s="21"/>
    </row>
    <row r="41" spans="1:14" ht="48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3"/>
        <v>6.9639359999999995</v>
      </c>
      <c r="I41" s="13">
        <f t="shared" si="4"/>
        <v>1160.6559999999999</v>
      </c>
      <c r="J41" s="26"/>
      <c r="L41" s="19"/>
      <c r="M41" s="20"/>
      <c r="N41" s="21"/>
    </row>
    <row r="42" spans="1:14" ht="15.75" hidden="1" customHeight="1">
      <c r="A42" s="32">
        <v>12</v>
      </c>
      <c r="B42" s="74" t="s">
        <v>96</v>
      </c>
      <c r="C42" s="75" t="s">
        <v>95</v>
      </c>
      <c r="D42" s="74" t="s">
        <v>71</v>
      </c>
      <c r="E42" s="77">
        <v>123.36</v>
      </c>
      <c r="F42" s="77">
        <f>SUM(E42*45/1000)</f>
        <v>5.5511999999999997</v>
      </c>
      <c r="G42" s="77">
        <v>428.7</v>
      </c>
      <c r="H42" s="78">
        <f t="shared" si="3"/>
        <v>2.3797994399999998</v>
      </c>
      <c r="I42" s="13">
        <f t="shared" si="4"/>
        <v>396.63323999999994</v>
      </c>
      <c r="J42" s="26"/>
      <c r="L42" s="19"/>
      <c r="M42" s="20"/>
      <c r="N42" s="21"/>
    </row>
    <row r="43" spans="1:14" ht="15.75" customHeight="1">
      <c r="A43" s="32">
        <v>12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3"/>
        <v>0.71820000000000006</v>
      </c>
      <c r="I43" s="13">
        <f t="shared" si="4"/>
        <v>119.69999999999999</v>
      </c>
      <c r="J43" s="26"/>
      <c r="L43" s="19"/>
      <c r="M43" s="20"/>
      <c r="N43" s="21"/>
    </row>
    <row r="44" spans="1:14" ht="15.75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hidden="1" customHeight="1">
      <c r="A45" s="32"/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5"/>
        <v>2.44182897</v>
      </c>
      <c r="I49" s="13">
        <v>0</v>
      </c>
      <c r="J49" s="26"/>
      <c r="L49" s="19"/>
      <c r="M49" s="20"/>
      <c r="N49" s="21"/>
    </row>
    <row r="50" spans="1:22" ht="15.75" customHeight="1">
      <c r="A50" s="32">
        <v>13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5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hidden="1" customHeight="1">
      <c r="A51" s="32"/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5"/>
        <v>4.65129444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5"/>
        <v>1.0921959999999999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5"/>
        <v>0.11304260000000001</v>
      </c>
      <c r="I53" s="13">
        <v>0</v>
      </c>
      <c r="J53" s="26"/>
      <c r="L53" s="19"/>
      <c r="M53" s="20"/>
      <c r="N53" s="21"/>
    </row>
    <row r="54" spans="1:22" ht="15.75" customHeight="1">
      <c r="A54" s="32">
        <v>14</v>
      </c>
      <c r="B54" s="74" t="s">
        <v>42</v>
      </c>
      <c r="C54" s="75" t="s">
        <v>114</v>
      </c>
      <c r="D54" s="74" t="s">
        <v>73</v>
      </c>
      <c r="E54" s="76">
        <v>120</v>
      </c>
      <c r="F54" s="77">
        <f>SUM(E54)*3</f>
        <v>360</v>
      </c>
      <c r="G54" s="13">
        <v>65.67</v>
      </c>
      <c r="H54" s="78">
        <f t="shared" si="5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135" t="s">
        <v>145</v>
      </c>
      <c r="B55" s="136"/>
      <c r="C55" s="136"/>
      <c r="D55" s="136"/>
      <c r="E55" s="136"/>
      <c r="F55" s="136"/>
      <c r="G55" s="136"/>
      <c r="H55" s="136"/>
      <c r="I55" s="137"/>
      <c r="J55" s="26"/>
      <c r="L55" s="19"/>
      <c r="M55" s="20"/>
      <c r="N55" s="21"/>
    </row>
    <row r="56" spans="1:22" ht="15.75" customHeight="1">
      <c r="A56" s="32"/>
      <c r="B56" s="100" t="s">
        <v>44</v>
      </c>
      <c r="C56" s="75"/>
      <c r="D56" s="74"/>
      <c r="E56" s="76"/>
      <c r="F56" s="77"/>
      <c r="G56" s="77"/>
      <c r="H56" s="78"/>
      <c r="I56" s="13"/>
      <c r="J56" s="26"/>
      <c r="L56" s="19"/>
      <c r="M56" s="20"/>
      <c r="N56" s="21"/>
    </row>
    <row r="57" spans="1:22" ht="31.5" customHeight="1">
      <c r="A57" s="32">
        <v>15</v>
      </c>
      <c r="B57" s="74" t="s">
        <v>129</v>
      </c>
      <c r="C57" s="75" t="s">
        <v>93</v>
      </c>
      <c r="D57" s="74" t="s">
        <v>115</v>
      </c>
      <c r="E57" s="76">
        <v>131.77500000000001</v>
      </c>
      <c r="F57" s="77">
        <f>SUM(E57*6/100)</f>
        <v>7.9065000000000012</v>
      </c>
      <c r="G57" s="13">
        <v>1547.28</v>
      </c>
      <c r="H57" s="78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101" t="s">
        <v>45</v>
      </c>
      <c r="C58" s="83"/>
      <c r="D58" s="84"/>
      <c r="E58" s="85"/>
      <c r="F58" s="87"/>
      <c r="G58" s="13"/>
      <c r="H58" s="88"/>
      <c r="I58" s="13"/>
      <c r="J58" s="26"/>
      <c r="L58" s="19"/>
      <c r="M58" s="20"/>
      <c r="N58" s="21"/>
    </row>
    <row r="59" spans="1:22" ht="15.75" hidden="1" customHeight="1">
      <c r="A59" s="32"/>
      <c r="B59" s="84" t="s">
        <v>138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84" t="s">
        <v>139</v>
      </c>
      <c r="C60" s="83" t="s">
        <v>54</v>
      </c>
      <c r="D60" s="84" t="s">
        <v>55</v>
      </c>
      <c r="E60" s="85">
        <v>890</v>
      </c>
      <c r="F60" s="87">
        <v>8.9</v>
      </c>
      <c r="G60" s="13">
        <v>793.61</v>
      </c>
      <c r="H60" s="88">
        <f>F60*G60/1000</f>
        <v>7.0631290000000009</v>
      </c>
      <c r="I60" s="13">
        <v>0</v>
      </c>
    </row>
    <row r="61" spans="1:22" ht="15.75" customHeight="1">
      <c r="A61" s="32">
        <v>16</v>
      </c>
      <c r="B61" s="84" t="s">
        <v>127</v>
      </c>
      <c r="C61" s="83" t="s">
        <v>25</v>
      </c>
      <c r="D61" s="84" t="s">
        <v>30</v>
      </c>
      <c r="E61" s="85">
        <v>158.19999999999999</v>
      </c>
      <c r="F61" s="87">
        <f>E61*12</f>
        <v>1898.3999999999999</v>
      </c>
      <c r="G61" s="94">
        <v>2.6</v>
      </c>
      <c r="H61" s="88">
        <f>F61*G61/1000</f>
        <v>4.9358399999999998</v>
      </c>
      <c r="I61" s="13">
        <f>F61/12*G61</f>
        <v>411.32</v>
      </c>
    </row>
    <row r="62" spans="1:22" ht="15.75" hidden="1" customHeight="1">
      <c r="A62" s="32"/>
      <c r="B62" s="101" t="s">
        <v>46</v>
      </c>
      <c r="C62" s="83"/>
      <c r="D62" s="84"/>
      <c r="E62" s="85"/>
      <c r="F62" s="86"/>
      <c r="G62" s="86"/>
      <c r="H62" s="87" t="s">
        <v>130</v>
      </c>
      <c r="I62" s="13"/>
    </row>
    <row r="63" spans="1:22" ht="15.75" hidden="1" customHeight="1">
      <c r="A63" s="32"/>
      <c r="B63" s="14" t="s">
        <v>47</v>
      </c>
      <c r="C63" s="16" t="s">
        <v>114</v>
      </c>
      <c r="D63" s="14" t="s">
        <v>151</v>
      </c>
      <c r="E63" s="18">
        <v>15</v>
      </c>
      <c r="F63" s="77">
        <v>15</v>
      </c>
      <c r="G63" s="13">
        <v>222.4</v>
      </c>
      <c r="H63" s="89">
        <f t="shared" ref="H63:H76" si="6">SUM(F63*G63/1000)</f>
        <v>3.3359999999999999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114</v>
      </c>
      <c r="D64" s="14" t="s">
        <v>151</v>
      </c>
      <c r="E64" s="18">
        <v>8</v>
      </c>
      <c r="F64" s="77">
        <v>8</v>
      </c>
      <c r="G64" s="13">
        <v>76.25</v>
      </c>
      <c r="H64" s="89">
        <f t="shared" si="6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116</v>
      </c>
      <c r="D65" s="14" t="s">
        <v>55</v>
      </c>
      <c r="E65" s="76">
        <v>14220</v>
      </c>
      <c r="F65" s="13">
        <f>SUM(E65/100)</f>
        <v>142.19999999999999</v>
      </c>
      <c r="G65" s="13">
        <v>212.15</v>
      </c>
      <c r="H65" s="89">
        <f t="shared" si="6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117</v>
      </c>
      <c r="D66" s="14"/>
      <c r="E66" s="76">
        <v>14220</v>
      </c>
      <c r="F66" s="13">
        <f>SUM(E66/1000)</f>
        <v>14.22</v>
      </c>
      <c r="G66" s="13">
        <v>165.21</v>
      </c>
      <c r="H66" s="89">
        <f t="shared" si="6"/>
        <v>2.3492861999999999</v>
      </c>
      <c r="I66" s="13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8"/>
      <c r="S66" s="138"/>
      <c r="T66" s="138"/>
      <c r="U66" s="138"/>
    </row>
    <row r="67" spans="1:21" ht="15.75" hidden="1" customHeight="1">
      <c r="A67" s="32"/>
      <c r="B67" s="14" t="s">
        <v>51</v>
      </c>
      <c r="C67" s="16" t="s">
        <v>79</v>
      </c>
      <c r="D67" s="14" t="s">
        <v>55</v>
      </c>
      <c r="E67" s="76">
        <v>2260</v>
      </c>
      <c r="F67" s="13">
        <f>SUM(E67/100)</f>
        <v>22.6</v>
      </c>
      <c r="G67" s="13">
        <v>2074.63</v>
      </c>
      <c r="H67" s="89">
        <f t="shared" si="6"/>
        <v>46.886638000000005</v>
      </c>
      <c r="I67" s="13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90" t="s">
        <v>118</v>
      </c>
      <c r="C68" s="16" t="s">
        <v>33</v>
      </c>
      <c r="D68" s="14"/>
      <c r="E68" s="76">
        <v>11</v>
      </c>
      <c r="F68" s="13">
        <f>SUM(E68)</f>
        <v>11</v>
      </c>
      <c r="G68" s="13">
        <v>45.32</v>
      </c>
      <c r="H68" s="89">
        <f t="shared" si="6"/>
        <v>0.49851999999999996</v>
      </c>
      <c r="I68" s="13">
        <f t="shared" si="7"/>
        <v>498.52</v>
      </c>
    </row>
    <row r="69" spans="1:21" ht="15.75" hidden="1" customHeight="1">
      <c r="A69" s="32"/>
      <c r="B69" s="90" t="s">
        <v>119</v>
      </c>
      <c r="C69" s="16" t="s">
        <v>33</v>
      </c>
      <c r="D69" s="14"/>
      <c r="E69" s="76">
        <v>11</v>
      </c>
      <c r="F69" s="13">
        <f>SUM(E69)</f>
        <v>11</v>
      </c>
      <c r="G69" s="13">
        <v>42.28</v>
      </c>
      <c r="H69" s="89">
        <f t="shared" si="6"/>
        <v>0.46508000000000005</v>
      </c>
      <c r="I69" s="13">
        <f t="shared" si="7"/>
        <v>465.08000000000004</v>
      </c>
    </row>
    <row r="70" spans="1:21" ht="15.75" hidden="1" customHeight="1">
      <c r="A70" s="32"/>
      <c r="B70" s="14" t="s">
        <v>59</v>
      </c>
      <c r="C70" s="16" t="s">
        <v>60</v>
      </c>
      <c r="D70" s="14" t="s">
        <v>55</v>
      </c>
      <c r="E70" s="18">
        <v>8</v>
      </c>
      <c r="F70" s="77">
        <v>8</v>
      </c>
      <c r="G70" s="13">
        <v>49.88</v>
      </c>
      <c r="H70" s="89">
        <f t="shared" si="6"/>
        <v>0.39904000000000001</v>
      </c>
      <c r="I70" s="13">
        <f t="shared" si="7"/>
        <v>399.04</v>
      </c>
    </row>
    <row r="71" spans="1:21" ht="15.75" hidden="1" customHeight="1">
      <c r="A71" s="32"/>
      <c r="B71" s="114" t="s">
        <v>74</v>
      </c>
      <c r="C71" s="16"/>
      <c r="D71" s="14"/>
      <c r="E71" s="18"/>
      <c r="F71" s="13"/>
      <c r="G71" s="13"/>
      <c r="H71" s="89" t="s">
        <v>130</v>
      </c>
      <c r="I71" s="13"/>
    </row>
    <row r="72" spans="1:21" ht="15.75" hidden="1" customHeight="1">
      <c r="A72" s="32"/>
      <c r="B72" s="14" t="s">
        <v>75</v>
      </c>
      <c r="C72" s="16" t="s">
        <v>77</v>
      </c>
      <c r="D72" s="14"/>
      <c r="E72" s="18">
        <v>2</v>
      </c>
      <c r="F72" s="13">
        <v>0.2</v>
      </c>
      <c r="G72" s="13">
        <v>501.62</v>
      </c>
      <c r="H72" s="89">
        <f t="shared" si="6"/>
        <v>0.10032400000000001</v>
      </c>
      <c r="I72" s="13">
        <v>0</v>
      </c>
    </row>
    <row r="73" spans="1:21" ht="15.75" hidden="1" customHeight="1">
      <c r="A73" s="32"/>
      <c r="B73" s="14" t="s">
        <v>76</v>
      </c>
      <c r="C73" s="16" t="s">
        <v>31</v>
      </c>
      <c r="D73" s="14"/>
      <c r="E73" s="18">
        <v>1</v>
      </c>
      <c r="F73" s="66">
        <v>1</v>
      </c>
      <c r="G73" s="13">
        <v>852.99</v>
      </c>
      <c r="H73" s="89">
        <f>F73*G73/1000</f>
        <v>0.85299000000000003</v>
      </c>
      <c r="I73" s="13">
        <v>0</v>
      </c>
    </row>
    <row r="74" spans="1:21" ht="15.75" hidden="1" customHeight="1">
      <c r="A74" s="32"/>
      <c r="B74" s="14" t="s">
        <v>121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9">
        <f>G74*F74/1000</f>
        <v>0.35851</v>
      </c>
      <c r="I74" s="13">
        <v>0</v>
      </c>
    </row>
    <row r="75" spans="1:21" ht="15.75" hidden="1" customHeight="1">
      <c r="A75" s="32"/>
      <c r="B75" s="92" t="s">
        <v>78</v>
      </c>
      <c r="C75" s="16"/>
      <c r="D75" s="14"/>
      <c r="E75" s="18"/>
      <c r="F75" s="13"/>
      <c r="G75" s="13" t="s">
        <v>130</v>
      </c>
      <c r="H75" s="89" t="s">
        <v>130</v>
      </c>
      <c r="I75" s="13"/>
    </row>
    <row r="76" spans="1:21" ht="15.75" hidden="1" customHeight="1">
      <c r="A76" s="32"/>
      <c r="B76" s="46" t="s">
        <v>128</v>
      </c>
      <c r="C76" s="16" t="s">
        <v>79</v>
      </c>
      <c r="D76" s="14"/>
      <c r="E76" s="18"/>
      <c r="F76" s="13">
        <v>0.1</v>
      </c>
      <c r="G76" s="13">
        <v>2759.44</v>
      </c>
      <c r="H76" s="89">
        <f t="shared" si="6"/>
        <v>0.27594400000000002</v>
      </c>
      <c r="I76" s="13">
        <v>0</v>
      </c>
    </row>
    <row r="77" spans="1:21" ht="15.75" hidden="1" customHeight="1">
      <c r="A77" s="32"/>
      <c r="B77" s="104" t="s">
        <v>99</v>
      </c>
      <c r="C77" s="104"/>
      <c r="D77" s="104"/>
      <c r="E77" s="104"/>
      <c r="F77" s="104"/>
      <c r="G77" s="80"/>
      <c r="H77" s="93">
        <f>SUM(H57:H76)</f>
        <v>117.59572952000001</v>
      </c>
      <c r="I77" s="80"/>
    </row>
    <row r="78" spans="1:21" ht="15.75" hidden="1" customHeight="1">
      <c r="A78" s="32"/>
      <c r="B78" s="102" t="s">
        <v>120</v>
      </c>
      <c r="C78" s="23"/>
      <c r="D78" s="22"/>
      <c r="E78" s="67"/>
      <c r="F78" s="103">
        <v>1</v>
      </c>
      <c r="G78" s="13">
        <v>10966.5</v>
      </c>
      <c r="H78" s="89">
        <f>G78*F78/1000</f>
        <v>10.9665</v>
      </c>
      <c r="I78" s="13">
        <v>0</v>
      </c>
    </row>
    <row r="79" spans="1:21" ht="15.75" customHeight="1">
      <c r="A79" s="139" t="s">
        <v>146</v>
      </c>
      <c r="B79" s="140"/>
      <c r="C79" s="140"/>
      <c r="D79" s="140"/>
      <c r="E79" s="140"/>
      <c r="F79" s="140"/>
      <c r="G79" s="140"/>
      <c r="H79" s="140"/>
      <c r="I79" s="141"/>
    </row>
    <row r="80" spans="1:21" ht="15.75" customHeight="1">
      <c r="A80" s="32">
        <v>17</v>
      </c>
      <c r="B80" s="74" t="s">
        <v>122</v>
      </c>
      <c r="C80" s="16" t="s">
        <v>56</v>
      </c>
      <c r="D80" s="65" t="s">
        <v>57</v>
      </c>
      <c r="E80" s="13">
        <v>3382.7</v>
      </c>
      <c r="F80" s="13">
        <f>SUM(E80*12)</f>
        <v>40592.399999999994</v>
      </c>
      <c r="G80" s="13">
        <v>2.1</v>
      </c>
      <c r="H80" s="89">
        <f>SUM(F80*G80/1000)</f>
        <v>85.244039999999998</v>
      </c>
      <c r="I80" s="13">
        <f>F80/12*G80</f>
        <v>7103.6699999999992</v>
      </c>
    </row>
    <row r="81" spans="1:9" ht="31.5" customHeight="1">
      <c r="A81" s="32">
        <v>18</v>
      </c>
      <c r="B81" s="14" t="s">
        <v>80</v>
      </c>
      <c r="C81" s="16"/>
      <c r="D81" s="65" t="s">
        <v>57</v>
      </c>
      <c r="E81" s="76">
        <f>E80</f>
        <v>3382.7</v>
      </c>
      <c r="F81" s="13">
        <f>E81*12</f>
        <v>40592.399999999994</v>
      </c>
      <c r="G81" s="13">
        <v>1.63</v>
      </c>
      <c r="H81" s="89">
        <f>F81*G81/1000</f>
        <v>66.165611999999982</v>
      </c>
      <c r="I81" s="13">
        <f>F81/12*G81</f>
        <v>5513.8009999999986</v>
      </c>
    </row>
    <row r="82" spans="1:9" ht="15.75" customHeight="1">
      <c r="A82" s="32"/>
      <c r="B82" s="39" t="s">
        <v>83</v>
      </c>
      <c r="C82" s="92"/>
      <c r="D82" s="91"/>
      <c r="E82" s="80"/>
      <c r="F82" s="80"/>
      <c r="G82" s="80"/>
      <c r="H82" s="93">
        <f>H81</f>
        <v>66.165611999999982</v>
      </c>
      <c r="I82" s="80">
        <f>I16+I17+I18+I20+I21+I26+I27+I38+I39+I40+I41+I43+I50+I54+I57+I61+I80+I81</f>
        <v>57562.963679333334</v>
      </c>
    </row>
    <row r="83" spans="1:9" ht="15.75" customHeight="1">
      <c r="A83" s="126" t="s">
        <v>62</v>
      </c>
      <c r="B83" s="127"/>
      <c r="C83" s="127"/>
      <c r="D83" s="127"/>
      <c r="E83" s="127"/>
      <c r="F83" s="127"/>
      <c r="G83" s="127"/>
      <c r="H83" s="127"/>
      <c r="I83" s="128"/>
    </row>
    <row r="84" spans="1:9" ht="15.75" customHeight="1">
      <c r="A84" s="32">
        <v>19</v>
      </c>
      <c r="B84" s="51" t="s">
        <v>133</v>
      </c>
      <c r="C84" s="73" t="s">
        <v>114</v>
      </c>
      <c r="D84" s="84"/>
      <c r="E84" s="85"/>
      <c r="F84" s="86">
        <v>732</v>
      </c>
      <c r="G84" s="95">
        <v>53.42</v>
      </c>
      <c r="H84" s="87">
        <f>SUM(F84*G84/1000)</f>
        <v>39.103439999999999</v>
      </c>
      <c r="I84" s="95">
        <f>G84*61</f>
        <v>3258.62</v>
      </c>
    </row>
    <row r="85" spans="1:9" ht="15.75" customHeight="1">
      <c r="A85" s="32">
        <v>20</v>
      </c>
      <c r="B85" s="51" t="s">
        <v>155</v>
      </c>
      <c r="C85" s="54" t="s">
        <v>156</v>
      </c>
      <c r="D85" s="109"/>
      <c r="E85" s="17"/>
      <c r="F85" s="110">
        <v>7.5</v>
      </c>
      <c r="G85" s="36">
        <v>1582</v>
      </c>
      <c r="H85" s="108">
        <f t="shared" ref="H85:H86" si="8">SUM(F85*G85/1000)</f>
        <v>11.865</v>
      </c>
      <c r="I85" s="95">
        <f>G85*2</f>
        <v>3164</v>
      </c>
    </row>
    <row r="86" spans="1:9" ht="15.75" customHeight="1">
      <c r="A86" s="32">
        <v>21</v>
      </c>
      <c r="B86" s="52" t="s">
        <v>202</v>
      </c>
      <c r="C86" s="120" t="s">
        <v>88</v>
      </c>
      <c r="D86" s="121"/>
      <c r="E86" s="113"/>
      <c r="F86" s="122">
        <v>2</v>
      </c>
      <c r="G86" s="57">
        <v>237.44</v>
      </c>
      <c r="H86" s="108">
        <f t="shared" si="8"/>
        <v>0.47487999999999997</v>
      </c>
      <c r="I86" s="95">
        <f>G86</f>
        <v>237.44</v>
      </c>
    </row>
    <row r="87" spans="1:9" ht="31.5" customHeight="1">
      <c r="A87" s="32">
        <v>22</v>
      </c>
      <c r="B87" s="51" t="s">
        <v>216</v>
      </c>
      <c r="C87" s="54" t="s">
        <v>39</v>
      </c>
      <c r="D87" s="14"/>
      <c r="E87" s="18"/>
      <c r="F87" s="13">
        <v>0.09</v>
      </c>
      <c r="G87" s="13">
        <v>3581.13</v>
      </c>
      <c r="H87" s="87">
        <f>SUM(F87*G87/1000)</f>
        <v>0.32230169999999997</v>
      </c>
      <c r="I87" s="95">
        <f>G87*0.01</f>
        <v>35.811300000000003</v>
      </c>
    </row>
    <row r="88" spans="1:9" ht="15.75" customHeight="1">
      <c r="A88" s="32">
        <v>23</v>
      </c>
      <c r="B88" s="72" t="s">
        <v>242</v>
      </c>
      <c r="C88" s="73" t="s">
        <v>170</v>
      </c>
      <c r="D88" s="123"/>
      <c r="E88" s="36"/>
      <c r="F88" s="36">
        <f>6/3</f>
        <v>2</v>
      </c>
      <c r="G88" s="36">
        <v>1120.8900000000001</v>
      </c>
      <c r="H88" s="108">
        <f t="shared" ref="H88" si="9">SUM(F88*G88/1000)</f>
        <v>2.2417800000000003</v>
      </c>
      <c r="I88" s="95">
        <f>G88*2</f>
        <v>2241.7800000000002</v>
      </c>
    </row>
    <row r="89" spans="1:9" ht="15.75" customHeight="1">
      <c r="A89" s="32"/>
      <c r="B89" s="44" t="s">
        <v>52</v>
      </c>
      <c r="C89" s="40"/>
      <c r="D89" s="47"/>
      <c r="E89" s="40">
        <v>1</v>
      </c>
      <c r="F89" s="40"/>
      <c r="G89" s="40"/>
      <c r="H89" s="40"/>
      <c r="I89" s="34">
        <f>SUM(I84:I88)</f>
        <v>8937.6512999999995</v>
      </c>
    </row>
    <row r="90" spans="1:9" ht="15.75" customHeight="1">
      <c r="A90" s="32"/>
      <c r="B90" s="46" t="s">
        <v>81</v>
      </c>
      <c r="C90" s="15"/>
      <c r="D90" s="15"/>
      <c r="E90" s="41"/>
      <c r="F90" s="41"/>
      <c r="G90" s="42"/>
      <c r="H90" s="42"/>
      <c r="I90" s="17">
        <v>0</v>
      </c>
    </row>
    <row r="91" spans="1:9" ht="15.75" customHeight="1">
      <c r="A91" s="48"/>
      <c r="B91" s="45" t="s">
        <v>53</v>
      </c>
      <c r="C91" s="35"/>
      <c r="D91" s="35"/>
      <c r="E91" s="35"/>
      <c r="F91" s="35"/>
      <c r="G91" s="35"/>
      <c r="H91" s="35"/>
      <c r="I91" s="43">
        <f>I82+I89</f>
        <v>66500.614979333332</v>
      </c>
    </row>
    <row r="92" spans="1:9" ht="15.75" customHeight="1">
      <c r="A92" s="142" t="s">
        <v>250</v>
      </c>
      <c r="B92" s="142"/>
      <c r="C92" s="142"/>
      <c r="D92" s="142"/>
      <c r="E92" s="142"/>
      <c r="F92" s="142"/>
      <c r="G92" s="142"/>
      <c r="H92" s="142"/>
      <c r="I92" s="142"/>
    </row>
    <row r="93" spans="1:9" ht="15.75" customHeight="1">
      <c r="A93" s="64"/>
      <c r="B93" s="143" t="s">
        <v>251</v>
      </c>
      <c r="C93" s="143"/>
      <c r="D93" s="143"/>
      <c r="E93" s="143"/>
      <c r="F93" s="143"/>
      <c r="G93" s="143"/>
      <c r="H93" s="70"/>
      <c r="I93" s="3"/>
    </row>
    <row r="94" spans="1:9">
      <c r="A94" s="49"/>
      <c r="B94" s="144" t="s">
        <v>6</v>
      </c>
      <c r="C94" s="144"/>
      <c r="D94" s="144"/>
      <c r="E94" s="144"/>
      <c r="F94" s="144"/>
      <c r="G94" s="144"/>
      <c r="H94" s="27"/>
      <c r="I94" s="50"/>
    </row>
    <row r="95" spans="1:9" ht="15.75" customHeight="1">
      <c r="A95" s="56"/>
      <c r="B95" s="56"/>
      <c r="C95" s="56"/>
      <c r="D95" s="56"/>
      <c r="E95" s="56"/>
      <c r="F95" s="56"/>
      <c r="G95" s="56"/>
      <c r="H95" s="56"/>
      <c r="I95" s="56"/>
    </row>
    <row r="96" spans="1:9" ht="15.75" customHeight="1">
      <c r="A96" s="145" t="s">
        <v>7</v>
      </c>
      <c r="B96" s="145"/>
      <c r="C96" s="145"/>
      <c r="D96" s="145"/>
      <c r="E96" s="145"/>
      <c r="F96" s="145"/>
      <c r="G96" s="145"/>
      <c r="H96" s="145"/>
      <c r="I96" s="145"/>
    </row>
    <row r="97" spans="1:9" ht="15.75" customHeight="1">
      <c r="A97" s="145" t="s">
        <v>8</v>
      </c>
      <c r="B97" s="145"/>
      <c r="C97" s="145"/>
      <c r="D97" s="145"/>
      <c r="E97" s="145"/>
      <c r="F97" s="145"/>
      <c r="G97" s="145"/>
      <c r="H97" s="145"/>
      <c r="I97" s="145"/>
    </row>
    <row r="98" spans="1:9" ht="15.75" customHeight="1">
      <c r="A98" s="146" t="s">
        <v>63</v>
      </c>
      <c r="B98" s="146"/>
      <c r="C98" s="146"/>
      <c r="D98" s="146"/>
      <c r="E98" s="146"/>
      <c r="F98" s="146"/>
      <c r="G98" s="146"/>
      <c r="H98" s="146"/>
      <c r="I98" s="146"/>
    </row>
    <row r="99" spans="1:9" ht="15.75" customHeight="1">
      <c r="A99" s="11"/>
    </row>
    <row r="100" spans="1:9" ht="15.75" customHeight="1">
      <c r="A100" s="147" t="s">
        <v>9</v>
      </c>
      <c r="B100" s="147"/>
      <c r="C100" s="147"/>
      <c r="D100" s="147"/>
      <c r="E100" s="147"/>
      <c r="F100" s="147"/>
      <c r="G100" s="147"/>
      <c r="H100" s="147"/>
      <c r="I100" s="147"/>
    </row>
    <row r="101" spans="1:9" ht="15.75" customHeight="1">
      <c r="A101" s="4"/>
    </row>
    <row r="102" spans="1:9" ht="15.75" customHeight="1">
      <c r="B102" s="118" t="s">
        <v>10</v>
      </c>
      <c r="C102" s="148" t="s">
        <v>147</v>
      </c>
      <c r="D102" s="148"/>
      <c r="E102" s="148"/>
      <c r="F102" s="68"/>
      <c r="I102" s="119"/>
    </row>
    <row r="103" spans="1:9" ht="15.75" customHeight="1">
      <c r="A103" s="116"/>
      <c r="C103" s="144" t="s">
        <v>11</v>
      </c>
      <c r="D103" s="144"/>
      <c r="E103" s="144"/>
      <c r="F103" s="27"/>
      <c r="I103" s="117" t="s">
        <v>12</v>
      </c>
    </row>
    <row r="104" spans="1:9" ht="15.75" customHeight="1">
      <c r="A104" s="28"/>
      <c r="C104" s="12"/>
      <c r="D104" s="12"/>
      <c r="G104" s="12"/>
      <c r="H104" s="12"/>
    </row>
    <row r="105" spans="1:9" ht="15.75">
      <c r="B105" s="118" t="s">
        <v>13</v>
      </c>
      <c r="C105" s="149"/>
      <c r="D105" s="149"/>
      <c r="E105" s="149"/>
      <c r="F105" s="69"/>
      <c r="I105" s="119"/>
    </row>
    <row r="106" spans="1:9">
      <c r="A106" s="116"/>
      <c r="C106" s="138" t="s">
        <v>11</v>
      </c>
      <c r="D106" s="138"/>
      <c r="E106" s="138"/>
      <c r="F106" s="116"/>
      <c r="I106" s="117" t="s">
        <v>12</v>
      </c>
    </row>
    <row r="107" spans="1:9" ht="15.75" customHeight="1">
      <c r="A107" s="4" t="s">
        <v>14</v>
      </c>
    </row>
    <row r="108" spans="1:9" ht="15.75" customHeight="1">
      <c r="A108" s="150" t="s">
        <v>15</v>
      </c>
      <c r="B108" s="150"/>
      <c r="C108" s="150"/>
      <c r="D108" s="150"/>
      <c r="E108" s="150"/>
      <c r="F108" s="150"/>
      <c r="G108" s="150"/>
      <c r="H108" s="150"/>
      <c r="I108" s="150"/>
    </row>
    <row r="109" spans="1:9" ht="45" customHeight="1">
      <c r="A109" s="151" t="s">
        <v>16</v>
      </c>
      <c r="B109" s="151"/>
      <c r="C109" s="151"/>
      <c r="D109" s="151"/>
      <c r="E109" s="151"/>
      <c r="F109" s="151"/>
      <c r="G109" s="151"/>
      <c r="H109" s="151"/>
      <c r="I109" s="151"/>
    </row>
    <row r="110" spans="1:9" ht="30" customHeight="1">
      <c r="A110" s="151" t="s">
        <v>17</v>
      </c>
      <c r="B110" s="151"/>
      <c r="C110" s="151"/>
      <c r="D110" s="151"/>
      <c r="E110" s="151"/>
      <c r="F110" s="151"/>
      <c r="G110" s="151"/>
      <c r="H110" s="151"/>
      <c r="I110" s="151"/>
    </row>
    <row r="111" spans="1:9" ht="30" customHeight="1">
      <c r="A111" s="151" t="s">
        <v>21</v>
      </c>
      <c r="B111" s="151"/>
      <c r="C111" s="151"/>
      <c r="D111" s="151"/>
      <c r="E111" s="151"/>
      <c r="F111" s="151"/>
      <c r="G111" s="151"/>
      <c r="H111" s="151"/>
      <c r="I111" s="151"/>
    </row>
    <row r="112" spans="1:9" ht="15" customHeight="1">
      <c r="A112" s="151" t="s">
        <v>20</v>
      </c>
      <c r="B112" s="151"/>
      <c r="C112" s="151"/>
      <c r="D112" s="151"/>
      <c r="E112" s="151"/>
      <c r="F112" s="151"/>
      <c r="G112" s="151"/>
      <c r="H112" s="151"/>
      <c r="I112" s="151"/>
    </row>
  </sheetData>
  <autoFilter ref="I12:I61"/>
  <mergeCells count="29">
    <mergeCell ref="A79:I79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R66:U66"/>
    <mergeCell ref="C106:E106"/>
    <mergeCell ref="A83:I83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108:I108"/>
    <mergeCell ref="A109:I109"/>
    <mergeCell ref="A110:I110"/>
    <mergeCell ref="A111:I111"/>
    <mergeCell ref="A112:I112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177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196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3">
        <v>42794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hidden="1" customHeight="1">
      <c r="A19" s="32"/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5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6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7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31.5" hidden="1" customHeight="1">
      <c r="A30" s="32">
        <v>8</v>
      </c>
      <c r="B30" s="74" t="s">
        <v>112</v>
      </c>
      <c r="C30" s="75" t="s">
        <v>95</v>
      </c>
      <c r="D30" s="74" t="s">
        <v>109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1">SUM(F30*G30/1000)</f>
        <v>5.4076993880000011</v>
      </c>
      <c r="I30" s="13">
        <f t="shared" ref="I30:I34" si="2">F30/6*G30</f>
        <v>901.28323133333345</v>
      </c>
      <c r="J30" s="25"/>
      <c r="K30" s="8"/>
      <c r="L30" s="8"/>
      <c r="M30" s="8"/>
    </row>
    <row r="31" spans="1:13" ht="31.5" hidden="1" customHeight="1">
      <c r="A31" s="32">
        <v>9</v>
      </c>
      <c r="B31" s="74" t="s">
        <v>126</v>
      </c>
      <c r="C31" s="75" t="s">
        <v>95</v>
      </c>
      <c r="D31" s="74" t="s">
        <v>110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1"/>
        <v>9.2288080872000009</v>
      </c>
      <c r="I31" s="13">
        <f t="shared" si="2"/>
        <v>1538.1346812000002</v>
      </c>
      <c r="J31" s="25"/>
      <c r="K31" s="8"/>
      <c r="L31" s="8"/>
      <c r="M31" s="8"/>
    </row>
    <row r="32" spans="1:13" ht="15.75" hidden="1" customHeight="1">
      <c r="A32" s="32"/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1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hidden="1" customHeight="1">
      <c r="A33" s="32">
        <v>10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2"/>
        <v>336.35516666666672</v>
      </c>
      <c r="J33" s="25"/>
      <c r="K33" s="8"/>
      <c r="L33" s="8"/>
      <c r="M33" s="8"/>
    </row>
    <row r="34" spans="1:14" ht="15.75" hidden="1" customHeight="1">
      <c r="A34" s="32">
        <v>11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1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1"/>
        <v>2.2726599999999997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3">SUM(F38*G38/1000)</f>
        <v>15.272200000000002</v>
      </c>
      <c r="I38" s="13">
        <f t="shared" ref="I38:I43" si="4">F38/6*G38</f>
        <v>2545.3666666666668</v>
      </c>
      <c r="J38" s="26"/>
    </row>
    <row r="39" spans="1:14" ht="15.75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3"/>
        <v>19.238955416</v>
      </c>
      <c r="I39" s="13">
        <f t="shared" si="4"/>
        <v>3206.492569333333</v>
      </c>
      <c r="J39" s="26"/>
      <c r="L39" s="19"/>
      <c r="M39" s="20"/>
      <c r="N39" s="21"/>
    </row>
    <row r="40" spans="1:14" ht="15.75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3"/>
        <v>5.8367605999999999</v>
      </c>
      <c r="I40" s="13">
        <f t="shared" si="4"/>
        <v>972.79343333333316</v>
      </c>
      <c r="J40" s="26"/>
      <c r="L40" s="19"/>
      <c r="M40" s="20"/>
      <c r="N40" s="21"/>
    </row>
    <row r="41" spans="1:14" ht="48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3"/>
        <v>6.9639359999999995</v>
      </c>
      <c r="I41" s="13">
        <f t="shared" si="4"/>
        <v>1160.6559999999999</v>
      </c>
      <c r="J41" s="26"/>
      <c r="L41" s="19"/>
      <c r="M41" s="20"/>
      <c r="N41" s="21"/>
    </row>
    <row r="42" spans="1:14" ht="15.75" hidden="1" customHeight="1">
      <c r="A42" s="32">
        <v>12</v>
      </c>
      <c r="B42" s="74" t="s">
        <v>96</v>
      </c>
      <c r="C42" s="75" t="s">
        <v>95</v>
      </c>
      <c r="D42" s="74" t="s">
        <v>71</v>
      </c>
      <c r="E42" s="77">
        <v>123.36</v>
      </c>
      <c r="F42" s="77">
        <f>SUM(E42*45/1000)</f>
        <v>5.5511999999999997</v>
      </c>
      <c r="G42" s="77">
        <v>428.7</v>
      </c>
      <c r="H42" s="78">
        <f t="shared" si="3"/>
        <v>2.3797994399999998</v>
      </c>
      <c r="I42" s="13">
        <f t="shared" si="4"/>
        <v>396.63323999999994</v>
      </c>
      <c r="J42" s="26"/>
      <c r="L42" s="19"/>
      <c r="M42" s="20"/>
      <c r="N42" s="21"/>
    </row>
    <row r="43" spans="1:14" ht="15.75" customHeight="1">
      <c r="A43" s="32">
        <v>12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3"/>
        <v>0.71820000000000006</v>
      </c>
      <c r="I43" s="13">
        <f t="shared" si="4"/>
        <v>119.69999999999999</v>
      </c>
      <c r="J43" s="26"/>
      <c r="L43" s="19"/>
      <c r="M43" s="20"/>
      <c r="N43" s="21"/>
    </row>
    <row r="44" spans="1:14" ht="15.75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hidden="1" customHeight="1">
      <c r="A45" s="32"/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5"/>
        <v>2.44182897</v>
      </c>
      <c r="I49" s="13">
        <v>0</v>
      </c>
      <c r="J49" s="26"/>
      <c r="L49" s="19"/>
      <c r="M49" s="20"/>
      <c r="N49" s="21"/>
    </row>
    <row r="50" spans="1:22" ht="15.75" customHeight="1">
      <c r="A50" s="32">
        <v>13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5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hidden="1" customHeight="1">
      <c r="A51" s="32"/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5"/>
        <v>4.65129444</v>
      </c>
      <c r="I51" s="13">
        <f t="shared" ref="I51:I52" si="6">F51/5*G51</f>
        <v>930.25888799999996</v>
      </c>
      <c r="J51" s="26"/>
      <c r="L51" s="19"/>
      <c r="M51" s="20"/>
      <c r="N51" s="21"/>
    </row>
    <row r="52" spans="1:22" ht="31.5" hidden="1" customHeight="1">
      <c r="A52" s="32"/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5"/>
        <v>1.0921959999999999</v>
      </c>
      <c r="I52" s="13">
        <f t="shared" si="6"/>
        <v>218.4392</v>
      </c>
      <c r="J52" s="26"/>
      <c r="L52" s="19"/>
      <c r="M52" s="20"/>
      <c r="N52" s="21"/>
    </row>
    <row r="53" spans="1:22" ht="15.75" hidden="1" customHeight="1">
      <c r="A53" s="32">
        <v>15</v>
      </c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5"/>
        <v>0.11304260000000001</v>
      </c>
      <c r="I53" s="13">
        <f>F53/2*G53</f>
        <v>56.521300000000004</v>
      </c>
      <c r="J53" s="26"/>
      <c r="L53" s="19"/>
      <c r="M53" s="20"/>
      <c r="N53" s="21"/>
    </row>
    <row r="54" spans="1:22" ht="15.75" hidden="1" customHeight="1">
      <c r="A54" s="32">
        <v>15</v>
      </c>
      <c r="B54" s="74" t="s">
        <v>42</v>
      </c>
      <c r="C54" s="75" t="s">
        <v>114</v>
      </c>
      <c r="D54" s="74" t="s">
        <v>73</v>
      </c>
      <c r="E54" s="76">
        <v>120</v>
      </c>
      <c r="F54" s="77">
        <f>SUM(E54)*3</f>
        <v>360</v>
      </c>
      <c r="G54" s="13">
        <v>65.67</v>
      </c>
      <c r="H54" s="78">
        <f t="shared" si="5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135" t="s">
        <v>145</v>
      </c>
      <c r="B55" s="136"/>
      <c r="C55" s="136"/>
      <c r="D55" s="136"/>
      <c r="E55" s="136"/>
      <c r="F55" s="136"/>
      <c r="G55" s="136"/>
      <c r="H55" s="136"/>
      <c r="I55" s="137"/>
      <c r="J55" s="26"/>
      <c r="L55" s="19"/>
      <c r="M55" s="20"/>
      <c r="N55" s="21"/>
    </row>
    <row r="56" spans="1:22" ht="15.75" customHeight="1">
      <c r="A56" s="32"/>
      <c r="B56" s="100" t="s">
        <v>44</v>
      </c>
      <c r="C56" s="75"/>
      <c r="D56" s="74"/>
      <c r="E56" s="76"/>
      <c r="F56" s="77"/>
      <c r="G56" s="77"/>
      <c r="H56" s="78"/>
      <c r="I56" s="13"/>
      <c r="J56" s="26"/>
      <c r="L56" s="19"/>
      <c r="M56" s="20"/>
      <c r="N56" s="21"/>
    </row>
    <row r="57" spans="1:22" ht="31.5" customHeight="1">
      <c r="A57" s="32">
        <v>14</v>
      </c>
      <c r="B57" s="74" t="s">
        <v>129</v>
      </c>
      <c r="C57" s="75" t="s">
        <v>93</v>
      </c>
      <c r="D57" s="74" t="s">
        <v>115</v>
      </c>
      <c r="E57" s="76">
        <v>131.77500000000001</v>
      </c>
      <c r="F57" s="77">
        <f>SUM(E57*6/100)</f>
        <v>7.9065000000000012</v>
      </c>
      <c r="G57" s="13">
        <v>1547.28</v>
      </c>
      <c r="H57" s="78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101" t="s">
        <v>45</v>
      </c>
      <c r="C58" s="83"/>
      <c r="D58" s="84"/>
      <c r="E58" s="85"/>
      <c r="F58" s="87"/>
      <c r="G58" s="13"/>
      <c r="H58" s="88"/>
      <c r="I58" s="13"/>
      <c r="J58" s="26"/>
      <c r="L58" s="19"/>
      <c r="M58" s="20"/>
      <c r="N58" s="21"/>
    </row>
    <row r="59" spans="1:22" ht="15.75" hidden="1" customHeight="1">
      <c r="A59" s="32"/>
      <c r="B59" s="84" t="s">
        <v>138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84" t="s">
        <v>139</v>
      </c>
      <c r="C60" s="83" t="s">
        <v>54</v>
      </c>
      <c r="D60" s="84" t="s">
        <v>55</v>
      </c>
      <c r="E60" s="85">
        <v>890</v>
      </c>
      <c r="F60" s="87">
        <v>8.9</v>
      </c>
      <c r="G60" s="13">
        <v>793.61</v>
      </c>
      <c r="H60" s="88">
        <f>F60*G60/1000</f>
        <v>7.0631290000000009</v>
      </c>
      <c r="I60" s="13">
        <v>0</v>
      </c>
    </row>
    <row r="61" spans="1:22" ht="15.75" customHeight="1">
      <c r="A61" s="32">
        <v>15</v>
      </c>
      <c r="B61" s="84" t="s">
        <v>127</v>
      </c>
      <c r="C61" s="83" t="s">
        <v>25</v>
      </c>
      <c r="D61" s="84" t="s">
        <v>30</v>
      </c>
      <c r="E61" s="85">
        <v>158.19999999999999</v>
      </c>
      <c r="F61" s="87">
        <f>E61*12</f>
        <v>1898.3999999999999</v>
      </c>
      <c r="G61" s="94">
        <v>2.6</v>
      </c>
      <c r="H61" s="88">
        <f>F61*G61/1000</f>
        <v>4.9358399999999998</v>
      </c>
      <c r="I61" s="13">
        <f>F61/12*G61</f>
        <v>411.32</v>
      </c>
    </row>
    <row r="62" spans="1:22" ht="15.75" hidden="1" customHeight="1">
      <c r="A62" s="32"/>
      <c r="B62" s="101" t="s">
        <v>46</v>
      </c>
      <c r="C62" s="83"/>
      <c r="D62" s="84"/>
      <c r="E62" s="85"/>
      <c r="F62" s="86"/>
      <c r="G62" s="86"/>
      <c r="H62" s="87" t="s">
        <v>130</v>
      </c>
      <c r="I62" s="13"/>
    </row>
    <row r="63" spans="1:22" ht="15.75" hidden="1" customHeight="1">
      <c r="A63" s="32"/>
      <c r="B63" s="14" t="s">
        <v>47</v>
      </c>
      <c r="C63" s="16" t="s">
        <v>114</v>
      </c>
      <c r="D63" s="14" t="s">
        <v>151</v>
      </c>
      <c r="E63" s="18">
        <v>15</v>
      </c>
      <c r="F63" s="77">
        <v>15</v>
      </c>
      <c r="G63" s="13">
        <v>222.4</v>
      </c>
      <c r="H63" s="89">
        <f t="shared" ref="H63:H76" si="7">SUM(F63*G63/1000)</f>
        <v>3.3359999999999999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114</v>
      </c>
      <c r="D64" s="14" t="s">
        <v>151</v>
      </c>
      <c r="E64" s="18">
        <v>8</v>
      </c>
      <c r="F64" s="77">
        <v>8</v>
      </c>
      <c r="G64" s="13">
        <v>76.25</v>
      </c>
      <c r="H64" s="89">
        <f t="shared" si="7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116</v>
      </c>
      <c r="D65" s="14" t="s">
        <v>55</v>
      </c>
      <c r="E65" s="76">
        <v>14220</v>
      </c>
      <c r="F65" s="13">
        <f>SUM(E65/100)</f>
        <v>142.19999999999999</v>
      </c>
      <c r="G65" s="13">
        <v>212.15</v>
      </c>
      <c r="H65" s="89">
        <f t="shared" si="7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117</v>
      </c>
      <c r="D66" s="14"/>
      <c r="E66" s="76">
        <v>14220</v>
      </c>
      <c r="F66" s="13">
        <f>SUM(E66/1000)</f>
        <v>14.22</v>
      </c>
      <c r="G66" s="13">
        <v>165.21</v>
      </c>
      <c r="H66" s="89">
        <f t="shared" si="7"/>
        <v>2.3492861999999999</v>
      </c>
      <c r="I66" s="13">
        <f t="shared" ref="I66:I70" si="8">F66*G66</f>
        <v>2349.2862</v>
      </c>
      <c r="J66" s="5"/>
      <c r="K66" s="5"/>
      <c r="L66" s="5"/>
      <c r="M66" s="5"/>
      <c r="N66" s="5"/>
      <c r="O66" s="5"/>
      <c r="P66" s="5"/>
      <c r="Q66" s="5"/>
      <c r="R66" s="138"/>
      <c r="S66" s="138"/>
      <c r="T66" s="138"/>
      <c r="U66" s="138"/>
    </row>
    <row r="67" spans="1:21" ht="15.75" hidden="1" customHeight="1">
      <c r="A67" s="32"/>
      <c r="B67" s="14" t="s">
        <v>51</v>
      </c>
      <c r="C67" s="16" t="s">
        <v>79</v>
      </c>
      <c r="D67" s="14" t="s">
        <v>55</v>
      </c>
      <c r="E67" s="76">
        <v>2260</v>
      </c>
      <c r="F67" s="13">
        <f>SUM(E67/100)</f>
        <v>22.6</v>
      </c>
      <c r="G67" s="13">
        <v>2074.63</v>
      </c>
      <c r="H67" s="89">
        <f t="shared" si="7"/>
        <v>46.886638000000005</v>
      </c>
      <c r="I67" s="13">
        <f t="shared" si="8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90" t="s">
        <v>118</v>
      </c>
      <c r="C68" s="16" t="s">
        <v>33</v>
      </c>
      <c r="D68" s="14"/>
      <c r="E68" s="76">
        <v>11</v>
      </c>
      <c r="F68" s="13">
        <f>SUM(E68)</f>
        <v>11</v>
      </c>
      <c r="G68" s="13">
        <v>45.32</v>
      </c>
      <c r="H68" s="89">
        <f t="shared" si="7"/>
        <v>0.49851999999999996</v>
      </c>
      <c r="I68" s="13">
        <f t="shared" si="8"/>
        <v>498.52</v>
      </c>
    </row>
    <row r="69" spans="1:21" ht="15.75" hidden="1" customHeight="1">
      <c r="A69" s="32"/>
      <c r="B69" s="90" t="s">
        <v>119</v>
      </c>
      <c r="C69" s="16" t="s">
        <v>33</v>
      </c>
      <c r="D69" s="14"/>
      <c r="E69" s="76">
        <v>11</v>
      </c>
      <c r="F69" s="13">
        <f>SUM(E69)</f>
        <v>11</v>
      </c>
      <c r="G69" s="13">
        <v>42.28</v>
      </c>
      <c r="H69" s="89">
        <f t="shared" si="7"/>
        <v>0.46508000000000005</v>
      </c>
      <c r="I69" s="13">
        <f t="shared" si="8"/>
        <v>465.08000000000004</v>
      </c>
    </row>
    <row r="70" spans="1:21" ht="15.75" hidden="1" customHeight="1">
      <c r="A70" s="32"/>
      <c r="B70" s="14" t="s">
        <v>59</v>
      </c>
      <c r="C70" s="16" t="s">
        <v>60</v>
      </c>
      <c r="D70" s="14" t="s">
        <v>55</v>
      </c>
      <c r="E70" s="18">
        <v>8</v>
      </c>
      <c r="F70" s="77">
        <v>8</v>
      </c>
      <c r="G70" s="13">
        <v>49.88</v>
      </c>
      <c r="H70" s="89">
        <f t="shared" si="7"/>
        <v>0.39904000000000001</v>
      </c>
      <c r="I70" s="13">
        <f t="shared" si="8"/>
        <v>399.04</v>
      </c>
    </row>
    <row r="71" spans="1:21" ht="15.75" hidden="1" customHeight="1">
      <c r="A71" s="32"/>
      <c r="B71" s="62" t="s">
        <v>74</v>
      </c>
      <c r="C71" s="16"/>
      <c r="D71" s="14"/>
      <c r="E71" s="18"/>
      <c r="F71" s="13"/>
      <c r="G71" s="13"/>
      <c r="H71" s="89" t="s">
        <v>130</v>
      </c>
      <c r="I71" s="13"/>
    </row>
    <row r="72" spans="1:21" ht="15.75" hidden="1" customHeight="1">
      <c r="A72" s="32"/>
      <c r="B72" s="14" t="s">
        <v>75</v>
      </c>
      <c r="C72" s="16" t="s">
        <v>77</v>
      </c>
      <c r="D72" s="14"/>
      <c r="E72" s="18">
        <v>2</v>
      </c>
      <c r="F72" s="13">
        <v>0.2</v>
      </c>
      <c r="G72" s="13">
        <v>501.62</v>
      </c>
      <c r="H72" s="89">
        <f t="shared" si="7"/>
        <v>0.10032400000000001</v>
      </c>
      <c r="I72" s="13">
        <v>0</v>
      </c>
    </row>
    <row r="73" spans="1:21" ht="15.75" hidden="1" customHeight="1">
      <c r="A73" s="32"/>
      <c r="B73" s="14" t="s">
        <v>76</v>
      </c>
      <c r="C73" s="16" t="s">
        <v>31</v>
      </c>
      <c r="D73" s="14"/>
      <c r="E73" s="18">
        <v>1</v>
      </c>
      <c r="F73" s="66">
        <v>1</v>
      </c>
      <c r="G73" s="13">
        <v>852.99</v>
      </c>
      <c r="H73" s="89">
        <f>F73*G73/1000</f>
        <v>0.85299000000000003</v>
      </c>
      <c r="I73" s="13">
        <v>0</v>
      </c>
    </row>
    <row r="74" spans="1:21" ht="15.75" hidden="1" customHeight="1">
      <c r="A74" s="32"/>
      <c r="B74" s="14" t="s">
        <v>121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9">
        <f>G74*F74/1000</f>
        <v>0.35851</v>
      </c>
      <c r="I74" s="13">
        <v>0</v>
      </c>
    </row>
    <row r="75" spans="1:21" ht="15.75" hidden="1" customHeight="1">
      <c r="A75" s="32"/>
      <c r="B75" s="92" t="s">
        <v>78</v>
      </c>
      <c r="C75" s="16"/>
      <c r="D75" s="14"/>
      <c r="E75" s="18"/>
      <c r="F75" s="13"/>
      <c r="G75" s="13" t="s">
        <v>130</v>
      </c>
      <c r="H75" s="89" t="s">
        <v>130</v>
      </c>
      <c r="I75" s="13"/>
    </row>
    <row r="76" spans="1:21" ht="15.75" hidden="1" customHeight="1">
      <c r="A76" s="32"/>
      <c r="B76" s="46" t="s">
        <v>128</v>
      </c>
      <c r="C76" s="16" t="s">
        <v>79</v>
      </c>
      <c r="D76" s="14"/>
      <c r="E76" s="18"/>
      <c r="F76" s="13">
        <v>0.1</v>
      </c>
      <c r="G76" s="13">
        <v>2759.44</v>
      </c>
      <c r="H76" s="89">
        <f t="shared" si="7"/>
        <v>0.27594400000000002</v>
      </c>
      <c r="I76" s="13">
        <v>0</v>
      </c>
    </row>
    <row r="77" spans="1:21" ht="15.75" hidden="1" customHeight="1">
      <c r="A77" s="32"/>
      <c r="B77" s="104" t="s">
        <v>99</v>
      </c>
      <c r="C77" s="104"/>
      <c r="D77" s="104"/>
      <c r="E77" s="104"/>
      <c r="F77" s="104"/>
      <c r="G77" s="80"/>
      <c r="H77" s="93">
        <f>SUM(H57:H76)</f>
        <v>117.59572952000001</v>
      </c>
      <c r="I77" s="80"/>
    </row>
    <row r="78" spans="1:21" ht="15.75" hidden="1" customHeight="1">
      <c r="A78" s="32"/>
      <c r="B78" s="102" t="s">
        <v>120</v>
      </c>
      <c r="C78" s="23"/>
      <c r="D78" s="22"/>
      <c r="E78" s="67"/>
      <c r="F78" s="103">
        <v>1</v>
      </c>
      <c r="G78" s="13">
        <v>10966.5</v>
      </c>
      <c r="H78" s="89">
        <f>G78*F78/1000</f>
        <v>10.9665</v>
      </c>
      <c r="I78" s="13">
        <v>0</v>
      </c>
    </row>
    <row r="79" spans="1:21" ht="15.75" customHeight="1">
      <c r="A79" s="139" t="s">
        <v>146</v>
      </c>
      <c r="B79" s="140"/>
      <c r="C79" s="140"/>
      <c r="D79" s="140"/>
      <c r="E79" s="140"/>
      <c r="F79" s="140"/>
      <c r="G79" s="140"/>
      <c r="H79" s="140"/>
      <c r="I79" s="141"/>
    </row>
    <row r="80" spans="1:21" ht="15.75" customHeight="1">
      <c r="A80" s="32">
        <v>16</v>
      </c>
      <c r="B80" s="74" t="s">
        <v>122</v>
      </c>
      <c r="C80" s="16" t="s">
        <v>56</v>
      </c>
      <c r="D80" s="65" t="s">
        <v>57</v>
      </c>
      <c r="E80" s="13">
        <v>3382.7</v>
      </c>
      <c r="F80" s="13">
        <f>SUM(E80*12)</f>
        <v>40592.399999999994</v>
      </c>
      <c r="G80" s="13">
        <v>2.1</v>
      </c>
      <c r="H80" s="89">
        <f>SUM(F80*G80/1000)</f>
        <v>85.244039999999998</v>
      </c>
      <c r="I80" s="13">
        <f>F80/12*G80</f>
        <v>7103.6699999999992</v>
      </c>
    </row>
    <row r="81" spans="1:9" ht="31.5" customHeight="1">
      <c r="A81" s="32">
        <v>17</v>
      </c>
      <c r="B81" s="14" t="s">
        <v>80</v>
      </c>
      <c r="C81" s="16"/>
      <c r="D81" s="65" t="s">
        <v>57</v>
      </c>
      <c r="E81" s="76">
        <f>E80</f>
        <v>3382.7</v>
      </c>
      <c r="F81" s="13">
        <f>E81*12</f>
        <v>40592.399999999994</v>
      </c>
      <c r="G81" s="13">
        <v>1.63</v>
      </c>
      <c r="H81" s="89">
        <f>F81*G81/1000</f>
        <v>66.165611999999982</v>
      </c>
      <c r="I81" s="13">
        <f>F81/12*G81</f>
        <v>5513.8009999999986</v>
      </c>
    </row>
    <row r="82" spans="1:9" ht="15.75" customHeight="1">
      <c r="A82" s="32"/>
      <c r="B82" s="39" t="s">
        <v>83</v>
      </c>
      <c r="C82" s="92"/>
      <c r="D82" s="91"/>
      <c r="E82" s="80"/>
      <c r="F82" s="80"/>
      <c r="G82" s="80"/>
      <c r="H82" s="93">
        <f>H81</f>
        <v>66.165611999999982</v>
      </c>
      <c r="I82" s="80">
        <f>I16+I17+I18+I20+I21+I26+I27+I38+I39+I40+I41+I43+I50+I57+I61+I80+I81</f>
        <v>49682.563679333332</v>
      </c>
    </row>
    <row r="83" spans="1:9" ht="15.75" customHeight="1">
      <c r="A83" s="126" t="s">
        <v>62</v>
      </c>
      <c r="B83" s="127"/>
      <c r="C83" s="127"/>
      <c r="D83" s="127"/>
      <c r="E83" s="127"/>
      <c r="F83" s="127"/>
      <c r="G83" s="127"/>
      <c r="H83" s="127"/>
      <c r="I83" s="128"/>
    </row>
    <row r="84" spans="1:9" ht="15.75" customHeight="1">
      <c r="A84" s="32">
        <v>18</v>
      </c>
      <c r="B84" s="51" t="s">
        <v>133</v>
      </c>
      <c r="C84" s="73" t="s">
        <v>114</v>
      </c>
      <c r="D84" s="53"/>
      <c r="E84" s="106"/>
      <c r="F84" s="107">
        <v>549</v>
      </c>
      <c r="G84" s="57">
        <v>53.42</v>
      </c>
      <c r="H84" s="108">
        <f t="shared" ref="H84:H88" si="9">SUM(F84*G84/1000)</f>
        <v>29.327580000000001</v>
      </c>
      <c r="I84" s="95">
        <f>G84*61</f>
        <v>3258.62</v>
      </c>
    </row>
    <row r="85" spans="1:9" ht="31.5" customHeight="1">
      <c r="A85" s="32">
        <v>19</v>
      </c>
      <c r="B85" s="51" t="s">
        <v>154</v>
      </c>
      <c r="C85" s="54" t="s">
        <v>143</v>
      </c>
      <c r="D85" s="109"/>
      <c r="E85" s="17"/>
      <c r="F85" s="110">
        <v>5</v>
      </c>
      <c r="G85" s="36">
        <v>589.84</v>
      </c>
      <c r="H85" s="108">
        <f t="shared" si="9"/>
        <v>2.9492000000000003</v>
      </c>
      <c r="I85" s="95">
        <f>G85</f>
        <v>589.84</v>
      </c>
    </row>
    <row r="86" spans="1:9" ht="15.75" customHeight="1">
      <c r="A86" s="32">
        <v>20</v>
      </c>
      <c r="B86" s="51" t="s">
        <v>85</v>
      </c>
      <c r="C86" s="54" t="s">
        <v>114</v>
      </c>
      <c r="D86" s="38"/>
      <c r="E86" s="17"/>
      <c r="F86" s="36">
        <v>2</v>
      </c>
      <c r="G86" s="36">
        <v>189.88</v>
      </c>
      <c r="H86" s="108">
        <f t="shared" si="9"/>
        <v>0.37975999999999999</v>
      </c>
      <c r="I86" s="95">
        <f>G86</f>
        <v>189.88</v>
      </c>
    </row>
    <row r="87" spans="1:9" ht="31.5" customHeight="1">
      <c r="A87" s="32">
        <v>21</v>
      </c>
      <c r="B87" s="52" t="s">
        <v>140</v>
      </c>
      <c r="C87" s="111" t="s">
        <v>132</v>
      </c>
      <c r="D87" s="112"/>
      <c r="E87" s="113"/>
      <c r="F87" s="57">
        <f>0.6/10</f>
        <v>0.06</v>
      </c>
      <c r="G87" s="57">
        <v>9397.7900000000009</v>
      </c>
      <c r="H87" s="108">
        <f t="shared" si="9"/>
        <v>0.56386740000000002</v>
      </c>
      <c r="I87" s="95">
        <f>G87*0.06</f>
        <v>563.86739999999998</v>
      </c>
    </row>
    <row r="88" spans="1:9" ht="15.75" customHeight="1">
      <c r="A88" s="32">
        <v>22</v>
      </c>
      <c r="B88" s="51" t="s">
        <v>155</v>
      </c>
      <c r="C88" s="54" t="s">
        <v>156</v>
      </c>
      <c r="D88" s="109"/>
      <c r="E88" s="17"/>
      <c r="F88" s="110">
        <v>3.5</v>
      </c>
      <c r="G88" s="36">
        <v>1582</v>
      </c>
      <c r="H88" s="108">
        <f t="shared" si="9"/>
        <v>5.5369999999999999</v>
      </c>
      <c r="I88" s="95">
        <f>G88*3</f>
        <v>4746</v>
      </c>
    </row>
    <row r="89" spans="1:9" ht="15.75" customHeight="1">
      <c r="A89" s="32"/>
      <c r="B89" s="44" t="s">
        <v>52</v>
      </c>
      <c r="C89" s="40"/>
      <c r="D89" s="47"/>
      <c r="E89" s="40">
        <v>1</v>
      </c>
      <c r="F89" s="40"/>
      <c r="G89" s="40"/>
      <c r="H89" s="40"/>
      <c r="I89" s="34">
        <f>SUM(I84:I88)</f>
        <v>9348.2073999999993</v>
      </c>
    </row>
    <row r="90" spans="1:9" ht="15.75" customHeight="1">
      <c r="A90" s="32"/>
      <c r="B90" s="46" t="s">
        <v>81</v>
      </c>
      <c r="C90" s="15"/>
      <c r="D90" s="15"/>
      <c r="E90" s="41"/>
      <c r="F90" s="41"/>
      <c r="G90" s="42"/>
      <c r="H90" s="42"/>
      <c r="I90" s="17">
        <v>0</v>
      </c>
    </row>
    <row r="91" spans="1:9" ht="15.75" customHeight="1">
      <c r="A91" s="48"/>
      <c r="B91" s="45" t="s">
        <v>195</v>
      </c>
      <c r="C91" s="35"/>
      <c r="D91" s="35"/>
      <c r="E91" s="35"/>
      <c r="F91" s="35"/>
      <c r="G91" s="35"/>
      <c r="H91" s="35"/>
      <c r="I91" s="43">
        <f>I82+I89</f>
        <v>59030.771079333332</v>
      </c>
    </row>
    <row r="92" spans="1:9" ht="15.75" customHeight="1">
      <c r="A92" s="142" t="s">
        <v>245</v>
      </c>
      <c r="B92" s="142"/>
      <c r="C92" s="142"/>
      <c r="D92" s="142"/>
      <c r="E92" s="142"/>
      <c r="F92" s="142"/>
      <c r="G92" s="142"/>
      <c r="H92" s="142"/>
      <c r="I92" s="142"/>
    </row>
    <row r="93" spans="1:9" ht="15.75" customHeight="1">
      <c r="A93" s="64"/>
      <c r="B93" s="143" t="s">
        <v>246</v>
      </c>
      <c r="C93" s="143"/>
      <c r="D93" s="143"/>
      <c r="E93" s="143"/>
      <c r="F93" s="143"/>
      <c r="G93" s="143"/>
      <c r="H93" s="70"/>
      <c r="I93" s="3"/>
    </row>
    <row r="94" spans="1:9">
      <c r="A94" s="49"/>
      <c r="B94" s="144" t="s">
        <v>6</v>
      </c>
      <c r="C94" s="144"/>
      <c r="D94" s="144"/>
      <c r="E94" s="144"/>
      <c r="F94" s="144"/>
      <c r="G94" s="144"/>
      <c r="H94" s="27"/>
      <c r="I94" s="50"/>
    </row>
    <row r="95" spans="1:9" ht="15.75" customHeight="1">
      <c r="A95" s="56"/>
      <c r="B95" s="56"/>
      <c r="C95" s="56"/>
      <c r="D95" s="56"/>
      <c r="E95" s="56"/>
      <c r="F95" s="56"/>
      <c r="G95" s="56"/>
      <c r="H95" s="56"/>
      <c r="I95" s="56"/>
    </row>
    <row r="96" spans="1:9" ht="15.75" customHeight="1">
      <c r="A96" s="145" t="s">
        <v>7</v>
      </c>
      <c r="B96" s="145"/>
      <c r="C96" s="145"/>
      <c r="D96" s="145"/>
      <c r="E96" s="145"/>
      <c r="F96" s="145"/>
      <c r="G96" s="145"/>
      <c r="H96" s="145"/>
      <c r="I96" s="145"/>
    </row>
    <row r="97" spans="1:9" ht="15.75" customHeight="1">
      <c r="A97" s="145" t="s">
        <v>8</v>
      </c>
      <c r="B97" s="145"/>
      <c r="C97" s="145"/>
      <c r="D97" s="145"/>
      <c r="E97" s="145"/>
      <c r="F97" s="145"/>
      <c r="G97" s="145"/>
      <c r="H97" s="145"/>
      <c r="I97" s="145"/>
    </row>
    <row r="98" spans="1:9" ht="15.75" customHeight="1">
      <c r="A98" s="146" t="s">
        <v>63</v>
      </c>
      <c r="B98" s="146"/>
      <c r="C98" s="146"/>
      <c r="D98" s="146"/>
      <c r="E98" s="146"/>
      <c r="F98" s="146"/>
      <c r="G98" s="146"/>
      <c r="H98" s="146"/>
      <c r="I98" s="146"/>
    </row>
    <row r="99" spans="1:9" ht="15.75" customHeight="1">
      <c r="A99" s="11"/>
    </row>
    <row r="100" spans="1:9" ht="15.75" customHeight="1">
      <c r="A100" s="147" t="s">
        <v>9</v>
      </c>
      <c r="B100" s="147"/>
      <c r="C100" s="147"/>
      <c r="D100" s="147"/>
      <c r="E100" s="147"/>
      <c r="F100" s="147"/>
      <c r="G100" s="147"/>
      <c r="H100" s="147"/>
      <c r="I100" s="147"/>
    </row>
    <row r="101" spans="1:9" ht="15.75" customHeight="1">
      <c r="A101" s="4"/>
    </row>
    <row r="102" spans="1:9" ht="15.75" customHeight="1">
      <c r="B102" s="61" t="s">
        <v>10</v>
      </c>
      <c r="C102" s="148" t="s">
        <v>147</v>
      </c>
      <c r="D102" s="148"/>
      <c r="E102" s="148"/>
      <c r="F102" s="68"/>
      <c r="I102" s="59"/>
    </row>
    <row r="103" spans="1:9" ht="15.75" customHeight="1">
      <c r="A103" s="60"/>
      <c r="C103" s="144" t="s">
        <v>11</v>
      </c>
      <c r="D103" s="144"/>
      <c r="E103" s="144"/>
      <c r="F103" s="27"/>
      <c r="I103" s="58" t="s">
        <v>12</v>
      </c>
    </row>
    <row r="104" spans="1:9" ht="15.75" customHeight="1">
      <c r="A104" s="28"/>
      <c r="C104" s="12"/>
      <c r="D104" s="12"/>
      <c r="G104" s="12"/>
      <c r="H104" s="12"/>
    </row>
    <row r="105" spans="1:9" ht="15.75">
      <c r="B105" s="61" t="s">
        <v>13</v>
      </c>
      <c r="C105" s="149"/>
      <c r="D105" s="149"/>
      <c r="E105" s="149"/>
      <c r="F105" s="69"/>
      <c r="I105" s="59"/>
    </row>
    <row r="106" spans="1:9">
      <c r="A106" s="60"/>
      <c r="C106" s="138" t="s">
        <v>11</v>
      </c>
      <c r="D106" s="138"/>
      <c r="E106" s="138"/>
      <c r="F106" s="60"/>
      <c r="I106" s="58" t="s">
        <v>12</v>
      </c>
    </row>
    <row r="107" spans="1:9" ht="15.75" customHeight="1">
      <c r="A107" s="4" t="s">
        <v>14</v>
      </c>
    </row>
    <row r="108" spans="1:9" ht="15.75" customHeight="1">
      <c r="A108" s="150" t="s">
        <v>15</v>
      </c>
      <c r="B108" s="150"/>
      <c r="C108" s="150"/>
      <c r="D108" s="150"/>
      <c r="E108" s="150"/>
      <c r="F108" s="150"/>
      <c r="G108" s="150"/>
      <c r="H108" s="150"/>
      <c r="I108" s="150"/>
    </row>
    <row r="109" spans="1:9" ht="45" customHeight="1">
      <c r="A109" s="151" t="s">
        <v>16</v>
      </c>
      <c r="B109" s="151"/>
      <c r="C109" s="151"/>
      <c r="D109" s="151"/>
      <c r="E109" s="151"/>
      <c r="F109" s="151"/>
      <c r="G109" s="151"/>
      <c r="H109" s="151"/>
      <c r="I109" s="151"/>
    </row>
    <row r="110" spans="1:9" ht="30" customHeight="1">
      <c r="A110" s="151" t="s">
        <v>17</v>
      </c>
      <c r="B110" s="151"/>
      <c r="C110" s="151"/>
      <c r="D110" s="151"/>
      <c r="E110" s="151"/>
      <c r="F110" s="151"/>
      <c r="G110" s="151"/>
      <c r="H110" s="151"/>
      <c r="I110" s="151"/>
    </row>
    <row r="111" spans="1:9" ht="30" customHeight="1">
      <c r="A111" s="151" t="s">
        <v>21</v>
      </c>
      <c r="B111" s="151"/>
      <c r="C111" s="151"/>
      <c r="D111" s="151"/>
      <c r="E111" s="151"/>
      <c r="F111" s="151"/>
      <c r="G111" s="151"/>
      <c r="H111" s="151"/>
      <c r="I111" s="151"/>
    </row>
    <row r="112" spans="1:9" ht="15" customHeight="1">
      <c r="A112" s="151" t="s">
        <v>20</v>
      </c>
      <c r="B112" s="151"/>
      <c r="C112" s="151"/>
      <c r="D112" s="151"/>
      <c r="E112" s="151"/>
      <c r="F112" s="151"/>
      <c r="G112" s="151"/>
      <c r="H112" s="151"/>
      <c r="I112" s="151"/>
    </row>
  </sheetData>
  <autoFilter ref="I12:I61"/>
  <mergeCells count="29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8:I28"/>
    <mergeCell ref="A44:I44"/>
    <mergeCell ref="A55:I55"/>
    <mergeCell ref="A83:I83"/>
    <mergeCell ref="A92:I92"/>
    <mergeCell ref="B93:G93"/>
    <mergeCell ref="B94:G94"/>
    <mergeCell ref="A96:I96"/>
    <mergeCell ref="A97:I97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178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197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3">
        <v>42825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hidden="1" customHeight="1">
      <c r="A19" s="32"/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5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6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7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31.5" hidden="1" customHeight="1">
      <c r="A30" s="32">
        <v>8</v>
      </c>
      <c r="B30" s="74" t="s">
        <v>112</v>
      </c>
      <c r="C30" s="75" t="s">
        <v>95</v>
      </c>
      <c r="D30" s="74" t="s">
        <v>109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1">SUM(F30*G30/1000)</f>
        <v>5.4076993880000011</v>
      </c>
      <c r="I30" s="13">
        <f t="shared" ref="I30:I34" si="2">F30/6*G30</f>
        <v>901.28323133333345</v>
      </c>
      <c r="J30" s="25"/>
      <c r="K30" s="8"/>
      <c r="L30" s="8"/>
      <c r="M30" s="8"/>
    </row>
    <row r="31" spans="1:13" ht="31.5" hidden="1" customHeight="1">
      <c r="A31" s="32">
        <v>9</v>
      </c>
      <c r="B31" s="74" t="s">
        <v>126</v>
      </c>
      <c r="C31" s="75" t="s">
        <v>95</v>
      </c>
      <c r="D31" s="74" t="s">
        <v>110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1"/>
        <v>9.2288080872000009</v>
      </c>
      <c r="I31" s="13">
        <f t="shared" si="2"/>
        <v>1538.1346812000002</v>
      </c>
      <c r="J31" s="25"/>
      <c r="K31" s="8"/>
      <c r="L31" s="8"/>
      <c r="M31" s="8"/>
    </row>
    <row r="32" spans="1:13" ht="15.75" hidden="1" customHeight="1">
      <c r="A32" s="32"/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1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hidden="1" customHeight="1">
      <c r="A33" s="32">
        <v>10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2"/>
        <v>336.35516666666672</v>
      </c>
      <c r="J33" s="25"/>
      <c r="K33" s="8"/>
      <c r="L33" s="8"/>
      <c r="M33" s="8"/>
    </row>
    <row r="34" spans="1:14" ht="15.75" hidden="1" customHeight="1">
      <c r="A34" s="32">
        <v>11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1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1"/>
        <v>2.2726599999999997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3">SUM(F38*G38/1000)</f>
        <v>15.272200000000002</v>
      </c>
      <c r="I38" s="13">
        <f t="shared" ref="I38:I43" si="4">F38/6*G38</f>
        <v>2545.3666666666668</v>
      </c>
      <c r="J38" s="26"/>
    </row>
    <row r="39" spans="1:14" ht="15.75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3"/>
        <v>19.238955416</v>
      </c>
      <c r="I39" s="13">
        <f t="shared" si="4"/>
        <v>3206.492569333333</v>
      </c>
      <c r="J39" s="26"/>
      <c r="L39" s="19"/>
      <c r="M39" s="20"/>
      <c r="N39" s="21"/>
    </row>
    <row r="40" spans="1:14" ht="15.75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3"/>
        <v>5.8367605999999999</v>
      </c>
      <c r="I40" s="13">
        <f t="shared" si="4"/>
        <v>972.79343333333316</v>
      </c>
      <c r="J40" s="26"/>
      <c r="L40" s="19"/>
      <c r="M40" s="20"/>
      <c r="N40" s="21"/>
    </row>
    <row r="41" spans="1:14" ht="48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3"/>
        <v>6.9639359999999995</v>
      </c>
      <c r="I41" s="13">
        <f t="shared" si="4"/>
        <v>1160.6559999999999</v>
      </c>
      <c r="J41" s="26"/>
      <c r="L41" s="19"/>
      <c r="M41" s="20"/>
      <c r="N41" s="21"/>
    </row>
    <row r="42" spans="1:14" ht="15.75" customHeight="1">
      <c r="A42" s="32">
        <v>12</v>
      </c>
      <c r="B42" s="74" t="s">
        <v>96</v>
      </c>
      <c r="C42" s="75" t="s">
        <v>95</v>
      </c>
      <c r="D42" s="152" t="s">
        <v>247</v>
      </c>
      <c r="E42" s="153">
        <v>123.36</v>
      </c>
      <c r="F42" s="154">
        <f>SUM(E42*15/1000)</f>
        <v>1.8504</v>
      </c>
      <c r="G42" s="153">
        <v>428.7</v>
      </c>
      <c r="H42" s="155">
        <f t="shared" ref="H42" si="5">SUM(F42*G42/1000)</f>
        <v>0.79326648</v>
      </c>
      <c r="I42" s="13">
        <f>F42/2*G42</f>
        <v>396.63324</v>
      </c>
      <c r="J42" s="26"/>
      <c r="L42" s="19"/>
      <c r="M42" s="20"/>
      <c r="N42" s="21"/>
    </row>
    <row r="43" spans="1:14" ht="15.75" customHeight="1">
      <c r="A43" s="32">
        <v>13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3"/>
        <v>0.71820000000000006</v>
      </c>
      <c r="I43" s="13">
        <f t="shared" si="4"/>
        <v>119.69999999999999</v>
      </c>
      <c r="J43" s="26"/>
      <c r="L43" s="19"/>
      <c r="M43" s="20"/>
      <c r="N43" s="21"/>
    </row>
    <row r="44" spans="1:14" ht="15.75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hidden="1" customHeight="1">
      <c r="A45" s="32"/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4" si="6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6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6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6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6"/>
        <v>2.44182897</v>
      </c>
      <c r="I49" s="13">
        <v>0</v>
      </c>
      <c r="J49" s="26"/>
      <c r="L49" s="19"/>
      <c r="M49" s="20"/>
      <c r="N49" s="21"/>
    </row>
    <row r="50" spans="1:22" ht="15.75" hidden="1" customHeight="1">
      <c r="A50" s="32">
        <v>14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6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hidden="1" customHeight="1">
      <c r="A51" s="32"/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6"/>
        <v>4.65129444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6"/>
        <v>1.0921959999999999</v>
      </c>
      <c r="I52" s="13">
        <v>0</v>
      </c>
      <c r="J52" s="26"/>
      <c r="L52" s="19"/>
      <c r="M52" s="20"/>
      <c r="N52" s="21"/>
    </row>
    <row r="53" spans="1:22" ht="15.75" customHeight="1">
      <c r="A53" s="32">
        <v>14</v>
      </c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6"/>
        <v>0.11304260000000001</v>
      </c>
      <c r="I53" s="13">
        <f>F53/2*G53</f>
        <v>56.521300000000004</v>
      </c>
      <c r="J53" s="26"/>
      <c r="L53" s="19"/>
      <c r="M53" s="20"/>
      <c r="N53" s="21"/>
    </row>
    <row r="54" spans="1:22" ht="15.75" hidden="1" customHeight="1">
      <c r="A54" s="32">
        <v>15</v>
      </c>
      <c r="B54" s="74" t="s">
        <v>42</v>
      </c>
      <c r="C54" s="75" t="s">
        <v>114</v>
      </c>
      <c r="D54" s="74" t="s">
        <v>73</v>
      </c>
      <c r="E54" s="76">
        <v>120</v>
      </c>
      <c r="F54" s="77">
        <f>SUM(E54)*3</f>
        <v>360</v>
      </c>
      <c r="G54" s="13">
        <v>65.67</v>
      </c>
      <c r="H54" s="78">
        <f t="shared" si="6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135" t="s">
        <v>145</v>
      </c>
      <c r="B55" s="136"/>
      <c r="C55" s="136"/>
      <c r="D55" s="136"/>
      <c r="E55" s="136"/>
      <c r="F55" s="136"/>
      <c r="G55" s="136"/>
      <c r="H55" s="136"/>
      <c r="I55" s="137"/>
      <c r="J55" s="26"/>
      <c r="L55" s="19"/>
      <c r="M55" s="20"/>
      <c r="N55" s="21"/>
    </row>
    <row r="56" spans="1:22" ht="15.75" customHeight="1">
      <c r="A56" s="32"/>
      <c r="B56" s="100" t="s">
        <v>44</v>
      </c>
      <c r="C56" s="75"/>
      <c r="D56" s="74"/>
      <c r="E56" s="76"/>
      <c r="F56" s="77"/>
      <c r="G56" s="77"/>
      <c r="H56" s="78"/>
      <c r="I56" s="13"/>
      <c r="J56" s="26"/>
      <c r="L56" s="19"/>
      <c r="M56" s="20"/>
      <c r="N56" s="21"/>
    </row>
    <row r="57" spans="1:22" ht="31.5" customHeight="1">
      <c r="A57" s="32">
        <v>15</v>
      </c>
      <c r="B57" s="74" t="s">
        <v>129</v>
      </c>
      <c r="C57" s="75" t="s">
        <v>93</v>
      </c>
      <c r="D57" s="74" t="s">
        <v>115</v>
      </c>
      <c r="E57" s="76">
        <v>131.77500000000001</v>
      </c>
      <c r="F57" s="77">
        <f>SUM(E57*6/100)</f>
        <v>7.9065000000000012</v>
      </c>
      <c r="G57" s="13">
        <v>1547.28</v>
      </c>
      <c r="H57" s="78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101" t="s">
        <v>45</v>
      </c>
      <c r="C58" s="83"/>
      <c r="D58" s="84"/>
      <c r="E58" s="85"/>
      <c r="F58" s="87"/>
      <c r="G58" s="13"/>
      <c r="H58" s="88"/>
      <c r="I58" s="13"/>
      <c r="J58" s="26"/>
      <c r="L58" s="19"/>
      <c r="M58" s="20"/>
      <c r="N58" s="21"/>
    </row>
    <row r="59" spans="1:22" ht="15.75" hidden="1" customHeight="1">
      <c r="A59" s="32"/>
      <c r="B59" s="84" t="s">
        <v>138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84" t="s">
        <v>139</v>
      </c>
      <c r="C60" s="83" t="s">
        <v>54</v>
      </c>
      <c r="D60" s="84" t="s">
        <v>55</v>
      </c>
      <c r="E60" s="85">
        <v>890</v>
      </c>
      <c r="F60" s="87">
        <v>8.9</v>
      </c>
      <c r="G60" s="13">
        <v>793.61</v>
      </c>
      <c r="H60" s="88">
        <f>F60*G60/1000</f>
        <v>7.0631290000000009</v>
      </c>
      <c r="I60" s="13">
        <v>0</v>
      </c>
    </row>
    <row r="61" spans="1:22" ht="15.75" customHeight="1">
      <c r="A61" s="32">
        <v>16</v>
      </c>
      <c r="B61" s="84" t="s">
        <v>127</v>
      </c>
      <c r="C61" s="83" t="s">
        <v>25</v>
      </c>
      <c r="D61" s="84" t="s">
        <v>30</v>
      </c>
      <c r="E61" s="85">
        <v>158.19999999999999</v>
      </c>
      <c r="F61" s="87">
        <f>E61*12</f>
        <v>1898.3999999999999</v>
      </c>
      <c r="G61" s="94">
        <v>2.6</v>
      </c>
      <c r="H61" s="88">
        <f>F61*G61/1000</f>
        <v>4.9358399999999998</v>
      </c>
      <c r="I61" s="13">
        <f>F61/12*G61</f>
        <v>411.32</v>
      </c>
    </row>
    <row r="62" spans="1:22" ht="15.75" hidden="1" customHeight="1">
      <c r="A62" s="32"/>
      <c r="B62" s="101" t="s">
        <v>46</v>
      </c>
      <c r="C62" s="83"/>
      <c r="D62" s="84"/>
      <c r="E62" s="85"/>
      <c r="F62" s="86"/>
      <c r="G62" s="86"/>
      <c r="H62" s="87" t="s">
        <v>130</v>
      </c>
      <c r="I62" s="13"/>
    </row>
    <row r="63" spans="1:22" ht="15.75" hidden="1" customHeight="1">
      <c r="A63" s="32"/>
      <c r="B63" s="14" t="s">
        <v>47</v>
      </c>
      <c r="C63" s="16" t="s">
        <v>114</v>
      </c>
      <c r="D63" s="14" t="s">
        <v>151</v>
      </c>
      <c r="E63" s="18">
        <v>15</v>
      </c>
      <c r="F63" s="77">
        <v>15</v>
      </c>
      <c r="G63" s="13">
        <v>222.4</v>
      </c>
      <c r="H63" s="89">
        <f t="shared" ref="H63:H76" si="7">SUM(F63*G63/1000)</f>
        <v>3.3359999999999999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114</v>
      </c>
      <c r="D64" s="14" t="s">
        <v>151</v>
      </c>
      <c r="E64" s="18">
        <v>8</v>
      </c>
      <c r="F64" s="77">
        <v>8</v>
      </c>
      <c r="G64" s="13">
        <v>76.25</v>
      </c>
      <c r="H64" s="89">
        <f t="shared" si="7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116</v>
      </c>
      <c r="D65" s="14" t="s">
        <v>55</v>
      </c>
      <c r="E65" s="76">
        <v>14220</v>
      </c>
      <c r="F65" s="13">
        <f>SUM(E65/100)</f>
        <v>142.19999999999999</v>
      </c>
      <c r="G65" s="13">
        <v>212.15</v>
      </c>
      <c r="H65" s="89">
        <f t="shared" si="7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117</v>
      </c>
      <c r="D66" s="14"/>
      <c r="E66" s="76">
        <v>14220</v>
      </c>
      <c r="F66" s="13">
        <f>SUM(E66/1000)</f>
        <v>14.22</v>
      </c>
      <c r="G66" s="13">
        <v>165.21</v>
      </c>
      <c r="H66" s="89">
        <f t="shared" si="7"/>
        <v>2.3492861999999999</v>
      </c>
      <c r="I66" s="13">
        <f t="shared" ref="I66:I70" si="8">F66*G66</f>
        <v>2349.2862</v>
      </c>
      <c r="J66" s="5"/>
      <c r="K66" s="5"/>
      <c r="L66" s="5"/>
      <c r="M66" s="5"/>
      <c r="N66" s="5"/>
      <c r="O66" s="5"/>
      <c r="P66" s="5"/>
      <c r="Q66" s="5"/>
      <c r="R66" s="138"/>
      <c r="S66" s="138"/>
      <c r="T66" s="138"/>
      <c r="U66" s="138"/>
    </row>
    <row r="67" spans="1:21" ht="15.75" hidden="1" customHeight="1">
      <c r="A67" s="32"/>
      <c r="B67" s="14" t="s">
        <v>51</v>
      </c>
      <c r="C67" s="16" t="s">
        <v>79</v>
      </c>
      <c r="D67" s="14" t="s">
        <v>55</v>
      </c>
      <c r="E67" s="76">
        <v>2260</v>
      </c>
      <c r="F67" s="13">
        <f>SUM(E67/100)</f>
        <v>22.6</v>
      </c>
      <c r="G67" s="13">
        <v>2074.63</v>
      </c>
      <c r="H67" s="89">
        <f t="shared" si="7"/>
        <v>46.886638000000005</v>
      </c>
      <c r="I67" s="13">
        <f t="shared" si="8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90" t="s">
        <v>118</v>
      </c>
      <c r="C68" s="16" t="s">
        <v>33</v>
      </c>
      <c r="D68" s="14"/>
      <c r="E68" s="76">
        <v>11</v>
      </c>
      <c r="F68" s="13">
        <f>SUM(E68)</f>
        <v>11</v>
      </c>
      <c r="G68" s="13">
        <v>45.32</v>
      </c>
      <c r="H68" s="89">
        <f t="shared" si="7"/>
        <v>0.49851999999999996</v>
      </c>
      <c r="I68" s="13">
        <f t="shared" si="8"/>
        <v>498.52</v>
      </c>
    </row>
    <row r="69" spans="1:21" ht="15.75" hidden="1" customHeight="1">
      <c r="A69" s="32"/>
      <c r="B69" s="90" t="s">
        <v>119</v>
      </c>
      <c r="C69" s="16" t="s">
        <v>33</v>
      </c>
      <c r="D69" s="14"/>
      <c r="E69" s="76">
        <v>11</v>
      </c>
      <c r="F69" s="13">
        <f>SUM(E69)</f>
        <v>11</v>
      </c>
      <c r="G69" s="13">
        <v>42.28</v>
      </c>
      <c r="H69" s="89">
        <f t="shared" si="7"/>
        <v>0.46508000000000005</v>
      </c>
      <c r="I69" s="13">
        <f t="shared" si="8"/>
        <v>465.08000000000004</v>
      </c>
    </row>
    <row r="70" spans="1:21" ht="15.75" hidden="1" customHeight="1">
      <c r="A70" s="32"/>
      <c r="B70" s="14" t="s">
        <v>59</v>
      </c>
      <c r="C70" s="16" t="s">
        <v>60</v>
      </c>
      <c r="D70" s="14" t="s">
        <v>55</v>
      </c>
      <c r="E70" s="18">
        <v>8</v>
      </c>
      <c r="F70" s="77">
        <v>8</v>
      </c>
      <c r="G70" s="13">
        <v>49.88</v>
      </c>
      <c r="H70" s="89">
        <f t="shared" si="7"/>
        <v>0.39904000000000001</v>
      </c>
      <c r="I70" s="13">
        <f t="shared" si="8"/>
        <v>399.04</v>
      </c>
    </row>
    <row r="71" spans="1:21" ht="15.75" hidden="1" customHeight="1">
      <c r="A71" s="32"/>
      <c r="B71" s="62" t="s">
        <v>74</v>
      </c>
      <c r="C71" s="16"/>
      <c r="D71" s="14"/>
      <c r="E71" s="18"/>
      <c r="F71" s="13"/>
      <c r="G71" s="13"/>
      <c r="H71" s="89" t="s">
        <v>130</v>
      </c>
      <c r="I71" s="13"/>
    </row>
    <row r="72" spans="1:21" ht="15.75" hidden="1" customHeight="1">
      <c r="A72" s="32"/>
      <c r="B72" s="14" t="s">
        <v>75</v>
      </c>
      <c r="C72" s="16" t="s">
        <v>77</v>
      </c>
      <c r="D72" s="14"/>
      <c r="E72" s="18">
        <v>2</v>
      </c>
      <c r="F72" s="13">
        <v>0.2</v>
      </c>
      <c r="G72" s="13">
        <v>501.62</v>
      </c>
      <c r="H72" s="89">
        <f t="shared" si="7"/>
        <v>0.10032400000000001</v>
      </c>
      <c r="I72" s="13">
        <v>0</v>
      </c>
    </row>
    <row r="73" spans="1:21" ht="15.75" hidden="1" customHeight="1">
      <c r="A73" s="32"/>
      <c r="B73" s="14" t="s">
        <v>76</v>
      </c>
      <c r="C73" s="16" t="s">
        <v>31</v>
      </c>
      <c r="D73" s="14"/>
      <c r="E73" s="18">
        <v>1</v>
      </c>
      <c r="F73" s="66">
        <v>1</v>
      </c>
      <c r="G73" s="13">
        <v>852.99</v>
      </c>
      <c r="H73" s="89">
        <f>F73*G73/1000</f>
        <v>0.85299000000000003</v>
      </c>
      <c r="I73" s="13">
        <v>0</v>
      </c>
    </row>
    <row r="74" spans="1:21" ht="15.75" hidden="1" customHeight="1">
      <c r="A74" s="32"/>
      <c r="B74" s="14" t="s">
        <v>121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9">
        <f>G74*F74/1000</f>
        <v>0.35851</v>
      </c>
      <c r="I74" s="13">
        <v>0</v>
      </c>
    </row>
    <row r="75" spans="1:21" ht="15.75" hidden="1" customHeight="1">
      <c r="A75" s="32"/>
      <c r="B75" s="92" t="s">
        <v>78</v>
      </c>
      <c r="C75" s="16"/>
      <c r="D75" s="14"/>
      <c r="E75" s="18"/>
      <c r="F75" s="13"/>
      <c r="G75" s="13" t="s">
        <v>130</v>
      </c>
      <c r="H75" s="89" t="s">
        <v>130</v>
      </c>
      <c r="I75" s="13"/>
    </row>
    <row r="76" spans="1:21" ht="15.75" hidden="1" customHeight="1">
      <c r="A76" s="32"/>
      <c r="B76" s="46" t="s">
        <v>128</v>
      </c>
      <c r="C76" s="16" t="s">
        <v>79</v>
      </c>
      <c r="D76" s="14"/>
      <c r="E76" s="18"/>
      <c r="F76" s="13">
        <v>0.1</v>
      </c>
      <c r="G76" s="13">
        <v>2759.44</v>
      </c>
      <c r="H76" s="89">
        <f t="shared" si="7"/>
        <v>0.27594400000000002</v>
      </c>
      <c r="I76" s="13">
        <v>0</v>
      </c>
    </row>
    <row r="77" spans="1:21" ht="15.75" customHeight="1">
      <c r="A77" s="32"/>
      <c r="B77" s="104" t="s">
        <v>99</v>
      </c>
      <c r="C77" s="104"/>
      <c r="D77" s="104"/>
      <c r="E77" s="104"/>
      <c r="F77" s="104"/>
      <c r="G77" s="80"/>
      <c r="H77" s="93">
        <f>SUM(H57:H76)</f>
        <v>117.59572952000001</v>
      </c>
      <c r="I77" s="80"/>
    </row>
    <row r="78" spans="1:21" ht="15.75" customHeight="1">
      <c r="A78" s="32">
        <v>17</v>
      </c>
      <c r="B78" s="102" t="s">
        <v>120</v>
      </c>
      <c r="C78" s="23"/>
      <c r="D78" s="22"/>
      <c r="E78" s="67"/>
      <c r="F78" s="103">
        <v>1</v>
      </c>
      <c r="G78" s="37">
        <v>11924.5</v>
      </c>
      <c r="H78" s="89">
        <f>G78*F78/1000</f>
        <v>11.9245</v>
      </c>
      <c r="I78" s="13">
        <f>G78</f>
        <v>11924.5</v>
      </c>
    </row>
    <row r="79" spans="1:21" ht="15.75" customHeight="1">
      <c r="A79" s="139" t="s">
        <v>146</v>
      </c>
      <c r="B79" s="140"/>
      <c r="C79" s="140"/>
      <c r="D79" s="140"/>
      <c r="E79" s="140"/>
      <c r="F79" s="140"/>
      <c r="G79" s="140"/>
      <c r="H79" s="140"/>
      <c r="I79" s="141"/>
    </row>
    <row r="80" spans="1:21" ht="15.75" customHeight="1">
      <c r="A80" s="32">
        <v>18</v>
      </c>
      <c r="B80" s="74" t="s">
        <v>122</v>
      </c>
      <c r="C80" s="16" t="s">
        <v>56</v>
      </c>
      <c r="D80" s="65" t="s">
        <v>57</v>
      </c>
      <c r="E80" s="13">
        <v>3382.7</v>
      </c>
      <c r="F80" s="13">
        <f>SUM(E80*12)</f>
        <v>40592.399999999994</v>
      </c>
      <c r="G80" s="13">
        <v>2.1</v>
      </c>
      <c r="H80" s="89">
        <f>SUM(F80*G80/1000)</f>
        <v>85.244039999999998</v>
      </c>
      <c r="I80" s="13">
        <f>F80/12*G80</f>
        <v>7103.6699999999992</v>
      </c>
    </row>
    <row r="81" spans="1:9" ht="31.5" customHeight="1">
      <c r="A81" s="32">
        <v>19</v>
      </c>
      <c r="B81" s="14" t="s">
        <v>80</v>
      </c>
      <c r="C81" s="16"/>
      <c r="D81" s="65" t="s">
        <v>57</v>
      </c>
      <c r="E81" s="76">
        <f>E80</f>
        <v>3382.7</v>
      </c>
      <c r="F81" s="13">
        <f>E81*12</f>
        <v>40592.399999999994</v>
      </c>
      <c r="G81" s="13">
        <v>1.63</v>
      </c>
      <c r="H81" s="89">
        <f>F81*G81/1000</f>
        <v>66.165611999999982</v>
      </c>
      <c r="I81" s="13">
        <f>F81/12*G81</f>
        <v>5513.8009999999986</v>
      </c>
    </row>
    <row r="82" spans="1:9" ht="15.75" customHeight="1">
      <c r="A82" s="32"/>
      <c r="B82" s="39" t="s">
        <v>83</v>
      </c>
      <c r="C82" s="92"/>
      <c r="D82" s="91"/>
      <c r="E82" s="80"/>
      <c r="F82" s="80"/>
      <c r="G82" s="80"/>
      <c r="H82" s="93">
        <f>H81</f>
        <v>66.165611999999982</v>
      </c>
      <c r="I82" s="80">
        <f>I16+I17+I18+I20+I21+I26+I27+I38+I39+I40+I41+I42+I43+I53+I57+I61+I78+I80+I81</f>
        <v>59734.570999333329</v>
      </c>
    </row>
    <row r="83" spans="1:9" ht="15.75" customHeight="1">
      <c r="A83" s="126" t="s">
        <v>62</v>
      </c>
      <c r="B83" s="127"/>
      <c r="C83" s="127"/>
      <c r="D83" s="127"/>
      <c r="E83" s="127"/>
      <c r="F83" s="127"/>
      <c r="G83" s="127"/>
      <c r="H83" s="127"/>
      <c r="I83" s="128"/>
    </row>
    <row r="84" spans="1:9" ht="15.75" customHeight="1">
      <c r="A84" s="32">
        <v>20</v>
      </c>
      <c r="B84" s="51" t="s">
        <v>133</v>
      </c>
      <c r="C84" s="73" t="s">
        <v>114</v>
      </c>
      <c r="D84" s="84"/>
      <c r="E84" s="85"/>
      <c r="F84" s="86">
        <v>732</v>
      </c>
      <c r="G84" s="95">
        <v>53.42</v>
      </c>
      <c r="H84" s="87">
        <f>SUM(F84*G84/1000)</f>
        <v>39.103439999999999</v>
      </c>
      <c r="I84" s="95">
        <f>G84*61</f>
        <v>3258.62</v>
      </c>
    </row>
    <row r="85" spans="1:9" ht="15.75" customHeight="1">
      <c r="A85" s="32">
        <v>21</v>
      </c>
      <c r="B85" s="51" t="s">
        <v>85</v>
      </c>
      <c r="C85" s="54" t="s">
        <v>114</v>
      </c>
      <c r="D85" s="38"/>
      <c r="E85" s="17"/>
      <c r="F85" s="36">
        <v>2</v>
      </c>
      <c r="G85" s="36">
        <v>189.88</v>
      </c>
      <c r="H85" s="108">
        <f t="shared" ref="H85" si="9">SUM(F85*G85/1000)</f>
        <v>0.37975999999999999</v>
      </c>
      <c r="I85" s="95">
        <f>G85</f>
        <v>189.88</v>
      </c>
    </row>
    <row r="86" spans="1:9" ht="15.75" customHeight="1">
      <c r="A86" s="32">
        <v>22</v>
      </c>
      <c r="B86" s="51" t="s">
        <v>155</v>
      </c>
      <c r="C86" s="54" t="s">
        <v>156</v>
      </c>
      <c r="D86" s="109"/>
      <c r="E86" s="17"/>
      <c r="F86" s="110">
        <v>3.5</v>
      </c>
      <c r="G86" s="36">
        <v>1582</v>
      </c>
      <c r="H86" s="108">
        <f t="shared" ref="H86:H88" si="10">SUM(F86*G86/1000)</f>
        <v>5.5369999999999999</v>
      </c>
      <c r="I86" s="95">
        <f>G86*0.5</f>
        <v>791</v>
      </c>
    </row>
    <row r="87" spans="1:9" ht="31.5" customHeight="1">
      <c r="A87" s="32">
        <v>23</v>
      </c>
      <c r="B87" s="51" t="s">
        <v>82</v>
      </c>
      <c r="C87" s="54" t="s">
        <v>31</v>
      </c>
      <c r="D87" s="109"/>
      <c r="E87" s="17"/>
      <c r="F87" s="110">
        <v>4</v>
      </c>
      <c r="G87" s="36">
        <v>83.36</v>
      </c>
      <c r="H87" s="108">
        <f t="shared" si="10"/>
        <v>0.33344000000000001</v>
      </c>
      <c r="I87" s="95">
        <f>G87</f>
        <v>83.36</v>
      </c>
    </row>
    <row r="88" spans="1:9" ht="15.75" customHeight="1">
      <c r="A88" s="32">
        <v>24</v>
      </c>
      <c r="B88" s="98" t="s">
        <v>198</v>
      </c>
      <c r="C88" s="32" t="s">
        <v>101</v>
      </c>
      <c r="D88" s="109"/>
      <c r="E88" s="17"/>
      <c r="F88" s="110">
        <f>1.22/10</f>
        <v>0.122</v>
      </c>
      <c r="G88" s="36">
        <v>29021.3</v>
      </c>
      <c r="H88" s="108">
        <f t="shared" si="10"/>
        <v>3.5405985999999996</v>
      </c>
      <c r="I88" s="95">
        <f>G88*(0.72/10)</f>
        <v>2089.5335999999998</v>
      </c>
    </row>
    <row r="89" spans="1:9" ht="15.75" customHeight="1">
      <c r="A89" s="32"/>
      <c r="B89" s="44" t="s">
        <v>52</v>
      </c>
      <c r="C89" s="40"/>
      <c r="D89" s="47"/>
      <c r="E89" s="40">
        <v>1</v>
      </c>
      <c r="F89" s="40"/>
      <c r="G89" s="40"/>
      <c r="H89" s="40"/>
      <c r="I89" s="34">
        <f>SUM(I84:I88)</f>
        <v>6412.3935999999994</v>
      </c>
    </row>
    <row r="90" spans="1:9" ht="15.75" customHeight="1">
      <c r="A90" s="32"/>
      <c r="B90" s="46" t="s">
        <v>81</v>
      </c>
      <c r="C90" s="15"/>
      <c r="D90" s="15"/>
      <c r="E90" s="41"/>
      <c r="F90" s="41"/>
      <c r="G90" s="42"/>
      <c r="H90" s="42"/>
      <c r="I90" s="17">
        <v>0</v>
      </c>
    </row>
    <row r="91" spans="1:9" ht="15.75" customHeight="1">
      <c r="A91" s="48"/>
      <c r="B91" s="45" t="s">
        <v>195</v>
      </c>
      <c r="C91" s="35"/>
      <c r="D91" s="35"/>
      <c r="E91" s="35"/>
      <c r="F91" s="35"/>
      <c r="G91" s="35"/>
      <c r="H91" s="35"/>
      <c r="I91" s="43">
        <f>I82+I89</f>
        <v>66146.964599333325</v>
      </c>
    </row>
    <row r="92" spans="1:9" ht="15.75" customHeight="1">
      <c r="A92" s="142" t="s">
        <v>199</v>
      </c>
      <c r="B92" s="142"/>
      <c r="C92" s="142"/>
      <c r="D92" s="142"/>
      <c r="E92" s="142"/>
      <c r="F92" s="142"/>
      <c r="G92" s="142"/>
      <c r="H92" s="142"/>
      <c r="I92" s="142"/>
    </row>
    <row r="93" spans="1:9" ht="15.75" customHeight="1">
      <c r="A93" s="64"/>
      <c r="B93" s="143" t="s">
        <v>200</v>
      </c>
      <c r="C93" s="143"/>
      <c r="D93" s="143"/>
      <c r="E93" s="143"/>
      <c r="F93" s="143"/>
      <c r="G93" s="143"/>
      <c r="H93" s="70"/>
      <c r="I93" s="3"/>
    </row>
    <row r="94" spans="1:9">
      <c r="A94" s="49"/>
      <c r="B94" s="144" t="s">
        <v>6</v>
      </c>
      <c r="C94" s="144"/>
      <c r="D94" s="144"/>
      <c r="E94" s="144"/>
      <c r="F94" s="144"/>
      <c r="G94" s="144"/>
      <c r="H94" s="27"/>
      <c r="I94" s="50"/>
    </row>
    <row r="95" spans="1:9" ht="15.75" customHeight="1">
      <c r="A95" s="56"/>
      <c r="B95" s="56"/>
      <c r="C95" s="56"/>
      <c r="D95" s="56"/>
      <c r="E95" s="56"/>
      <c r="F95" s="56"/>
      <c r="G95" s="56"/>
      <c r="H95" s="56"/>
      <c r="I95" s="56"/>
    </row>
    <row r="96" spans="1:9" ht="15.75" customHeight="1">
      <c r="A96" s="145" t="s">
        <v>7</v>
      </c>
      <c r="B96" s="145"/>
      <c r="C96" s="145"/>
      <c r="D96" s="145"/>
      <c r="E96" s="145"/>
      <c r="F96" s="145"/>
      <c r="G96" s="145"/>
      <c r="H96" s="145"/>
      <c r="I96" s="145"/>
    </row>
    <row r="97" spans="1:9" ht="15.75" customHeight="1">
      <c r="A97" s="145" t="s">
        <v>8</v>
      </c>
      <c r="B97" s="145"/>
      <c r="C97" s="145"/>
      <c r="D97" s="145"/>
      <c r="E97" s="145"/>
      <c r="F97" s="145"/>
      <c r="G97" s="145"/>
      <c r="H97" s="145"/>
      <c r="I97" s="145"/>
    </row>
    <row r="98" spans="1:9" ht="15.75" customHeight="1">
      <c r="A98" s="146" t="s">
        <v>63</v>
      </c>
      <c r="B98" s="146"/>
      <c r="C98" s="146"/>
      <c r="D98" s="146"/>
      <c r="E98" s="146"/>
      <c r="F98" s="146"/>
      <c r="G98" s="146"/>
      <c r="H98" s="146"/>
      <c r="I98" s="146"/>
    </row>
    <row r="99" spans="1:9" ht="15.75" customHeight="1">
      <c r="A99" s="11"/>
    </row>
    <row r="100" spans="1:9" ht="15.75" customHeight="1">
      <c r="A100" s="147" t="s">
        <v>9</v>
      </c>
      <c r="B100" s="147"/>
      <c r="C100" s="147"/>
      <c r="D100" s="147"/>
      <c r="E100" s="147"/>
      <c r="F100" s="147"/>
      <c r="G100" s="147"/>
      <c r="H100" s="147"/>
      <c r="I100" s="147"/>
    </row>
    <row r="101" spans="1:9" ht="15.75" customHeight="1">
      <c r="A101" s="4"/>
    </row>
    <row r="102" spans="1:9" ht="15.75" customHeight="1">
      <c r="B102" s="61" t="s">
        <v>10</v>
      </c>
      <c r="C102" s="148" t="s">
        <v>147</v>
      </c>
      <c r="D102" s="148"/>
      <c r="E102" s="148"/>
      <c r="F102" s="68"/>
      <c r="I102" s="59"/>
    </row>
    <row r="103" spans="1:9" ht="15.75" customHeight="1">
      <c r="A103" s="60"/>
      <c r="C103" s="144" t="s">
        <v>11</v>
      </c>
      <c r="D103" s="144"/>
      <c r="E103" s="144"/>
      <c r="F103" s="27"/>
      <c r="I103" s="58" t="s">
        <v>12</v>
      </c>
    </row>
    <row r="104" spans="1:9" ht="15.75" customHeight="1">
      <c r="A104" s="28"/>
      <c r="C104" s="12"/>
      <c r="D104" s="12"/>
      <c r="G104" s="12"/>
      <c r="H104" s="12"/>
    </row>
    <row r="105" spans="1:9" ht="15.75">
      <c r="B105" s="61" t="s">
        <v>13</v>
      </c>
      <c r="C105" s="149"/>
      <c r="D105" s="149"/>
      <c r="E105" s="149"/>
      <c r="F105" s="69"/>
      <c r="I105" s="59"/>
    </row>
    <row r="106" spans="1:9">
      <c r="A106" s="60"/>
      <c r="C106" s="138" t="s">
        <v>11</v>
      </c>
      <c r="D106" s="138"/>
      <c r="E106" s="138"/>
      <c r="F106" s="60"/>
      <c r="I106" s="58" t="s">
        <v>12</v>
      </c>
    </row>
    <row r="107" spans="1:9" ht="15.75" customHeight="1">
      <c r="A107" s="4" t="s">
        <v>14</v>
      </c>
    </row>
    <row r="108" spans="1:9" ht="15.75" customHeight="1">
      <c r="A108" s="150" t="s">
        <v>15</v>
      </c>
      <c r="B108" s="150"/>
      <c r="C108" s="150"/>
      <c r="D108" s="150"/>
      <c r="E108" s="150"/>
      <c r="F108" s="150"/>
      <c r="G108" s="150"/>
      <c r="H108" s="150"/>
      <c r="I108" s="150"/>
    </row>
    <row r="109" spans="1:9" ht="45" customHeight="1">
      <c r="A109" s="151" t="s">
        <v>16</v>
      </c>
      <c r="B109" s="151"/>
      <c r="C109" s="151"/>
      <c r="D109" s="151"/>
      <c r="E109" s="151"/>
      <c r="F109" s="151"/>
      <c r="G109" s="151"/>
      <c r="H109" s="151"/>
      <c r="I109" s="151"/>
    </row>
    <row r="110" spans="1:9" ht="30" customHeight="1">
      <c r="A110" s="151" t="s">
        <v>17</v>
      </c>
      <c r="B110" s="151"/>
      <c r="C110" s="151"/>
      <c r="D110" s="151"/>
      <c r="E110" s="151"/>
      <c r="F110" s="151"/>
      <c r="G110" s="151"/>
      <c r="H110" s="151"/>
      <c r="I110" s="151"/>
    </row>
    <row r="111" spans="1:9" ht="30" customHeight="1">
      <c r="A111" s="151" t="s">
        <v>21</v>
      </c>
      <c r="B111" s="151"/>
      <c r="C111" s="151"/>
      <c r="D111" s="151"/>
      <c r="E111" s="151"/>
      <c r="F111" s="151"/>
      <c r="G111" s="151"/>
      <c r="H111" s="151"/>
      <c r="I111" s="151"/>
    </row>
    <row r="112" spans="1:9" ht="15" customHeight="1">
      <c r="A112" s="151" t="s">
        <v>20</v>
      </c>
      <c r="B112" s="151"/>
      <c r="C112" s="151"/>
      <c r="D112" s="151"/>
      <c r="E112" s="151"/>
      <c r="F112" s="151"/>
      <c r="G112" s="151"/>
      <c r="H112" s="151"/>
      <c r="I112" s="151"/>
    </row>
  </sheetData>
  <autoFilter ref="I12:I61"/>
  <mergeCells count="29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8:I28"/>
    <mergeCell ref="A44:I44"/>
    <mergeCell ref="A55:I55"/>
    <mergeCell ref="A83:I83"/>
    <mergeCell ref="A92:I92"/>
    <mergeCell ref="B93:G93"/>
    <mergeCell ref="B94:G94"/>
    <mergeCell ref="A96:I96"/>
    <mergeCell ref="A97:I97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179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201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3">
        <v>42855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hidden="1" customHeight="1">
      <c r="A19" s="32"/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5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6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7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31.5" hidden="1" customHeight="1">
      <c r="A30" s="32">
        <v>8</v>
      </c>
      <c r="B30" s="74" t="s">
        <v>112</v>
      </c>
      <c r="C30" s="75" t="s">
        <v>95</v>
      </c>
      <c r="D30" s="74" t="s">
        <v>109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1">SUM(F30*G30/1000)</f>
        <v>5.4076993880000011</v>
      </c>
      <c r="I30" s="13">
        <f t="shared" ref="I30:I34" si="2">F30/6*G30</f>
        <v>901.28323133333345</v>
      </c>
      <c r="J30" s="25"/>
      <c r="K30" s="8"/>
      <c r="L30" s="8"/>
      <c r="M30" s="8"/>
    </row>
    <row r="31" spans="1:13" ht="31.5" hidden="1" customHeight="1">
      <c r="A31" s="32">
        <v>9</v>
      </c>
      <c r="B31" s="74" t="s">
        <v>126</v>
      </c>
      <c r="C31" s="75" t="s">
        <v>95</v>
      </c>
      <c r="D31" s="74" t="s">
        <v>110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1"/>
        <v>9.2288080872000009</v>
      </c>
      <c r="I31" s="13">
        <f t="shared" si="2"/>
        <v>1538.1346812000002</v>
      </c>
      <c r="J31" s="25"/>
      <c r="K31" s="8"/>
      <c r="L31" s="8"/>
      <c r="M31" s="8"/>
    </row>
    <row r="32" spans="1:13" ht="15.75" hidden="1" customHeight="1">
      <c r="A32" s="32"/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1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hidden="1" customHeight="1">
      <c r="A33" s="32">
        <v>10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2"/>
        <v>336.35516666666672</v>
      </c>
      <c r="J33" s="25"/>
      <c r="K33" s="8"/>
      <c r="L33" s="8"/>
      <c r="M33" s="8"/>
    </row>
    <row r="34" spans="1:14" ht="15.75" hidden="1" customHeight="1">
      <c r="A34" s="32">
        <v>11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1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1"/>
        <v>2.2726599999999997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3">SUM(F38*G38/1000)</f>
        <v>15.272200000000002</v>
      </c>
      <c r="I38" s="13">
        <f t="shared" ref="I38:I43" si="4">F38/6*G38</f>
        <v>2545.3666666666668</v>
      </c>
      <c r="J38" s="26"/>
    </row>
    <row r="39" spans="1:14" ht="15.75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3"/>
        <v>19.238955416</v>
      </c>
      <c r="I39" s="13">
        <f t="shared" si="4"/>
        <v>3206.492569333333</v>
      </c>
      <c r="J39" s="26"/>
      <c r="L39" s="19"/>
      <c r="M39" s="20"/>
      <c r="N39" s="21"/>
    </row>
    <row r="40" spans="1:14" ht="15.75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3"/>
        <v>5.8367605999999999</v>
      </c>
      <c r="I40" s="13">
        <f t="shared" si="4"/>
        <v>972.79343333333316</v>
      </c>
      <c r="J40" s="26"/>
      <c r="L40" s="19"/>
      <c r="M40" s="20"/>
      <c r="N40" s="21"/>
    </row>
    <row r="41" spans="1:14" ht="48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3"/>
        <v>6.9639359999999995</v>
      </c>
      <c r="I41" s="13">
        <f t="shared" si="4"/>
        <v>1160.6559999999999</v>
      </c>
      <c r="J41" s="26"/>
      <c r="L41" s="19"/>
      <c r="M41" s="20"/>
      <c r="N41" s="21"/>
    </row>
    <row r="42" spans="1:14" ht="15.75" customHeight="1">
      <c r="A42" s="32">
        <v>12</v>
      </c>
      <c r="B42" s="74" t="s">
        <v>96</v>
      </c>
      <c r="C42" s="75" t="s">
        <v>95</v>
      </c>
      <c r="D42" s="152" t="s">
        <v>247</v>
      </c>
      <c r="E42" s="153">
        <v>123.36</v>
      </c>
      <c r="F42" s="154">
        <f>SUM(E42*15/1000)</f>
        <v>1.8504</v>
      </c>
      <c r="G42" s="153">
        <v>428.7</v>
      </c>
      <c r="H42" s="155">
        <f t="shared" ref="H42" si="5">SUM(F42*G42/1000)</f>
        <v>0.79326648</v>
      </c>
      <c r="I42" s="13">
        <f>F42/2*G42</f>
        <v>396.63324</v>
      </c>
      <c r="J42" s="26"/>
      <c r="L42" s="19"/>
      <c r="M42" s="20"/>
      <c r="N42" s="21"/>
    </row>
    <row r="43" spans="1:14" ht="15.75" customHeight="1">
      <c r="A43" s="32">
        <v>13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3"/>
        <v>0.71820000000000006</v>
      </c>
      <c r="I43" s="13">
        <f t="shared" si="4"/>
        <v>119.69999999999999</v>
      </c>
      <c r="J43" s="26"/>
      <c r="L43" s="19"/>
      <c r="M43" s="20"/>
      <c r="N43" s="21"/>
    </row>
    <row r="44" spans="1:14" ht="15.75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hidden="1" customHeight="1">
      <c r="A45" s="32"/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4" si="6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6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6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6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6"/>
        <v>2.44182897</v>
      </c>
      <c r="I49" s="13">
        <v>0</v>
      </c>
      <c r="J49" s="26"/>
      <c r="L49" s="19"/>
      <c r="M49" s="20"/>
      <c r="N49" s="21"/>
    </row>
    <row r="50" spans="1:22" ht="15.75" hidden="1" customHeight="1">
      <c r="A50" s="32">
        <v>14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6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customHeight="1">
      <c r="A51" s="32">
        <v>14</v>
      </c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6"/>
        <v>4.65129444</v>
      </c>
      <c r="I51" s="13">
        <f>F51/2*G51</f>
        <v>2325.6472199999998</v>
      </c>
      <c r="J51" s="26"/>
      <c r="L51" s="19"/>
      <c r="M51" s="20"/>
      <c r="N51" s="21"/>
    </row>
    <row r="52" spans="1:22" ht="31.5" customHeight="1">
      <c r="A52" s="32">
        <v>15</v>
      </c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6"/>
        <v>1.0921959999999999</v>
      </c>
      <c r="I52" s="13">
        <f>F52/2*G52</f>
        <v>546.09799999999996</v>
      </c>
      <c r="J52" s="26"/>
      <c r="L52" s="19"/>
      <c r="M52" s="20"/>
      <c r="N52" s="21"/>
    </row>
    <row r="53" spans="1:22" ht="15.75" hidden="1" customHeight="1">
      <c r="A53" s="32"/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6"/>
        <v>0.11304260000000001</v>
      </c>
      <c r="I53" s="13">
        <v>0</v>
      </c>
      <c r="J53" s="26"/>
      <c r="L53" s="19"/>
      <c r="M53" s="20"/>
      <c r="N53" s="21"/>
    </row>
    <row r="54" spans="1:22" ht="15.75" customHeight="1">
      <c r="A54" s="32">
        <v>16</v>
      </c>
      <c r="B54" s="74" t="s">
        <v>42</v>
      </c>
      <c r="C54" s="75" t="s">
        <v>114</v>
      </c>
      <c r="D54" s="74" t="s">
        <v>73</v>
      </c>
      <c r="E54" s="76">
        <v>120</v>
      </c>
      <c r="F54" s="77">
        <f>SUM(E54)*3</f>
        <v>360</v>
      </c>
      <c r="G54" s="13">
        <v>65.67</v>
      </c>
      <c r="H54" s="78">
        <f t="shared" si="6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135" t="s">
        <v>145</v>
      </c>
      <c r="B55" s="136"/>
      <c r="C55" s="136"/>
      <c r="D55" s="136"/>
      <c r="E55" s="136"/>
      <c r="F55" s="136"/>
      <c r="G55" s="136"/>
      <c r="H55" s="136"/>
      <c r="I55" s="137"/>
      <c r="J55" s="26"/>
      <c r="L55" s="19"/>
      <c r="M55" s="20"/>
      <c r="N55" s="21"/>
    </row>
    <row r="56" spans="1:22" ht="15.75" customHeight="1">
      <c r="A56" s="32"/>
      <c r="B56" s="100" t="s">
        <v>44</v>
      </c>
      <c r="C56" s="75"/>
      <c r="D56" s="74"/>
      <c r="E56" s="76"/>
      <c r="F56" s="77"/>
      <c r="G56" s="77"/>
      <c r="H56" s="78"/>
      <c r="I56" s="13"/>
      <c r="J56" s="26"/>
      <c r="L56" s="19"/>
      <c r="M56" s="20"/>
      <c r="N56" s="21"/>
    </row>
    <row r="57" spans="1:22" ht="31.5" customHeight="1">
      <c r="A57" s="32">
        <v>17</v>
      </c>
      <c r="B57" s="74" t="s">
        <v>129</v>
      </c>
      <c r="C57" s="75" t="s">
        <v>93</v>
      </c>
      <c r="D57" s="74" t="s">
        <v>115</v>
      </c>
      <c r="E57" s="76">
        <v>131.77500000000001</v>
      </c>
      <c r="F57" s="77">
        <f>SUM(E57*6/100)</f>
        <v>7.9065000000000012</v>
      </c>
      <c r="G57" s="13">
        <v>1547.28</v>
      </c>
      <c r="H57" s="78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101" t="s">
        <v>45</v>
      </c>
      <c r="C58" s="83"/>
      <c r="D58" s="84"/>
      <c r="E58" s="85"/>
      <c r="F58" s="87"/>
      <c r="G58" s="13"/>
      <c r="H58" s="88"/>
      <c r="I58" s="13"/>
      <c r="J58" s="26"/>
      <c r="L58" s="19"/>
      <c r="M58" s="20"/>
      <c r="N58" s="21"/>
    </row>
    <row r="59" spans="1:22" ht="15.75" hidden="1" customHeight="1">
      <c r="A59" s="32"/>
      <c r="B59" s="84" t="s">
        <v>138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84" t="s">
        <v>139</v>
      </c>
      <c r="C60" s="83" t="s">
        <v>54</v>
      </c>
      <c r="D60" s="84" t="s">
        <v>55</v>
      </c>
      <c r="E60" s="85">
        <v>890</v>
      </c>
      <c r="F60" s="87">
        <v>8.9</v>
      </c>
      <c r="G60" s="13">
        <v>793.61</v>
      </c>
      <c r="H60" s="88">
        <f>F60*G60/1000</f>
        <v>7.0631290000000009</v>
      </c>
      <c r="I60" s="13">
        <v>0</v>
      </c>
    </row>
    <row r="61" spans="1:22" ht="15.75" customHeight="1">
      <c r="A61" s="32">
        <v>18</v>
      </c>
      <c r="B61" s="84" t="s">
        <v>127</v>
      </c>
      <c r="C61" s="83" t="s">
        <v>25</v>
      </c>
      <c r="D61" s="84" t="s">
        <v>30</v>
      </c>
      <c r="E61" s="85">
        <v>158.19999999999999</v>
      </c>
      <c r="F61" s="87">
        <f>E61*12</f>
        <v>1898.3999999999999</v>
      </c>
      <c r="G61" s="94">
        <v>2.6</v>
      </c>
      <c r="H61" s="88">
        <f>F61*G61/1000</f>
        <v>4.9358399999999998</v>
      </c>
      <c r="I61" s="13">
        <f>F61/12*G61</f>
        <v>411.32</v>
      </c>
    </row>
    <row r="62" spans="1:22" ht="15.75" hidden="1" customHeight="1">
      <c r="A62" s="32"/>
      <c r="B62" s="101" t="s">
        <v>46</v>
      </c>
      <c r="C62" s="83"/>
      <c r="D62" s="84"/>
      <c r="E62" s="85"/>
      <c r="F62" s="86"/>
      <c r="G62" s="86"/>
      <c r="H62" s="87" t="s">
        <v>130</v>
      </c>
      <c r="I62" s="13"/>
    </row>
    <row r="63" spans="1:22" ht="15.75" hidden="1" customHeight="1">
      <c r="A63" s="32">
        <v>19</v>
      </c>
      <c r="B63" s="14" t="s">
        <v>47</v>
      </c>
      <c r="C63" s="16" t="s">
        <v>114</v>
      </c>
      <c r="D63" s="14" t="s">
        <v>69</v>
      </c>
      <c r="E63" s="18">
        <v>15</v>
      </c>
      <c r="F63" s="77">
        <v>15</v>
      </c>
      <c r="G63" s="13">
        <v>222.4</v>
      </c>
      <c r="H63" s="89">
        <f t="shared" ref="H63:H76" si="7">SUM(F63*G63/1000)</f>
        <v>3.3359999999999999</v>
      </c>
      <c r="I63" s="13">
        <f>G63</f>
        <v>222.4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114</v>
      </c>
      <c r="D64" s="14" t="s">
        <v>151</v>
      </c>
      <c r="E64" s="18">
        <v>8</v>
      </c>
      <c r="F64" s="77">
        <v>8</v>
      </c>
      <c r="G64" s="13">
        <v>76.25</v>
      </c>
      <c r="H64" s="89">
        <f t="shared" si="7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116</v>
      </c>
      <c r="D65" s="14" t="s">
        <v>55</v>
      </c>
      <c r="E65" s="76">
        <v>14220</v>
      </c>
      <c r="F65" s="13">
        <f>SUM(E65/100)</f>
        <v>142.19999999999999</v>
      </c>
      <c r="G65" s="13">
        <v>212.15</v>
      </c>
      <c r="H65" s="89">
        <f t="shared" si="7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117</v>
      </c>
      <c r="D66" s="14"/>
      <c r="E66" s="76">
        <v>14220</v>
      </c>
      <c r="F66" s="13">
        <f>SUM(E66/1000)</f>
        <v>14.22</v>
      </c>
      <c r="G66" s="13">
        <v>165.21</v>
      </c>
      <c r="H66" s="89">
        <f t="shared" si="7"/>
        <v>2.3492861999999999</v>
      </c>
      <c r="I66" s="13">
        <f t="shared" ref="I66:I70" si="8">F66*G66</f>
        <v>2349.2862</v>
      </c>
      <c r="J66" s="5"/>
      <c r="K66" s="5"/>
      <c r="L66" s="5"/>
      <c r="M66" s="5"/>
      <c r="N66" s="5"/>
      <c r="O66" s="5"/>
      <c r="P66" s="5"/>
      <c r="Q66" s="5"/>
      <c r="R66" s="138"/>
      <c r="S66" s="138"/>
      <c r="T66" s="138"/>
      <c r="U66" s="138"/>
    </row>
    <row r="67" spans="1:21" ht="15.75" hidden="1" customHeight="1">
      <c r="A67" s="32"/>
      <c r="B67" s="14" t="s">
        <v>51</v>
      </c>
      <c r="C67" s="16" t="s">
        <v>79</v>
      </c>
      <c r="D67" s="14" t="s">
        <v>55</v>
      </c>
      <c r="E67" s="76">
        <v>2260</v>
      </c>
      <c r="F67" s="13">
        <f>SUM(E67/100)</f>
        <v>22.6</v>
      </c>
      <c r="G67" s="13">
        <v>2074.63</v>
      </c>
      <c r="H67" s="89">
        <f t="shared" si="7"/>
        <v>46.886638000000005</v>
      </c>
      <c r="I67" s="13">
        <f t="shared" si="8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90" t="s">
        <v>118</v>
      </c>
      <c r="C68" s="16" t="s">
        <v>33</v>
      </c>
      <c r="D68" s="14"/>
      <c r="E68" s="76">
        <v>11</v>
      </c>
      <c r="F68" s="13">
        <f>SUM(E68)</f>
        <v>11</v>
      </c>
      <c r="G68" s="13">
        <v>45.32</v>
      </c>
      <c r="H68" s="89">
        <f t="shared" si="7"/>
        <v>0.49851999999999996</v>
      </c>
      <c r="I68" s="13">
        <f t="shared" si="8"/>
        <v>498.52</v>
      </c>
    </row>
    <row r="69" spans="1:21" ht="15.75" hidden="1" customHeight="1">
      <c r="A69" s="32"/>
      <c r="B69" s="90" t="s">
        <v>119</v>
      </c>
      <c r="C69" s="16" t="s">
        <v>33</v>
      </c>
      <c r="D69" s="14"/>
      <c r="E69" s="76">
        <v>11</v>
      </c>
      <c r="F69" s="13">
        <f>SUM(E69)</f>
        <v>11</v>
      </c>
      <c r="G69" s="13">
        <v>42.28</v>
      </c>
      <c r="H69" s="89">
        <f t="shared" si="7"/>
        <v>0.46508000000000005</v>
      </c>
      <c r="I69" s="13">
        <f t="shared" si="8"/>
        <v>465.08000000000004</v>
      </c>
    </row>
    <row r="70" spans="1:21" ht="15.75" hidden="1" customHeight="1">
      <c r="A70" s="32"/>
      <c r="B70" s="14" t="s">
        <v>59</v>
      </c>
      <c r="C70" s="16" t="s">
        <v>60</v>
      </c>
      <c r="D70" s="14" t="s">
        <v>55</v>
      </c>
      <c r="E70" s="18">
        <v>8</v>
      </c>
      <c r="F70" s="77">
        <v>8</v>
      </c>
      <c r="G70" s="13">
        <v>49.88</v>
      </c>
      <c r="H70" s="89">
        <f t="shared" si="7"/>
        <v>0.39904000000000001</v>
      </c>
      <c r="I70" s="13">
        <f t="shared" si="8"/>
        <v>399.04</v>
      </c>
    </row>
    <row r="71" spans="1:21" ht="15.75" hidden="1" customHeight="1">
      <c r="A71" s="32"/>
      <c r="B71" s="62" t="s">
        <v>74</v>
      </c>
      <c r="C71" s="16"/>
      <c r="D71" s="14"/>
      <c r="E71" s="18"/>
      <c r="F71" s="13"/>
      <c r="G71" s="13"/>
      <c r="H71" s="89" t="s">
        <v>130</v>
      </c>
      <c r="I71" s="13"/>
    </row>
    <row r="72" spans="1:21" ht="15.75" hidden="1" customHeight="1">
      <c r="A72" s="32"/>
      <c r="B72" s="14" t="s">
        <v>75</v>
      </c>
      <c r="C72" s="16" t="s">
        <v>77</v>
      </c>
      <c r="D72" s="14"/>
      <c r="E72" s="18">
        <v>2</v>
      </c>
      <c r="F72" s="13">
        <v>0.2</v>
      </c>
      <c r="G72" s="13">
        <v>501.62</v>
      </c>
      <c r="H72" s="89">
        <f t="shared" si="7"/>
        <v>0.10032400000000001</v>
      </c>
      <c r="I72" s="13">
        <v>0</v>
      </c>
    </row>
    <row r="73" spans="1:21" ht="15.75" hidden="1" customHeight="1">
      <c r="A73" s="32"/>
      <c r="B73" s="14" t="s">
        <v>76</v>
      </c>
      <c r="C73" s="16" t="s">
        <v>31</v>
      </c>
      <c r="D73" s="14"/>
      <c r="E73" s="18">
        <v>1</v>
      </c>
      <c r="F73" s="66">
        <v>1</v>
      </c>
      <c r="G73" s="13">
        <v>852.99</v>
      </c>
      <c r="H73" s="89">
        <f>F73*G73/1000</f>
        <v>0.85299000000000003</v>
      </c>
      <c r="I73" s="13">
        <v>0</v>
      </c>
    </row>
    <row r="74" spans="1:21" ht="15.75" hidden="1" customHeight="1">
      <c r="A74" s="32"/>
      <c r="B74" s="14" t="s">
        <v>121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9">
        <f>G74*F74/1000</f>
        <v>0.35851</v>
      </c>
      <c r="I74" s="13">
        <v>0</v>
      </c>
    </row>
    <row r="75" spans="1:21" ht="15.75" hidden="1" customHeight="1">
      <c r="A75" s="32"/>
      <c r="B75" s="92" t="s">
        <v>78</v>
      </c>
      <c r="C75" s="16"/>
      <c r="D75" s="14"/>
      <c r="E75" s="18"/>
      <c r="F75" s="13"/>
      <c r="G75" s="13" t="s">
        <v>130</v>
      </c>
      <c r="H75" s="89" t="s">
        <v>130</v>
      </c>
      <c r="I75" s="13"/>
    </row>
    <row r="76" spans="1:21" ht="15.75" hidden="1" customHeight="1">
      <c r="A76" s="32"/>
      <c r="B76" s="46" t="s">
        <v>128</v>
      </c>
      <c r="C76" s="16" t="s">
        <v>79</v>
      </c>
      <c r="D76" s="14"/>
      <c r="E76" s="18"/>
      <c r="F76" s="13">
        <v>0.1</v>
      </c>
      <c r="G76" s="13">
        <v>2759.44</v>
      </c>
      <c r="H76" s="89">
        <f t="shared" si="7"/>
        <v>0.27594400000000002</v>
      </c>
      <c r="I76" s="13">
        <v>0</v>
      </c>
    </row>
    <row r="77" spans="1:21" ht="15.75" hidden="1" customHeight="1">
      <c r="A77" s="32"/>
      <c r="B77" s="104" t="s">
        <v>99</v>
      </c>
      <c r="C77" s="104"/>
      <c r="D77" s="104"/>
      <c r="E77" s="104"/>
      <c r="F77" s="104"/>
      <c r="G77" s="80"/>
      <c r="H77" s="93">
        <f>SUM(H57:H76)</f>
        <v>117.59572952000001</v>
      </c>
      <c r="I77" s="80"/>
    </row>
    <row r="78" spans="1:21" ht="15.75" hidden="1" customHeight="1">
      <c r="A78" s="32"/>
      <c r="B78" s="102" t="s">
        <v>120</v>
      </c>
      <c r="C78" s="23"/>
      <c r="D78" s="22"/>
      <c r="E78" s="67"/>
      <c r="F78" s="103">
        <v>1</v>
      </c>
      <c r="G78" s="13">
        <v>10966.5</v>
      </c>
      <c r="H78" s="89">
        <f>G78*F78/1000</f>
        <v>10.9665</v>
      </c>
      <c r="I78" s="13">
        <v>0</v>
      </c>
    </row>
    <row r="79" spans="1:21" ht="15.75" customHeight="1">
      <c r="A79" s="139" t="s">
        <v>146</v>
      </c>
      <c r="B79" s="140"/>
      <c r="C79" s="140"/>
      <c r="D79" s="140"/>
      <c r="E79" s="140"/>
      <c r="F79" s="140"/>
      <c r="G79" s="140"/>
      <c r="H79" s="140"/>
      <c r="I79" s="141"/>
    </row>
    <row r="80" spans="1:21" ht="15.75" customHeight="1">
      <c r="A80" s="32">
        <v>19</v>
      </c>
      <c r="B80" s="74" t="s">
        <v>122</v>
      </c>
      <c r="C80" s="16" t="s">
        <v>56</v>
      </c>
      <c r="D80" s="65" t="s">
        <v>57</v>
      </c>
      <c r="E80" s="13">
        <v>3382.7</v>
      </c>
      <c r="F80" s="13">
        <f>SUM(E80*12)</f>
        <v>40592.399999999994</v>
      </c>
      <c r="G80" s="13">
        <v>2.1</v>
      </c>
      <c r="H80" s="89">
        <f>SUM(F80*G80/1000)</f>
        <v>85.244039999999998</v>
      </c>
      <c r="I80" s="13">
        <f>F80/12*G80</f>
        <v>7103.6699999999992</v>
      </c>
    </row>
    <row r="81" spans="1:9" ht="31.5" customHeight="1">
      <c r="A81" s="32">
        <v>20</v>
      </c>
      <c r="B81" s="14" t="s">
        <v>80</v>
      </c>
      <c r="C81" s="16"/>
      <c r="D81" s="65" t="s">
        <v>57</v>
      </c>
      <c r="E81" s="76">
        <f>E80</f>
        <v>3382.7</v>
      </c>
      <c r="F81" s="13">
        <f>E81*12</f>
        <v>40592.399999999994</v>
      </c>
      <c r="G81" s="13">
        <v>1.63</v>
      </c>
      <c r="H81" s="89">
        <f>F81*G81/1000</f>
        <v>66.165611999999982</v>
      </c>
      <c r="I81" s="13">
        <f>F81/12*G81</f>
        <v>5513.8009999999986</v>
      </c>
    </row>
    <row r="82" spans="1:9" ht="15.75" customHeight="1">
      <c r="A82" s="32"/>
      <c r="B82" s="39" t="s">
        <v>83</v>
      </c>
      <c r="C82" s="92"/>
      <c r="D82" s="91"/>
      <c r="E82" s="80"/>
      <c r="F82" s="80"/>
      <c r="G82" s="80"/>
      <c r="H82" s="93">
        <f>H81</f>
        <v>66.165611999999982</v>
      </c>
      <c r="I82" s="80">
        <f>I16+I17+I18+I20+I21+I26+I27+I38+I39+I40+I41+I42+I43+I51+I52+I54+I57+I61+I80+I81</f>
        <v>58505.694919333328</v>
      </c>
    </row>
    <row r="83" spans="1:9" ht="15.75" customHeight="1">
      <c r="A83" s="126" t="s">
        <v>62</v>
      </c>
      <c r="B83" s="127"/>
      <c r="C83" s="127"/>
      <c r="D83" s="127"/>
      <c r="E83" s="127"/>
      <c r="F83" s="127"/>
      <c r="G83" s="127"/>
      <c r="H83" s="127"/>
      <c r="I83" s="128"/>
    </row>
    <row r="84" spans="1:9" ht="15.75" customHeight="1">
      <c r="A84" s="32">
        <v>21</v>
      </c>
      <c r="B84" s="51" t="s">
        <v>133</v>
      </c>
      <c r="C84" s="73" t="s">
        <v>114</v>
      </c>
      <c r="D84" s="84"/>
      <c r="E84" s="85"/>
      <c r="F84" s="86">
        <v>732</v>
      </c>
      <c r="G84" s="95">
        <v>53.42</v>
      </c>
      <c r="H84" s="87">
        <f>SUM(F84*G84/1000)</f>
        <v>39.103439999999999</v>
      </c>
      <c r="I84" s="95">
        <f>G84*61</f>
        <v>3258.62</v>
      </c>
    </row>
    <row r="85" spans="1:9" ht="31.5" customHeight="1">
      <c r="A85" s="32">
        <v>22</v>
      </c>
      <c r="B85" s="51" t="s">
        <v>82</v>
      </c>
      <c r="C85" s="54" t="s">
        <v>31</v>
      </c>
      <c r="D85" s="109"/>
      <c r="E85" s="17"/>
      <c r="F85" s="110">
        <v>4</v>
      </c>
      <c r="G85" s="36">
        <v>83.36</v>
      </c>
      <c r="H85" s="108">
        <f t="shared" ref="H85:H88" si="9">SUM(F85*G85/1000)</f>
        <v>0.33344000000000001</v>
      </c>
      <c r="I85" s="95">
        <f>G85</f>
        <v>83.36</v>
      </c>
    </row>
    <row r="86" spans="1:9" ht="15.75" customHeight="1">
      <c r="A86" s="32">
        <v>23</v>
      </c>
      <c r="B86" s="52" t="s">
        <v>202</v>
      </c>
      <c r="C86" s="120" t="s">
        <v>88</v>
      </c>
      <c r="D86" s="121"/>
      <c r="E86" s="113"/>
      <c r="F86" s="122">
        <v>1</v>
      </c>
      <c r="G86" s="57">
        <v>237.44</v>
      </c>
      <c r="H86" s="108">
        <f t="shared" si="9"/>
        <v>0.23743999999999998</v>
      </c>
      <c r="I86" s="95">
        <f>G86</f>
        <v>237.44</v>
      </c>
    </row>
    <row r="87" spans="1:9" ht="31.5" customHeight="1">
      <c r="A87" s="32">
        <v>24</v>
      </c>
      <c r="B87" s="52" t="s">
        <v>203</v>
      </c>
      <c r="C87" s="120" t="s">
        <v>114</v>
      </c>
      <c r="D87" s="121"/>
      <c r="E87" s="113"/>
      <c r="F87" s="122">
        <v>1</v>
      </c>
      <c r="G87" s="57">
        <v>2297.02</v>
      </c>
      <c r="H87" s="108">
        <f t="shared" si="9"/>
        <v>2.2970199999999998</v>
      </c>
      <c r="I87" s="95">
        <f t="shared" ref="I87" si="10">G87</f>
        <v>2297.02</v>
      </c>
    </row>
    <row r="88" spans="1:9" ht="15.75" customHeight="1">
      <c r="A88" s="32">
        <v>25</v>
      </c>
      <c r="B88" s="51" t="s">
        <v>204</v>
      </c>
      <c r="C88" s="54" t="s">
        <v>152</v>
      </c>
      <c r="D88" s="123"/>
      <c r="E88" s="36"/>
      <c r="F88" s="36">
        <v>0.03</v>
      </c>
      <c r="G88" s="36">
        <v>7412.92</v>
      </c>
      <c r="H88" s="108">
        <f t="shared" si="9"/>
        <v>0.22238759999999999</v>
      </c>
      <c r="I88" s="95">
        <f>G88*0.02</f>
        <v>148.25839999999999</v>
      </c>
    </row>
    <row r="89" spans="1:9" ht="15.75" customHeight="1">
      <c r="A89" s="32"/>
      <c r="B89" s="44" t="s">
        <v>52</v>
      </c>
      <c r="C89" s="40"/>
      <c r="D89" s="47"/>
      <c r="E89" s="40">
        <v>1</v>
      </c>
      <c r="F89" s="40"/>
      <c r="G89" s="40"/>
      <c r="H89" s="40"/>
      <c r="I89" s="34">
        <f>SUM(I84:I88)</f>
        <v>6024.6984000000002</v>
      </c>
    </row>
    <row r="90" spans="1:9" ht="15.75" customHeight="1">
      <c r="A90" s="32"/>
      <c r="B90" s="46" t="s">
        <v>81</v>
      </c>
      <c r="C90" s="15"/>
      <c r="D90" s="15"/>
      <c r="E90" s="41"/>
      <c r="F90" s="41"/>
      <c r="G90" s="42"/>
      <c r="H90" s="42"/>
      <c r="I90" s="17">
        <v>0</v>
      </c>
    </row>
    <row r="91" spans="1:9" ht="15.75" customHeight="1">
      <c r="A91" s="48"/>
      <c r="B91" s="45" t="s">
        <v>195</v>
      </c>
      <c r="C91" s="35"/>
      <c r="D91" s="35"/>
      <c r="E91" s="35"/>
      <c r="F91" s="35"/>
      <c r="G91" s="35"/>
      <c r="H91" s="35"/>
      <c r="I91" s="43">
        <f>I82+I89</f>
        <v>64530.393319333329</v>
      </c>
    </row>
    <row r="92" spans="1:9" ht="15.75" customHeight="1">
      <c r="A92" s="142" t="s">
        <v>205</v>
      </c>
      <c r="B92" s="142"/>
      <c r="C92" s="142"/>
      <c r="D92" s="142"/>
      <c r="E92" s="142"/>
      <c r="F92" s="142"/>
      <c r="G92" s="142"/>
      <c r="H92" s="142"/>
      <c r="I92" s="142"/>
    </row>
    <row r="93" spans="1:9" ht="15.75" customHeight="1">
      <c r="A93" s="64"/>
      <c r="B93" s="143" t="s">
        <v>206</v>
      </c>
      <c r="C93" s="143"/>
      <c r="D93" s="143"/>
      <c r="E93" s="143"/>
      <c r="F93" s="143"/>
      <c r="G93" s="143"/>
      <c r="H93" s="70"/>
      <c r="I93" s="3"/>
    </row>
    <row r="94" spans="1:9">
      <c r="A94" s="49"/>
      <c r="B94" s="144" t="s">
        <v>6</v>
      </c>
      <c r="C94" s="144"/>
      <c r="D94" s="144"/>
      <c r="E94" s="144"/>
      <c r="F94" s="144"/>
      <c r="G94" s="144"/>
      <c r="H94" s="27"/>
      <c r="I94" s="50"/>
    </row>
    <row r="95" spans="1:9" ht="15.75" customHeight="1">
      <c r="A95" s="56"/>
      <c r="B95" s="56"/>
      <c r="C95" s="56"/>
      <c r="D95" s="56"/>
      <c r="E95" s="56"/>
      <c r="F95" s="56"/>
      <c r="G95" s="56"/>
      <c r="H95" s="56"/>
      <c r="I95" s="56"/>
    </row>
    <row r="96" spans="1:9" ht="15.75" customHeight="1">
      <c r="A96" s="145" t="s">
        <v>7</v>
      </c>
      <c r="B96" s="145"/>
      <c r="C96" s="145"/>
      <c r="D96" s="145"/>
      <c r="E96" s="145"/>
      <c r="F96" s="145"/>
      <c r="G96" s="145"/>
      <c r="H96" s="145"/>
      <c r="I96" s="145"/>
    </row>
    <row r="97" spans="1:9" ht="15.75" customHeight="1">
      <c r="A97" s="145" t="s">
        <v>8</v>
      </c>
      <c r="B97" s="145"/>
      <c r="C97" s="145"/>
      <c r="D97" s="145"/>
      <c r="E97" s="145"/>
      <c r="F97" s="145"/>
      <c r="G97" s="145"/>
      <c r="H97" s="145"/>
      <c r="I97" s="145"/>
    </row>
    <row r="98" spans="1:9" ht="15.75" customHeight="1">
      <c r="A98" s="146" t="s">
        <v>63</v>
      </c>
      <c r="B98" s="146"/>
      <c r="C98" s="146"/>
      <c r="D98" s="146"/>
      <c r="E98" s="146"/>
      <c r="F98" s="146"/>
      <c r="G98" s="146"/>
      <c r="H98" s="146"/>
      <c r="I98" s="146"/>
    </row>
    <row r="99" spans="1:9" ht="15.75" customHeight="1">
      <c r="A99" s="11"/>
    </row>
    <row r="100" spans="1:9" ht="15.75" customHeight="1">
      <c r="A100" s="147" t="s">
        <v>9</v>
      </c>
      <c r="B100" s="147"/>
      <c r="C100" s="147"/>
      <c r="D100" s="147"/>
      <c r="E100" s="147"/>
      <c r="F100" s="147"/>
      <c r="G100" s="147"/>
      <c r="H100" s="147"/>
      <c r="I100" s="147"/>
    </row>
    <row r="101" spans="1:9" ht="15.75" customHeight="1">
      <c r="A101" s="4"/>
    </row>
    <row r="102" spans="1:9" ht="15.75" customHeight="1">
      <c r="B102" s="61" t="s">
        <v>10</v>
      </c>
      <c r="C102" s="148" t="s">
        <v>147</v>
      </c>
      <c r="D102" s="148"/>
      <c r="E102" s="148"/>
      <c r="F102" s="68"/>
      <c r="I102" s="59"/>
    </row>
    <row r="103" spans="1:9" ht="15.75" customHeight="1">
      <c r="A103" s="60"/>
      <c r="C103" s="144" t="s">
        <v>11</v>
      </c>
      <c r="D103" s="144"/>
      <c r="E103" s="144"/>
      <c r="F103" s="27"/>
      <c r="I103" s="58" t="s">
        <v>12</v>
      </c>
    </row>
    <row r="104" spans="1:9" ht="15.75" customHeight="1">
      <c r="A104" s="28"/>
      <c r="C104" s="12"/>
      <c r="D104" s="12"/>
      <c r="G104" s="12"/>
      <c r="H104" s="12"/>
    </row>
    <row r="105" spans="1:9" ht="15.75">
      <c r="B105" s="61" t="s">
        <v>13</v>
      </c>
      <c r="C105" s="149"/>
      <c r="D105" s="149"/>
      <c r="E105" s="149"/>
      <c r="F105" s="69"/>
      <c r="I105" s="59"/>
    </row>
    <row r="106" spans="1:9">
      <c r="A106" s="60"/>
      <c r="C106" s="138" t="s">
        <v>11</v>
      </c>
      <c r="D106" s="138"/>
      <c r="E106" s="138"/>
      <c r="F106" s="60"/>
      <c r="I106" s="58" t="s">
        <v>12</v>
      </c>
    </row>
    <row r="107" spans="1:9" ht="15.75" customHeight="1">
      <c r="A107" s="4" t="s">
        <v>14</v>
      </c>
    </row>
    <row r="108" spans="1:9" ht="15.75" customHeight="1">
      <c r="A108" s="150" t="s">
        <v>15</v>
      </c>
      <c r="B108" s="150"/>
      <c r="C108" s="150"/>
      <c r="D108" s="150"/>
      <c r="E108" s="150"/>
      <c r="F108" s="150"/>
      <c r="G108" s="150"/>
      <c r="H108" s="150"/>
      <c r="I108" s="150"/>
    </row>
    <row r="109" spans="1:9" ht="45" customHeight="1">
      <c r="A109" s="151" t="s">
        <v>16</v>
      </c>
      <c r="B109" s="151"/>
      <c r="C109" s="151"/>
      <c r="D109" s="151"/>
      <c r="E109" s="151"/>
      <c r="F109" s="151"/>
      <c r="G109" s="151"/>
      <c r="H109" s="151"/>
      <c r="I109" s="151"/>
    </row>
    <row r="110" spans="1:9" ht="30" customHeight="1">
      <c r="A110" s="151" t="s">
        <v>17</v>
      </c>
      <c r="B110" s="151"/>
      <c r="C110" s="151"/>
      <c r="D110" s="151"/>
      <c r="E110" s="151"/>
      <c r="F110" s="151"/>
      <c r="G110" s="151"/>
      <c r="H110" s="151"/>
      <c r="I110" s="151"/>
    </row>
    <row r="111" spans="1:9" ht="30" customHeight="1">
      <c r="A111" s="151" t="s">
        <v>21</v>
      </c>
      <c r="B111" s="151"/>
      <c r="C111" s="151"/>
      <c r="D111" s="151"/>
      <c r="E111" s="151"/>
      <c r="F111" s="151"/>
      <c r="G111" s="151"/>
      <c r="H111" s="151"/>
      <c r="I111" s="151"/>
    </row>
    <row r="112" spans="1:9" ht="15" customHeight="1">
      <c r="A112" s="151" t="s">
        <v>20</v>
      </c>
      <c r="B112" s="151"/>
      <c r="C112" s="151"/>
      <c r="D112" s="151"/>
      <c r="E112" s="151"/>
      <c r="F112" s="151"/>
      <c r="G112" s="151"/>
      <c r="H112" s="151"/>
      <c r="I112" s="151"/>
    </row>
  </sheetData>
  <autoFilter ref="I12:I61"/>
  <mergeCells count="29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8:I28"/>
    <mergeCell ref="A44:I44"/>
    <mergeCell ref="A55:I55"/>
    <mergeCell ref="A83:I83"/>
    <mergeCell ref="A92:I92"/>
    <mergeCell ref="B93:G93"/>
    <mergeCell ref="B94:G94"/>
    <mergeCell ref="A96:I96"/>
    <mergeCell ref="A97:I97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180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211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3">
        <v>42886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customHeight="1">
      <c r="A19" s="32">
        <v>4</v>
      </c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f>F19/2*G19</f>
        <v>239.58527999999998</v>
      </c>
      <c r="J19" s="25"/>
      <c r="K19" s="8"/>
      <c r="L19" s="8"/>
      <c r="M19" s="8"/>
    </row>
    <row r="20" spans="1:13" ht="15.75" customHeight="1">
      <c r="A20" s="32">
        <v>5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6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customHeight="1">
      <c r="A22" s="32">
        <v>7</v>
      </c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f>F22*G22</f>
        <v>961.25819999999987</v>
      </c>
      <c r="J22" s="25"/>
      <c r="K22" s="8"/>
      <c r="L22" s="8"/>
      <c r="M22" s="8"/>
    </row>
    <row r="23" spans="1:13" ht="15.75" customHeight="1">
      <c r="A23" s="32">
        <v>8</v>
      </c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f t="shared" ref="I23:I25" si="1">F23*G23</f>
        <v>21.39207</v>
      </c>
      <c r="J23" s="25"/>
      <c r="K23" s="8"/>
      <c r="L23" s="8"/>
      <c r="M23" s="8"/>
    </row>
    <row r="24" spans="1:13" ht="15.75" customHeight="1">
      <c r="A24" s="32">
        <v>9</v>
      </c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f t="shared" si="1"/>
        <v>77.944000000000017</v>
      </c>
      <c r="J24" s="25"/>
      <c r="K24" s="8"/>
      <c r="L24" s="8"/>
      <c r="M24" s="8"/>
    </row>
    <row r="25" spans="1:13" ht="15.75" customHeight="1">
      <c r="A25" s="32">
        <v>10</v>
      </c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f t="shared" si="1"/>
        <v>44.268000000000001</v>
      </c>
      <c r="J25" s="25"/>
      <c r="K25" s="8"/>
      <c r="L25" s="8"/>
      <c r="M25" s="8"/>
    </row>
    <row r="26" spans="1:13" ht="15.75" customHeight="1">
      <c r="A26" s="32">
        <v>11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12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15.75" customHeight="1">
      <c r="A30" s="32">
        <v>13</v>
      </c>
      <c r="B30" s="74" t="s">
        <v>112</v>
      </c>
      <c r="C30" s="75" t="s">
        <v>95</v>
      </c>
      <c r="D30" s="74" t="s">
        <v>207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2">SUM(F30*G30/1000)</f>
        <v>5.4076993880000011</v>
      </c>
      <c r="I30" s="13">
        <f t="shared" ref="I30:I34" si="3">F30/6*G30</f>
        <v>901.28323133333345</v>
      </c>
      <c r="J30" s="25"/>
      <c r="K30" s="8"/>
      <c r="L30" s="8"/>
      <c r="M30" s="8"/>
    </row>
    <row r="31" spans="1:13" ht="31.5" customHeight="1">
      <c r="A31" s="32">
        <v>14</v>
      </c>
      <c r="B31" s="74" t="s">
        <v>126</v>
      </c>
      <c r="C31" s="75" t="s">
        <v>95</v>
      </c>
      <c r="D31" s="74" t="s">
        <v>208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2"/>
        <v>9.2288080872000009</v>
      </c>
      <c r="I31" s="13">
        <f t="shared" si="3"/>
        <v>1538.1346812000002</v>
      </c>
      <c r="J31" s="25"/>
      <c r="K31" s="8"/>
      <c r="L31" s="8"/>
      <c r="M31" s="8"/>
    </row>
    <row r="32" spans="1:13" ht="15.75" customHeight="1">
      <c r="A32" s="32">
        <v>15</v>
      </c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2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customHeight="1">
      <c r="A33" s="32">
        <v>16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3"/>
        <v>336.35516666666672</v>
      </c>
      <c r="J33" s="25"/>
      <c r="K33" s="8"/>
      <c r="L33" s="8"/>
      <c r="M33" s="8"/>
    </row>
    <row r="34" spans="1:14" ht="15.75" customHeight="1">
      <c r="A34" s="32">
        <v>17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3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2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2"/>
        <v>2.2726599999999997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hidden="1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4">SUM(F38*G38/1000)</f>
        <v>15.272200000000002</v>
      </c>
      <c r="I38" s="13">
        <f t="shared" ref="I38:I43" si="5">F38/6*G38</f>
        <v>2545.3666666666668</v>
      </c>
      <c r="J38" s="26"/>
    </row>
    <row r="39" spans="1:14" ht="15.75" hidden="1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4"/>
        <v>19.238955416</v>
      </c>
      <c r="I39" s="13">
        <f t="shared" si="5"/>
        <v>3206.492569333333</v>
      </c>
      <c r="J39" s="26"/>
      <c r="L39" s="19"/>
      <c r="M39" s="20"/>
      <c r="N39" s="21"/>
    </row>
    <row r="40" spans="1:14" ht="15.75" hidden="1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4"/>
        <v>5.8367605999999999</v>
      </c>
      <c r="I40" s="13">
        <f t="shared" si="5"/>
        <v>972.79343333333316</v>
      </c>
      <c r="J40" s="26"/>
      <c r="L40" s="19"/>
      <c r="M40" s="20"/>
      <c r="N40" s="21"/>
    </row>
    <row r="41" spans="1:14" ht="48" hidden="1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4"/>
        <v>6.9639359999999995</v>
      </c>
      <c r="I41" s="13">
        <f t="shared" si="5"/>
        <v>1160.6559999999999</v>
      </c>
      <c r="J41" s="26"/>
      <c r="L41" s="19"/>
      <c r="M41" s="20"/>
      <c r="N41" s="21"/>
    </row>
    <row r="42" spans="1:14" ht="15.75" hidden="1" customHeight="1">
      <c r="A42" s="32">
        <v>12</v>
      </c>
      <c r="B42" s="74" t="s">
        <v>96</v>
      </c>
      <c r="C42" s="75" t="s">
        <v>95</v>
      </c>
      <c r="D42" s="74" t="s">
        <v>71</v>
      </c>
      <c r="E42" s="77">
        <v>123.36</v>
      </c>
      <c r="F42" s="77">
        <f>SUM(E42*45/1000)</f>
        <v>5.5511999999999997</v>
      </c>
      <c r="G42" s="77">
        <v>428.7</v>
      </c>
      <c r="H42" s="78">
        <f t="shared" si="4"/>
        <v>2.3797994399999998</v>
      </c>
      <c r="I42" s="13">
        <f t="shared" si="5"/>
        <v>396.63323999999994</v>
      </c>
      <c r="J42" s="26"/>
      <c r="L42" s="19"/>
      <c r="M42" s="20"/>
      <c r="N42" s="21"/>
    </row>
    <row r="43" spans="1:14" ht="15.75" hidden="1" customHeight="1">
      <c r="A43" s="32">
        <v>13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4"/>
        <v>0.71820000000000006</v>
      </c>
      <c r="I43" s="13">
        <f t="shared" si="5"/>
        <v>119.69999999999999</v>
      </c>
      <c r="J43" s="26"/>
      <c r="L43" s="19"/>
      <c r="M43" s="20"/>
      <c r="N43" s="21"/>
    </row>
    <row r="44" spans="1:14" ht="15.75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customHeight="1">
      <c r="A45" s="32">
        <v>18</v>
      </c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4" si="6">SUM(F45*G45/1000)</f>
        <v>1.9397321700000003</v>
      </c>
      <c r="I45" s="13">
        <f>F45/2*G45</f>
        <v>969.86608500000011</v>
      </c>
      <c r="J45" s="26"/>
      <c r="L45" s="19"/>
      <c r="M45" s="20"/>
      <c r="N45" s="21"/>
    </row>
    <row r="46" spans="1:14" ht="15.75" customHeight="1">
      <c r="A46" s="32">
        <v>19</v>
      </c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6"/>
        <v>4.7569599999999997E-2</v>
      </c>
      <c r="I46" s="13">
        <f t="shared" ref="I46:I49" si="7">F46/2*G46</f>
        <v>23.784799999999997</v>
      </c>
      <c r="J46" s="26"/>
      <c r="L46" s="19"/>
      <c r="M46" s="20"/>
      <c r="N46" s="21"/>
    </row>
    <row r="47" spans="1:14" ht="15.75" customHeight="1">
      <c r="A47" s="32">
        <v>20</v>
      </c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6"/>
        <v>1.224557136</v>
      </c>
      <c r="I47" s="13">
        <f t="shared" si="7"/>
        <v>612.27856800000006</v>
      </c>
      <c r="J47" s="26"/>
      <c r="L47" s="19"/>
      <c r="M47" s="20"/>
      <c r="N47" s="21"/>
    </row>
    <row r="48" spans="1:14" ht="15.75" customHeight="1">
      <c r="A48" s="32">
        <v>21</v>
      </c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6"/>
        <v>3.1333602799999998</v>
      </c>
      <c r="I48" s="13">
        <f t="shared" si="7"/>
        <v>1566.6801399999999</v>
      </c>
      <c r="J48" s="26"/>
      <c r="L48" s="19"/>
      <c r="M48" s="20"/>
      <c r="N48" s="21"/>
    </row>
    <row r="49" spans="1:22" ht="15.75" customHeight="1">
      <c r="A49" s="32">
        <v>22</v>
      </c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6"/>
        <v>2.44182897</v>
      </c>
      <c r="I49" s="13">
        <f t="shared" si="7"/>
        <v>1220.914485</v>
      </c>
      <c r="J49" s="26"/>
      <c r="L49" s="19"/>
      <c r="M49" s="20"/>
      <c r="N49" s="21"/>
    </row>
    <row r="50" spans="1:22" ht="15.75" customHeight="1">
      <c r="A50" s="32">
        <v>23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6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hidden="1" customHeight="1">
      <c r="A51" s="32"/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6"/>
        <v>4.65129444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6"/>
        <v>1.0921959999999999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6"/>
        <v>0.11304260000000001</v>
      </c>
      <c r="I53" s="13">
        <v>0</v>
      </c>
      <c r="J53" s="26"/>
      <c r="L53" s="19"/>
      <c r="M53" s="20"/>
      <c r="N53" s="21"/>
    </row>
    <row r="54" spans="1:22" ht="15.75" hidden="1" customHeight="1">
      <c r="A54" s="32">
        <v>15</v>
      </c>
      <c r="B54" s="74" t="s">
        <v>42</v>
      </c>
      <c r="C54" s="75" t="s">
        <v>114</v>
      </c>
      <c r="D54" s="74" t="s">
        <v>73</v>
      </c>
      <c r="E54" s="76">
        <v>120</v>
      </c>
      <c r="F54" s="77">
        <f>SUM(E54)*3</f>
        <v>360</v>
      </c>
      <c r="G54" s="13">
        <v>65.67</v>
      </c>
      <c r="H54" s="78">
        <f t="shared" si="6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135" t="s">
        <v>145</v>
      </c>
      <c r="B55" s="136"/>
      <c r="C55" s="136"/>
      <c r="D55" s="136"/>
      <c r="E55" s="136"/>
      <c r="F55" s="136"/>
      <c r="G55" s="136"/>
      <c r="H55" s="136"/>
      <c r="I55" s="137"/>
      <c r="J55" s="26"/>
      <c r="L55" s="19"/>
      <c r="M55" s="20"/>
      <c r="N55" s="21"/>
    </row>
    <row r="56" spans="1:22" ht="15.75" hidden="1" customHeight="1">
      <c r="A56" s="32"/>
      <c r="B56" s="100" t="s">
        <v>44</v>
      </c>
      <c r="C56" s="75"/>
      <c r="D56" s="74"/>
      <c r="E56" s="76"/>
      <c r="F56" s="77"/>
      <c r="G56" s="77"/>
      <c r="H56" s="78"/>
      <c r="I56" s="13"/>
      <c r="J56" s="26"/>
      <c r="L56" s="19"/>
      <c r="M56" s="20"/>
      <c r="N56" s="21"/>
    </row>
    <row r="57" spans="1:22" ht="31.5" hidden="1" customHeight="1">
      <c r="A57" s="32">
        <v>16</v>
      </c>
      <c r="B57" s="74" t="s">
        <v>129</v>
      </c>
      <c r="C57" s="75" t="s">
        <v>93</v>
      </c>
      <c r="D57" s="74" t="s">
        <v>115</v>
      </c>
      <c r="E57" s="76">
        <v>131.77500000000001</v>
      </c>
      <c r="F57" s="77">
        <f>SUM(E57*6/100)</f>
        <v>7.9065000000000012</v>
      </c>
      <c r="G57" s="13">
        <v>1547.28</v>
      </c>
      <c r="H57" s="78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101" t="s">
        <v>45</v>
      </c>
      <c r="C58" s="83"/>
      <c r="D58" s="84"/>
      <c r="E58" s="85"/>
      <c r="F58" s="87"/>
      <c r="G58" s="13"/>
      <c r="H58" s="88"/>
      <c r="I58" s="13"/>
      <c r="J58" s="26"/>
      <c r="L58" s="19"/>
      <c r="M58" s="20"/>
      <c r="N58" s="21"/>
    </row>
    <row r="59" spans="1:22" ht="15.75" hidden="1" customHeight="1">
      <c r="A59" s="32"/>
      <c r="B59" s="84" t="s">
        <v>138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84" t="s">
        <v>139</v>
      </c>
      <c r="C60" s="83" t="s">
        <v>54</v>
      </c>
      <c r="D60" s="84" t="s">
        <v>55</v>
      </c>
      <c r="E60" s="85">
        <v>890</v>
      </c>
      <c r="F60" s="87">
        <v>8.9</v>
      </c>
      <c r="G60" s="13">
        <v>793.61</v>
      </c>
      <c r="H60" s="88">
        <f>F60*G60/1000</f>
        <v>7.0631290000000009</v>
      </c>
      <c r="I60" s="13">
        <v>0</v>
      </c>
    </row>
    <row r="61" spans="1:22" ht="15.75" customHeight="1">
      <c r="A61" s="32">
        <v>24</v>
      </c>
      <c r="B61" s="84" t="s">
        <v>127</v>
      </c>
      <c r="C61" s="83" t="s">
        <v>25</v>
      </c>
      <c r="D61" s="84" t="s">
        <v>30</v>
      </c>
      <c r="E61" s="85">
        <v>158.19999999999999</v>
      </c>
      <c r="F61" s="87">
        <f>E61*12</f>
        <v>1898.3999999999999</v>
      </c>
      <c r="G61" s="94">
        <v>2.6</v>
      </c>
      <c r="H61" s="88">
        <f>F61*G61/1000</f>
        <v>4.9358399999999998</v>
      </c>
      <c r="I61" s="13">
        <f>F61/12*G61</f>
        <v>411.32</v>
      </c>
    </row>
    <row r="62" spans="1:22" ht="15.75" customHeight="1">
      <c r="A62" s="32"/>
      <c r="B62" s="101" t="s">
        <v>46</v>
      </c>
      <c r="C62" s="83"/>
      <c r="D62" s="84"/>
      <c r="E62" s="85"/>
      <c r="F62" s="86"/>
      <c r="G62" s="86"/>
      <c r="H62" s="87" t="s">
        <v>130</v>
      </c>
      <c r="I62" s="13"/>
    </row>
    <row r="63" spans="1:22" ht="15.75" customHeight="1">
      <c r="A63" s="32">
        <v>25</v>
      </c>
      <c r="B63" s="14" t="s">
        <v>47</v>
      </c>
      <c r="C63" s="16" t="s">
        <v>114</v>
      </c>
      <c r="D63" s="14" t="s">
        <v>69</v>
      </c>
      <c r="E63" s="18">
        <v>15</v>
      </c>
      <c r="F63" s="77">
        <v>15</v>
      </c>
      <c r="G63" s="13">
        <v>222.4</v>
      </c>
      <c r="H63" s="89">
        <f t="shared" ref="H63:H76" si="8">SUM(F63*G63/1000)</f>
        <v>3.3359999999999999</v>
      </c>
      <c r="I63" s="13">
        <f>G63*3</f>
        <v>667.2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114</v>
      </c>
      <c r="D64" s="14" t="s">
        <v>151</v>
      </c>
      <c r="E64" s="18">
        <v>8</v>
      </c>
      <c r="F64" s="77">
        <v>8</v>
      </c>
      <c r="G64" s="13">
        <v>76.25</v>
      </c>
      <c r="H64" s="89">
        <f t="shared" si="8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2">
        <v>26</v>
      </c>
      <c r="B65" s="14" t="s">
        <v>49</v>
      </c>
      <c r="C65" s="16" t="s">
        <v>116</v>
      </c>
      <c r="D65" s="14" t="s">
        <v>55</v>
      </c>
      <c r="E65" s="76">
        <v>14220</v>
      </c>
      <c r="F65" s="13">
        <f>SUM(E65/100)</f>
        <v>142.19999999999999</v>
      </c>
      <c r="G65" s="13">
        <v>212.15</v>
      </c>
      <c r="H65" s="89">
        <f t="shared" si="8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2">
        <v>27</v>
      </c>
      <c r="B66" s="14" t="s">
        <v>50</v>
      </c>
      <c r="C66" s="16" t="s">
        <v>117</v>
      </c>
      <c r="D66" s="14"/>
      <c r="E66" s="76">
        <v>14220</v>
      </c>
      <c r="F66" s="13">
        <f>SUM(E66/1000)</f>
        <v>14.22</v>
      </c>
      <c r="G66" s="13">
        <v>165.21</v>
      </c>
      <c r="H66" s="89">
        <f t="shared" si="8"/>
        <v>2.3492861999999999</v>
      </c>
      <c r="I66" s="13">
        <f t="shared" ref="I66:I70" si="9">F66*G66</f>
        <v>2349.2862</v>
      </c>
      <c r="J66" s="5"/>
      <c r="K66" s="5"/>
      <c r="L66" s="5"/>
      <c r="M66" s="5"/>
      <c r="N66" s="5"/>
      <c r="O66" s="5"/>
      <c r="P66" s="5"/>
      <c r="Q66" s="5"/>
      <c r="R66" s="138"/>
      <c r="S66" s="138"/>
      <c r="T66" s="138"/>
      <c r="U66" s="138"/>
    </row>
    <row r="67" spans="1:21" ht="15.75" customHeight="1">
      <c r="A67" s="32">
        <v>28</v>
      </c>
      <c r="B67" s="14" t="s">
        <v>51</v>
      </c>
      <c r="C67" s="16" t="s">
        <v>79</v>
      </c>
      <c r="D67" s="14" t="s">
        <v>55</v>
      </c>
      <c r="E67" s="76">
        <v>2260</v>
      </c>
      <c r="F67" s="13">
        <f>SUM(E67/100)</f>
        <v>22.6</v>
      </c>
      <c r="G67" s="13">
        <v>2074.63</v>
      </c>
      <c r="H67" s="89">
        <f t="shared" si="8"/>
        <v>46.886638000000005</v>
      </c>
      <c r="I67" s="13">
        <f t="shared" si="9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2">
        <v>29</v>
      </c>
      <c r="B68" s="90" t="s">
        <v>118</v>
      </c>
      <c r="C68" s="16" t="s">
        <v>33</v>
      </c>
      <c r="D68" s="14"/>
      <c r="E68" s="76">
        <v>11</v>
      </c>
      <c r="F68" s="13">
        <f>SUM(E68)</f>
        <v>11</v>
      </c>
      <c r="G68" s="13">
        <v>45.32</v>
      </c>
      <c r="H68" s="89">
        <f t="shared" si="8"/>
        <v>0.49851999999999996</v>
      </c>
      <c r="I68" s="13">
        <f t="shared" si="9"/>
        <v>498.52</v>
      </c>
    </row>
    <row r="69" spans="1:21" ht="15.75" customHeight="1">
      <c r="A69" s="32">
        <v>30</v>
      </c>
      <c r="B69" s="90" t="s">
        <v>119</v>
      </c>
      <c r="C69" s="16" t="s">
        <v>33</v>
      </c>
      <c r="D69" s="14"/>
      <c r="E69" s="76">
        <v>11</v>
      </c>
      <c r="F69" s="13">
        <f>SUM(E69)</f>
        <v>11</v>
      </c>
      <c r="G69" s="13">
        <v>42.28</v>
      </c>
      <c r="H69" s="89">
        <f t="shared" si="8"/>
        <v>0.46508000000000005</v>
      </c>
      <c r="I69" s="13">
        <f t="shared" si="9"/>
        <v>465.08000000000004</v>
      </c>
    </row>
    <row r="70" spans="1:21" ht="15.75" hidden="1" customHeight="1">
      <c r="A70" s="32"/>
      <c r="B70" s="14" t="s">
        <v>59</v>
      </c>
      <c r="C70" s="16" t="s">
        <v>60</v>
      </c>
      <c r="D70" s="14" t="s">
        <v>55</v>
      </c>
      <c r="E70" s="18">
        <v>8</v>
      </c>
      <c r="F70" s="77">
        <v>8</v>
      </c>
      <c r="G70" s="13">
        <v>49.88</v>
      </c>
      <c r="H70" s="89">
        <f t="shared" si="8"/>
        <v>0.39904000000000001</v>
      </c>
      <c r="I70" s="13">
        <f t="shared" si="9"/>
        <v>399.04</v>
      </c>
    </row>
    <row r="71" spans="1:21" ht="15.75" hidden="1" customHeight="1">
      <c r="A71" s="32"/>
      <c r="B71" s="62" t="s">
        <v>74</v>
      </c>
      <c r="C71" s="16"/>
      <c r="D71" s="14"/>
      <c r="E71" s="18"/>
      <c r="F71" s="13"/>
      <c r="G71" s="13"/>
      <c r="H71" s="89" t="s">
        <v>130</v>
      </c>
      <c r="I71" s="13"/>
    </row>
    <row r="72" spans="1:21" ht="15.75" hidden="1" customHeight="1">
      <c r="A72" s="32"/>
      <c r="B72" s="14" t="s">
        <v>75</v>
      </c>
      <c r="C72" s="16" t="s">
        <v>77</v>
      </c>
      <c r="D72" s="14"/>
      <c r="E72" s="18">
        <v>2</v>
      </c>
      <c r="F72" s="13">
        <v>0.2</v>
      </c>
      <c r="G72" s="13">
        <v>501.62</v>
      </c>
      <c r="H72" s="89">
        <f t="shared" si="8"/>
        <v>0.10032400000000001</v>
      </c>
      <c r="I72" s="13">
        <v>0</v>
      </c>
    </row>
    <row r="73" spans="1:21" ht="15.75" hidden="1" customHeight="1">
      <c r="A73" s="32"/>
      <c r="B73" s="14" t="s">
        <v>76</v>
      </c>
      <c r="C73" s="16" t="s">
        <v>31</v>
      </c>
      <c r="D73" s="14"/>
      <c r="E73" s="18">
        <v>1</v>
      </c>
      <c r="F73" s="66">
        <v>1</v>
      </c>
      <c r="G73" s="13">
        <v>852.99</v>
      </c>
      <c r="H73" s="89">
        <f>F73*G73/1000</f>
        <v>0.85299000000000003</v>
      </c>
      <c r="I73" s="13">
        <v>0</v>
      </c>
    </row>
    <row r="74" spans="1:21" ht="15.75" hidden="1" customHeight="1">
      <c r="A74" s="32"/>
      <c r="B74" s="14" t="s">
        <v>121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9">
        <f>G74*F74/1000</f>
        <v>0.35851</v>
      </c>
      <c r="I74" s="13">
        <v>0</v>
      </c>
    </row>
    <row r="75" spans="1:21" ht="15.75" hidden="1" customHeight="1">
      <c r="A75" s="32"/>
      <c r="B75" s="92" t="s">
        <v>78</v>
      </c>
      <c r="C75" s="16"/>
      <c r="D75" s="14"/>
      <c r="E75" s="18"/>
      <c r="F75" s="13"/>
      <c r="G75" s="13" t="s">
        <v>130</v>
      </c>
      <c r="H75" s="89" t="s">
        <v>130</v>
      </c>
      <c r="I75" s="13"/>
    </row>
    <row r="76" spans="1:21" ht="15.75" hidden="1" customHeight="1">
      <c r="A76" s="32"/>
      <c r="B76" s="46" t="s">
        <v>128</v>
      </c>
      <c r="C76" s="16" t="s">
        <v>79</v>
      </c>
      <c r="D76" s="14"/>
      <c r="E76" s="18"/>
      <c r="F76" s="13">
        <v>0.1</v>
      </c>
      <c r="G76" s="13">
        <v>2759.44</v>
      </c>
      <c r="H76" s="89">
        <f t="shared" si="8"/>
        <v>0.27594400000000002</v>
      </c>
      <c r="I76" s="13">
        <v>0</v>
      </c>
    </row>
    <row r="77" spans="1:21" ht="15.75" hidden="1" customHeight="1">
      <c r="A77" s="32"/>
      <c r="B77" s="104" t="s">
        <v>99</v>
      </c>
      <c r="C77" s="104"/>
      <c r="D77" s="104"/>
      <c r="E77" s="104"/>
      <c r="F77" s="104"/>
      <c r="G77" s="80"/>
      <c r="H77" s="93">
        <f>SUM(H57:H76)</f>
        <v>117.59572952000001</v>
      </c>
      <c r="I77" s="80"/>
    </row>
    <row r="78" spans="1:21" ht="15.75" hidden="1" customHeight="1">
      <c r="A78" s="32"/>
      <c r="B78" s="102" t="s">
        <v>120</v>
      </c>
      <c r="C78" s="23"/>
      <c r="D78" s="22"/>
      <c r="E78" s="67"/>
      <c r="F78" s="103">
        <v>1</v>
      </c>
      <c r="G78" s="13">
        <v>10966.5</v>
      </c>
      <c r="H78" s="89">
        <f>G78*F78/1000</f>
        <v>10.9665</v>
      </c>
      <c r="I78" s="13">
        <v>0</v>
      </c>
    </row>
    <row r="79" spans="1:21" ht="15.75" customHeight="1">
      <c r="A79" s="139" t="s">
        <v>146</v>
      </c>
      <c r="B79" s="140"/>
      <c r="C79" s="140"/>
      <c r="D79" s="140"/>
      <c r="E79" s="140"/>
      <c r="F79" s="140"/>
      <c r="G79" s="140"/>
      <c r="H79" s="140"/>
      <c r="I79" s="141"/>
    </row>
    <row r="80" spans="1:21" ht="15.75" customHeight="1">
      <c r="A80" s="32">
        <v>31</v>
      </c>
      <c r="B80" s="74" t="s">
        <v>122</v>
      </c>
      <c r="C80" s="16" t="s">
        <v>56</v>
      </c>
      <c r="D80" s="65" t="s">
        <v>57</v>
      </c>
      <c r="E80" s="13">
        <v>3382.7</v>
      </c>
      <c r="F80" s="13">
        <f>SUM(E80*12)</f>
        <v>40592.399999999994</v>
      </c>
      <c r="G80" s="13">
        <v>2.1</v>
      </c>
      <c r="H80" s="89">
        <f>SUM(F80*G80/1000)</f>
        <v>85.244039999999998</v>
      </c>
      <c r="I80" s="13">
        <f>F80/12*G80</f>
        <v>7103.6699999999992</v>
      </c>
    </row>
    <row r="81" spans="1:9" ht="31.5" customHeight="1">
      <c r="A81" s="32">
        <v>32</v>
      </c>
      <c r="B81" s="14" t="s">
        <v>80</v>
      </c>
      <c r="C81" s="16"/>
      <c r="D81" s="65" t="s">
        <v>57</v>
      </c>
      <c r="E81" s="76">
        <f>E80</f>
        <v>3382.7</v>
      </c>
      <c r="F81" s="13">
        <f>E81*12</f>
        <v>40592.399999999994</v>
      </c>
      <c r="G81" s="13">
        <v>1.63</v>
      </c>
      <c r="H81" s="89">
        <f>F81*G81/1000</f>
        <v>66.165611999999982</v>
      </c>
      <c r="I81" s="13">
        <f>F81/12*G81</f>
        <v>5513.8009999999986</v>
      </c>
    </row>
    <row r="82" spans="1:9" ht="15.75" customHeight="1">
      <c r="A82" s="32"/>
      <c r="B82" s="39" t="s">
        <v>83</v>
      </c>
      <c r="C82" s="92"/>
      <c r="D82" s="91"/>
      <c r="E82" s="80"/>
      <c r="F82" s="80"/>
      <c r="G82" s="80"/>
      <c r="H82" s="93">
        <f>H81</f>
        <v>66.165611999999982</v>
      </c>
      <c r="I82" s="80">
        <f>I16+I17+I18+I19+I20+I21+I22+I23+I24+I25+I26+I27+I30+I31+I32+I33+I34+I45+I46+I47+I48+I49+I50+I61+I63+I65+I66+I67+I68+I69+I80+I81</f>
        <v>131689.8517290889</v>
      </c>
    </row>
    <row r="83" spans="1:9" ht="15.75" customHeight="1">
      <c r="A83" s="126" t="s">
        <v>62</v>
      </c>
      <c r="B83" s="127"/>
      <c r="C83" s="127"/>
      <c r="D83" s="127"/>
      <c r="E83" s="127"/>
      <c r="F83" s="127"/>
      <c r="G83" s="127"/>
      <c r="H83" s="127"/>
      <c r="I83" s="128"/>
    </row>
    <row r="84" spans="1:9" ht="15.75" customHeight="1">
      <c r="A84" s="32">
        <v>33</v>
      </c>
      <c r="B84" s="51" t="s">
        <v>133</v>
      </c>
      <c r="C84" s="73" t="s">
        <v>114</v>
      </c>
      <c r="D84" s="84"/>
      <c r="E84" s="85"/>
      <c r="F84" s="86">
        <v>732</v>
      </c>
      <c r="G84" s="95">
        <v>53.42</v>
      </c>
      <c r="H84" s="87">
        <f>SUM(F84*G84/1000)</f>
        <v>39.103439999999999</v>
      </c>
      <c r="I84" s="95">
        <f>G84*61</f>
        <v>3258.62</v>
      </c>
    </row>
    <row r="85" spans="1:9" ht="15.75" customHeight="1">
      <c r="A85" s="32"/>
      <c r="B85" s="44" t="s">
        <v>52</v>
      </c>
      <c r="C85" s="40"/>
      <c r="D85" s="47"/>
      <c r="E85" s="40">
        <v>1</v>
      </c>
      <c r="F85" s="40"/>
      <c r="G85" s="40"/>
      <c r="H85" s="40"/>
      <c r="I85" s="34">
        <f>SUM(I84:I84)</f>
        <v>3258.62</v>
      </c>
    </row>
    <row r="86" spans="1:9" ht="15.75" customHeight="1">
      <c r="A86" s="32"/>
      <c r="B86" s="46" t="s">
        <v>81</v>
      </c>
      <c r="C86" s="15"/>
      <c r="D86" s="15"/>
      <c r="E86" s="41"/>
      <c r="F86" s="41"/>
      <c r="G86" s="42"/>
      <c r="H86" s="42"/>
      <c r="I86" s="17">
        <v>0</v>
      </c>
    </row>
    <row r="87" spans="1:9" ht="15.75" customHeight="1">
      <c r="A87" s="48"/>
      <c r="B87" s="45" t="s">
        <v>195</v>
      </c>
      <c r="C87" s="35"/>
      <c r="D87" s="35"/>
      <c r="E87" s="35"/>
      <c r="F87" s="35"/>
      <c r="G87" s="35"/>
      <c r="H87" s="35"/>
      <c r="I87" s="43">
        <f>I82+I85</f>
        <v>134948.47172908889</v>
      </c>
    </row>
    <row r="88" spans="1:9" ht="15.75" customHeight="1">
      <c r="A88" s="142" t="s">
        <v>209</v>
      </c>
      <c r="B88" s="142"/>
      <c r="C88" s="142"/>
      <c r="D88" s="142"/>
      <c r="E88" s="142"/>
      <c r="F88" s="142"/>
      <c r="G88" s="142"/>
      <c r="H88" s="142"/>
      <c r="I88" s="142"/>
    </row>
    <row r="89" spans="1:9" ht="15.75" customHeight="1">
      <c r="A89" s="64"/>
      <c r="B89" s="143" t="s">
        <v>210</v>
      </c>
      <c r="C89" s="143"/>
      <c r="D89" s="143"/>
      <c r="E89" s="143"/>
      <c r="F89" s="143"/>
      <c r="G89" s="143"/>
      <c r="H89" s="70"/>
      <c r="I89" s="3"/>
    </row>
    <row r="90" spans="1:9">
      <c r="A90" s="49"/>
      <c r="B90" s="144" t="s">
        <v>6</v>
      </c>
      <c r="C90" s="144"/>
      <c r="D90" s="144"/>
      <c r="E90" s="144"/>
      <c r="F90" s="144"/>
      <c r="G90" s="144"/>
      <c r="H90" s="27"/>
      <c r="I90" s="50"/>
    </row>
    <row r="91" spans="1:9" ht="15.75" customHeight="1">
      <c r="A91" s="56"/>
      <c r="B91" s="56"/>
      <c r="C91" s="56"/>
      <c r="D91" s="56"/>
      <c r="E91" s="56"/>
      <c r="F91" s="56"/>
      <c r="G91" s="56"/>
      <c r="H91" s="56"/>
      <c r="I91" s="56"/>
    </row>
    <row r="92" spans="1:9" ht="15.75" customHeight="1">
      <c r="A92" s="145" t="s">
        <v>7</v>
      </c>
      <c r="B92" s="145"/>
      <c r="C92" s="145"/>
      <c r="D92" s="145"/>
      <c r="E92" s="145"/>
      <c r="F92" s="145"/>
      <c r="G92" s="145"/>
      <c r="H92" s="145"/>
      <c r="I92" s="145"/>
    </row>
    <row r="93" spans="1:9" ht="15.75" customHeight="1">
      <c r="A93" s="145" t="s">
        <v>8</v>
      </c>
      <c r="B93" s="145"/>
      <c r="C93" s="145"/>
      <c r="D93" s="145"/>
      <c r="E93" s="145"/>
      <c r="F93" s="145"/>
      <c r="G93" s="145"/>
      <c r="H93" s="145"/>
      <c r="I93" s="145"/>
    </row>
    <row r="94" spans="1:9" ht="15.75" customHeight="1">
      <c r="A94" s="146" t="s">
        <v>63</v>
      </c>
      <c r="B94" s="146"/>
      <c r="C94" s="146"/>
      <c r="D94" s="146"/>
      <c r="E94" s="146"/>
      <c r="F94" s="146"/>
      <c r="G94" s="146"/>
      <c r="H94" s="146"/>
      <c r="I94" s="146"/>
    </row>
    <row r="95" spans="1:9" ht="15.75" customHeight="1">
      <c r="A95" s="11"/>
    </row>
    <row r="96" spans="1:9" ht="15.75" customHeight="1">
      <c r="A96" s="147" t="s">
        <v>9</v>
      </c>
      <c r="B96" s="147"/>
      <c r="C96" s="147"/>
      <c r="D96" s="147"/>
      <c r="E96" s="147"/>
      <c r="F96" s="147"/>
      <c r="G96" s="147"/>
      <c r="H96" s="147"/>
      <c r="I96" s="147"/>
    </row>
    <row r="97" spans="1:9" ht="15.75" customHeight="1">
      <c r="A97" s="4"/>
    </row>
    <row r="98" spans="1:9" ht="15.75" customHeight="1">
      <c r="B98" s="61" t="s">
        <v>10</v>
      </c>
      <c r="C98" s="148" t="s">
        <v>147</v>
      </c>
      <c r="D98" s="148"/>
      <c r="E98" s="148"/>
      <c r="F98" s="68"/>
      <c r="I98" s="59"/>
    </row>
    <row r="99" spans="1:9" ht="15.75" customHeight="1">
      <c r="A99" s="60"/>
      <c r="C99" s="144" t="s">
        <v>11</v>
      </c>
      <c r="D99" s="144"/>
      <c r="E99" s="144"/>
      <c r="F99" s="27"/>
      <c r="I99" s="58" t="s">
        <v>12</v>
      </c>
    </row>
    <row r="100" spans="1:9" ht="15.75" customHeight="1">
      <c r="A100" s="28"/>
      <c r="C100" s="12"/>
      <c r="D100" s="12"/>
      <c r="G100" s="12"/>
      <c r="H100" s="12"/>
    </row>
    <row r="101" spans="1:9" ht="15.75">
      <c r="B101" s="61" t="s">
        <v>13</v>
      </c>
      <c r="C101" s="149"/>
      <c r="D101" s="149"/>
      <c r="E101" s="149"/>
      <c r="F101" s="69"/>
      <c r="I101" s="59"/>
    </row>
    <row r="102" spans="1:9">
      <c r="A102" s="60"/>
      <c r="C102" s="138" t="s">
        <v>11</v>
      </c>
      <c r="D102" s="138"/>
      <c r="E102" s="138"/>
      <c r="F102" s="60"/>
      <c r="I102" s="58" t="s">
        <v>12</v>
      </c>
    </row>
    <row r="103" spans="1:9" ht="15.75" customHeight="1">
      <c r="A103" s="4" t="s">
        <v>14</v>
      </c>
    </row>
    <row r="104" spans="1:9" ht="15.75" customHeight="1">
      <c r="A104" s="150" t="s">
        <v>15</v>
      </c>
      <c r="B104" s="150"/>
      <c r="C104" s="150"/>
      <c r="D104" s="150"/>
      <c r="E104" s="150"/>
      <c r="F104" s="150"/>
      <c r="G104" s="150"/>
      <c r="H104" s="150"/>
      <c r="I104" s="150"/>
    </row>
    <row r="105" spans="1:9" ht="45" customHeight="1">
      <c r="A105" s="151" t="s">
        <v>16</v>
      </c>
      <c r="B105" s="151"/>
      <c r="C105" s="151"/>
      <c r="D105" s="151"/>
      <c r="E105" s="151"/>
      <c r="F105" s="151"/>
      <c r="G105" s="151"/>
      <c r="H105" s="151"/>
      <c r="I105" s="151"/>
    </row>
    <row r="106" spans="1:9" ht="30" customHeight="1">
      <c r="A106" s="151" t="s">
        <v>17</v>
      </c>
      <c r="B106" s="151"/>
      <c r="C106" s="151"/>
      <c r="D106" s="151"/>
      <c r="E106" s="151"/>
      <c r="F106" s="151"/>
      <c r="G106" s="151"/>
      <c r="H106" s="151"/>
      <c r="I106" s="151"/>
    </row>
    <row r="107" spans="1:9" ht="30" customHeight="1">
      <c r="A107" s="151" t="s">
        <v>21</v>
      </c>
      <c r="B107" s="151"/>
      <c r="C107" s="151"/>
      <c r="D107" s="151"/>
      <c r="E107" s="151"/>
      <c r="F107" s="151"/>
      <c r="G107" s="151"/>
      <c r="H107" s="151"/>
      <c r="I107" s="151"/>
    </row>
    <row r="108" spans="1:9" ht="15" customHeight="1">
      <c r="A108" s="151" t="s">
        <v>20</v>
      </c>
      <c r="B108" s="151"/>
      <c r="C108" s="151"/>
      <c r="D108" s="151"/>
      <c r="E108" s="151"/>
      <c r="F108" s="151"/>
      <c r="G108" s="151"/>
      <c r="H108" s="151"/>
      <c r="I108" s="151"/>
    </row>
  </sheetData>
  <autoFilter ref="I12:I61"/>
  <mergeCells count="29"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  <mergeCell ref="A94:I94"/>
    <mergeCell ref="A15:I15"/>
    <mergeCell ref="A28:I28"/>
    <mergeCell ref="A44:I44"/>
    <mergeCell ref="A55:I55"/>
    <mergeCell ref="A88:I88"/>
    <mergeCell ref="B89:G89"/>
    <mergeCell ref="B90:G90"/>
    <mergeCell ref="A92:I92"/>
    <mergeCell ref="A93:I93"/>
    <mergeCell ref="A83:I83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181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212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3">
        <v>42916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hidden="1" customHeight="1">
      <c r="A19" s="32"/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5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6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7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15.75" customHeight="1">
      <c r="A30" s="32">
        <v>8</v>
      </c>
      <c r="B30" s="74" t="s">
        <v>112</v>
      </c>
      <c r="C30" s="75" t="s">
        <v>95</v>
      </c>
      <c r="D30" s="74" t="s">
        <v>207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1">SUM(F30*G30/1000)</f>
        <v>5.4076993880000011</v>
      </c>
      <c r="I30" s="13">
        <f t="shared" ref="I30:I34" si="2">F30/6*G30</f>
        <v>901.28323133333345</v>
      </c>
      <c r="J30" s="25"/>
      <c r="K30" s="8"/>
      <c r="L30" s="8"/>
      <c r="M30" s="8"/>
    </row>
    <row r="31" spans="1:13" ht="31.5" customHeight="1">
      <c r="A31" s="32">
        <v>9</v>
      </c>
      <c r="B31" s="74" t="s">
        <v>126</v>
      </c>
      <c r="C31" s="75" t="s">
        <v>95</v>
      </c>
      <c r="D31" s="74" t="s">
        <v>208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1"/>
        <v>9.2288080872000009</v>
      </c>
      <c r="I31" s="13">
        <f t="shared" si="2"/>
        <v>1538.1346812000002</v>
      </c>
      <c r="J31" s="25"/>
      <c r="K31" s="8"/>
      <c r="L31" s="8"/>
      <c r="M31" s="8"/>
    </row>
    <row r="32" spans="1:13" ht="15.75" hidden="1" customHeight="1">
      <c r="A32" s="32"/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1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customHeight="1">
      <c r="A33" s="32">
        <v>10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2"/>
        <v>336.35516666666672</v>
      </c>
      <c r="J33" s="25"/>
      <c r="K33" s="8"/>
      <c r="L33" s="8"/>
      <c r="M33" s="8"/>
    </row>
    <row r="34" spans="1:14" ht="15.75" customHeight="1">
      <c r="A34" s="32">
        <v>11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1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1"/>
        <v>2.2726599999999997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hidden="1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3">SUM(F38*G38/1000)</f>
        <v>15.272200000000002</v>
      </c>
      <c r="I38" s="13">
        <f t="shared" ref="I38:I43" si="4">F38/6*G38</f>
        <v>2545.3666666666668</v>
      </c>
      <c r="J38" s="26"/>
    </row>
    <row r="39" spans="1:14" ht="15.75" hidden="1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3"/>
        <v>19.238955416</v>
      </c>
      <c r="I39" s="13">
        <f t="shared" si="4"/>
        <v>3206.492569333333</v>
      </c>
      <c r="J39" s="26"/>
      <c r="L39" s="19"/>
      <c r="M39" s="20"/>
      <c r="N39" s="21"/>
    </row>
    <row r="40" spans="1:14" ht="15.75" hidden="1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3"/>
        <v>5.8367605999999999</v>
      </c>
      <c r="I40" s="13">
        <f t="shared" si="4"/>
        <v>972.79343333333316</v>
      </c>
      <c r="J40" s="26"/>
      <c r="L40" s="19"/>
      <c r="M40" s="20"/>
      <c r="N40" s="21"/>
    </row>
    <row r="41" spans="1:14" ht="48" hidden="1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3"/>
        <v>6.9639359999999995</v>
      </c>
      <c r="I41" s="13">
        <f t="shared" si="4"/>
        <v>1160.6559999999999</v>
      </c>
      <c r="J41" s="26"/>
      <c r="L41" s="19"/>
      <c r="M41" s="20"/>
      <c r="N41" s="21"/>
    </row>
    <row r="42" spans="1:14" ht="15.75" hidden="1" customHeight="1">
      <c r="A42" s="32">
        <v>12</v>
      </c>
      <c r="B42" s="74" t="s">
        <v>96</v>
      </c>
      <c r="C42" s="75" t="s">
        <v>95</v>
      </c>
      <c r="D42" s="74" t="s">
        <v>71</v>
      </c>
      <c r="E42" s="77">
        <v>123.36</v>
      </c>
      <c r="F42" s="77">
        <f>SUM(E42*45/1000)</f>
        <v>5.5511999999999997</v>
      </c>
      <c r="G42" s="77">
        <v>428.7</v>
      </c>
      <c r="H42" s="78">
        <f t="shared" si="3"/>
        <v>2.3797994399999998</v>
      </c>
      <c r="I42" s="13">
        <f t="shared" si="4"/>
        <v>396.63323999999994</v>
      </c>
      <c r="J42" s="26"/>
      <c r="L42" s="19"/>
      <c r="M42" s="20"/>
      <c r="N42" s="21"/>
    </row>
    <row r="43" spans="1:14" ht="15.75" hidden="1" customHeight="1">
      <c r="A43" s="32">
        <v>13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3"/>
        <v>0.71820000000000006</v>
      </c>
      <c r="I43" s="13">
        <f t="shared" si="4"/>
        <v>119.69999999999999</v>
      </c>
      <c r="J43" s="26"/>
      <c r="L43" s="19"/>
      <c r="M43" s="20"/>
      <c r="N43" s="21"/>
    </row>
    <row r="44" spans="1:14" ht="15.75" hidden="1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hidden="1" customHeight="1">
      <c r="A45" s="32"/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5"/>
        <v>2.44182897</v>
      </c>
      <c r="I49" s="13">
        <v>0</v>
      </c>
      <c r="J49" s="26"/>
      <c r="L49" s="19"/>
      <c r="M49" s="20"/>
      <c r="N49" s="21"/>
    </row>
    <row r="50" spans="1:22" ht="15.75" hidden="1" customHeight="1">
      <c r="A50" s="32">
        <v>14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5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hidden="1" customHeight="1">
      <c r="A51" s="32"/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5"/>
        <v>4.65129444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5"/>
        <v>1.0921959999999999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5"/>
        <v>0.11304260000000001</v>
      </c>
      <c r="I53" s="13">
        <v>0</v>
      </c>
      <c r="J53" s="26"/>
      <c r="L53" s="19"/>
      <c r="M53" s="20"/>
      <c r="N53" s="21"/>
    </row>
    <row r="54" spans="1:22" ht="15.75" hidden="1" customHeight="1">
      <c r="A54" s="32">
        <v>15</v>
      </c>
      <c r="B54" s="74" t="s">
        <v>42</v>
      </c>
      <c r="C54" s="75" t="s">
        <v>114</v>
      </c>
      <c r="D54" s="74" t="s">
        <v>73</v>
      </c>
      <c r="E54" s="76">
        <v>120</v>
      </c>
      <c r="F54" s="77">
        <f>SUM(E54)*3</f>
        <v>360</v>
      </c>
      <c r="G54" s="13">
        <v>65.67</v>
      </c>
      <c r="H54" s="78">
        <f t="shared" si="5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135" t="s">
        <v>148</v>
      </c>
      <c r="B55" s="136"/>
      <c r="C55" s="136"/>
      <c r="D55" s="136"/>
      <c r="E55" s="136"/>
      <c r="F55" s="136"/>
      <c r="G55" s="136"/>
      <c r="H55" s="136"/>
      <c r="I55" s="137"/>
      <c r="J55" s="26"/>
      <c r="L55" s="19"/>
      <c r="M55" s="20"/>
      <c r="N55" s="21"/>
    </row>
    <row r="56" spans="1:22" ht="15.75" hidden="1" customHeight="1">
      <c r="A56" s="32"/>
      <c r="B56" s="100" t="s">
        <v>44</v>
      </c>
      <c r="C56" s="75"/>
      <c r="D56" s="74"/>
      <c r="E56" s="76"/>
      <c r="F56" s="77"/>
      <c r="G56" s="77"/>
      <c r="H56" s="78"/>
      <c r="I56" s="13"/>
      <c r="J56" s="26"/>
      <c r="L56" s="19"/>
      <c r="M56" s="20"/>
      <c r="N56" s="21"/>
    </row>
    <row r="57" spans="1:22" ht="31.5" hidden="1" customHeight="1">
      <c r="A57" s="32">
        <v>16</v>
      </c>
      <c r="B57" s="74" t="s">
        <v>129</v>
      </c>
      <c r="C57" s="75" t="s">
        <v>93</v>
      </c>
      <c r="D57" s="74" t="s">
        <v>115</v>
      </c>
      <c r="E57" s="76">
        <v>131.77500000000001</v>
      </c>
      <c r="F57" s="77">
        <f>SUM(E57*6/100)</f>
        <v>7.9065000000000012</v>
      </c>
      <c r="G57" s="13">
        <v>1547.28</v>
      </c>
      <c r="H57" s="78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101" t="s">
        <v>45</v>
      </c>
      <c r="C58" s="83"/>
      <c r="D58" s="84"/>
      <c r="E58" s="85"/>
      <c r="F58" s="87"/>
      <c r="G58" s="13"/>
      <c r="H58" s="88"/>
      <c r="I58" s="13"/>
      <c r="J58" s="26"/>
      <c r="L58" s="19"/>
      <c r="M58" s="20"/>
      <c r="N58" s="21"/>
    </row>
    <row r="59" spans="1:22" ht="15.75" hidden="1" customHeight="1">
      <c r="A59" s="32"/>
      <c r="B59" s="84" t="s">
        <v>138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84" t="s">
        <v>139</v>
      </c>
      <c r="C60" s="83" t="s">
        <v>54</v>
      </c>
      <c r="D60" s="84" t="s">
        <v>55</v>
      </c>
      <c r="E60" s="85">
        <v>890</v>
      </c>
      <c r="F60" s="87">
        <v>8.9</v>
      </c>
      <c r="G60" s="13">
        <v>793.61</v>
      </c>
      <c r="H60" s="88">
        <f>F60*G60/1000</f>
        <v>7.0631290000000009</v>
      </c>
      <c r="I60" s="13">
        <v>0</v>
      </c>
    </row>
    <row r="61" spans="1:22" ht="15.75" customHeight="1">
      <c r="A61" s="32">
        <v>12</v>
      </c>
      <c r="B61" s="84" t="s">
        <v>127</v>
      </c>
      <c r="C61" s="83" t="s">
        <v>25</v>
      </c>
      <c r="D61" s="84" t="s">
        <v>30</v>
      </c>
      <c r="E61" s="85">
        <v>158.19999999999999</v>
      </c>
      <c r="F61" s="87">
        <f>E61*12</f>
        <v>1898.3999999999999</v>
      </c>
      <c r="G61" s="94">
        <v>2.6</v>
      </c>
      <c r="H61" s="88">
        <f>F61*G61/1000</f>
        <v>4.9358399999999998</v>
      </c>
      <c r="I61" s="13">
        <f>F61/12*G61</f>
        <v>411.32</v>
      </c>
    </row>
    <row r="62" spans="1:22" ht="15.75" customHeight="1">
      <c r="A62" s="32"/>
      <c r="B62" s="101" t="s">
        <v>46</v>
      </c>
      <c r="C62" s="83"/>
      <c r="D62" s="84"/>
      <c r="E62" s="85"/>
      <c r="F62" s="86"/>
      <c r="G62" s="86"/>
      <c r="H62" s="87" t="s">
        <v>130</v>
      </c>
      <c r="I62" s="13"/>
    </row>
    <row r="63" spans="1:22" ht="15.75" customHeight="1">
      <c r="A63" s="32">
        <v>13</v>
      </c>
      <c r="B63" s="14" t="s">
        <v>47</v>
      </c>
      <c r="C63" s="16" t="s">
        <v>114</v>
      </c>
      <c r="D63" s="14" t="s">
        <v>213</v>
      </c>
      <c r="E63" s="18">
        <v>15</v>
      </c>
      <c r="F63" s="77">
        <v>15</v>
      </c>
      <c r="G63" s="13">
        <v>222.4</v>
      </c>
      <c r="H63" s="89">
        <f t="shared" ref="H63:H76" si="6">SUM(F63*G63/1000)</f>
        <v>3.3359999999999999</v>
      </c>
      <c r="I63" s="13">
        <f>G63*4</f>
        <v>889.6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114</v>
      </c>
      <c r="D64" s="14" t="s">
        <v>151</v>
      </c>
      <c r="E64" s="18">
        <v>8</v>
      </c>
      <c r="F64" s="77">
        <v>8</v>
      </c>
      <c r="G64" s="13">
        <v>76.25</v>
      </c>
      <c r="H64" s="89">
        <f t="shared" si="6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116</v>
      </c>
      <c r="D65" s="14" t="s">
        <v>55</v>
      </c>
      <c r="E65" s="76">
        <v>14220</v>
      </c>
      <c r="F65" s="13">
        <f>SUM(E65/100)</f>
        <v>142.19999999999999</v>
      </c>
      <c r="G65" s="13">
        <v>212.15</v>
      </c>
      <c r="H65" s="89">
        <f t="shared" si="6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117</v>
      </c>
      <c r="D66" s="14"/>
      <c r="E66" s="76">
        <v>14220</v>
      </c>
      <c r="F66" s="13">
        <f>SUM(E66/1000)</f>
        <v>14.22</v>
      </c>
      <c r="G66" s="13">
        <v>165.21</v>
      </c>
      <c r="H66" s="89">
        <f t="shared" si="6"/>
        <v>2.3492861999999999</v>
      </c>
      <c r="I66" s="13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8"/>
      <c r="S66" s="138"/>
      <c r="T66" s="138"/>
      <c r="U66" s="138"/>
    </row>
    <row r="67" spans="1:21" ht="15.75" hidden="1" customHeight="1">
      <c r="A67" s="32"/>
      <c r="B67" s="14" t="s">
        <v>51</v>
      </c>
      <c r="C67" s="16" t="s">
        <v>79</v>
      </c>
      <c r="D67" s="14" t="s">
        <v>55</v>
      </c>
      <c r="E67" s="76">
        <v>2260</v>
      </c>
      <c r="F67" s="13">
        <f>SUM(E67/100)</f>
        <v>22.6</v>
      </c>
      <c r="G67" s="13">
        <v>2074.63</v>
      </c>
      <c r="H67" s="89">
        <f t="shared" si="6"/>
        <v>46.886638000000005</v>
      </c>
      <c r="I67" s="13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90" t="s">
        <v>118</v>
      </c>
      <c r="C68" s="16" t="s">
        <v>33</v>
      </c>
      <c r="D68" s="14"/>
      <c r="E68" s="76">
        <v>11</v>
      </c>
      <c r="F68" s="13">
        <f>SUM(E68)</f>
        <v>11</v>
      </c>
      <c r="G68" s="13">
        <v>45.32</v>
      </c>
      <c r="H68" s="89">
        <f t="shared" si="6"/>
        <v>0.49851999999999996</v>
      </c>
      <c r="I68" s="13">
        <f t="shared" si="7"/>
        <v>498.52</v>
      </c>
    </row>
    <row r="69" spans="1:21" ht="15.75" hidden="1" customHeight="1">
      <c r="A69" s="32"/>
      <c r="B69" s="90" t="s">
        <v>119</v>
      </c>
      <c r="C69" s="16" t="s">
        <v>33</v>
      </c>
      <c r="D69" s="14"/>
      <c r="E69" s="76">
        <v>11</v>
      </c>
      <c r="F69" s="13">
        <f>SUM(E69)</f>
        <v>11</v>
      </c>
      <c r="G69" s="13">
        <v>42.28</v>
      </c>
      <c r="H69" s="89">
        <f t="shared" si="6"/>
        <v>0.46508000000000005</v>
      </c>
      <c r="I69" s="13">
        <f t="shared" si="7"/>
        <v>465.08000000000004</v>
      </c>
    </row>
    <row r="70" spans="1:21" ht="15.75" hidden="1" customHeight="1">
      <c r="A70" s="32"/>
      <c r="B70" s="14" t="s">
        <v>59</v>
      </c>
      <c r="C70" s="16" t="s">
        <v>60</v>
      </c>
      <c r="D70" s="14" t="s">
        <v>55</v>
      </c>
      <c r="E70" s="18">
        <v>8</v>
      </c>
      <c r="F70" s="77">
        <v>8</v>
      </c>
      <c r="G70" s="13">
        <v>49.88</v>
      </c>
      <c r="H70" s="89">
        <f t="shared" si="6"/>
        <v>0.39904000000000001</v>
      </c>
      <c r="I70" s="13">
        <f t="shared" si="7"/>
        <v>399.04</v>
      </c>
    </row>
    <row r="71" spans="1:21" ht="15.75" hidden="1" customHeight="1">
      <c r="A71" s="32"/>
      <c r="B71" s="62" t="s">
        <v>74</v>
      </c>
      <c r="C71" s="16"/>
      <c r="D71" s="14"/>
      <c r="E71" s="18"/>
      <c r="F71" s="13"/>
      <c r="G71" s="13"/>
      <c r="H71" s="89" t="s">
        <v>130</v>
      </c>
      <c r="I71" s="13"/>
    </row>
    <row r="72" spans="1:21" ht="15.75" hidden="1" customHeight="1">
      <c r="A72" s="32">
        <v>13</v>
      </c>
      <c r="B72" s="14" t="s">
        <v>75</v>
      </c>
      <c r="C72" s="16" t="s">
        <v>77</v>
      </c>
      <c r="D72" s="14"/>
      <c r="E72" s="18">
        <v>2</v>
      </c>
      <c r="F72" s="13">
        <v>0.2</v>
      </c>
      <c r="G72" s="13">
        <v>501.62</v>
      </c>
      <c r="H72" s="89">
        <f t="shared" si="6"/>
        <v>0.10032400000000001</v>
      </c>
      <c r="I72" s="13">
        <f>G72*0.1</f>
        <v>50.162000000000006</v>
      </c>
    </row>
    <row r="73" spans="1:21" ht="15.75" hidden="1" customHeight="1">
      <c r="A73" s="32"/>
      <c r="B73" s="14" t="s">
        <v>76</v>
      </c>
      <c r="C73" s="16" t="s">
        <v>31</v>
      </c>
      <c r="D73" s="14"/>
      <c r="E73" s="18">
        <v>1</v>
      </c>
      <c r="F73" s="66">
        <v>1</v>
      </c>
      <c r="G73" s="13">
        <v>852.99</v>
      </c>
      <c r="H73" s="89">
        <f>F73*G73/1000</f>
        <v>0.85299000000000003</v>
      </c>
      <c r="I73" s="13">
        <v>0</v>
      </c>
    </row>
    <row r="74" spans="1:21" ht="15.75" hidden="1" customHeight="1">
      <c r="A74" s="32"/>
      <c r="B74" s="14" t="s">
        <v>121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9">
        <f>G74*F74/1000</f>
        <v>0.35851</v>
      </c>
      <c r="I74" s="13">
        <v>0</v>
      </c>
    </row>
    <row r="75" spans="1:21" ht="15.75" hidden="1" customHeight="1">
      <c r="A75" s="32"/>
      <c r="B75" s="92" t="s">
        <v>78</v>
      </c>
      <c r="C75" s="16"/>
      <c r="D75" s="14"/>
      <c r="E75" s="18"/>
      <c r="F75" s="13"/>
      <c r="G75" s="13" t="s">
        <v>130</v>
      </c>
      <c r="H75" s="89" t="s">
        <v>130</v>
      </c>
      <c r="I75" s="13"/>
    </row>
    <row r="76" spans="1:21" ht="15.75" hidden="1" customHeight="1">
      <c r="A76" s="32"/>
      <c r="B76" s="46" t="s">
        <v>128</v>
      </c>
      <c r="C76" s="16" t="s">
        <v>79</v>
      </c>
      <c r="D76" s="14"/>
      <c r="E76" s="18"/>
      <c r="F76" s="13">
        <v>0.1</v>
      </c>
      <c r="G76" s="13">
        <v>2759.44</v>
      </c>
      <c r="H76" s="89">
        <f t="shared" si="6"/>
        <v>0.27594400000000002</v>
      </c>
      <c r="I76" s="13">
        <v>0</v>
      </c>
    </row>
    <row r="77" spans="1:21" ht="15.75" hidden="1" customHeight="1">
      <c r="A77" s="32"/>
      <c r="B77" s="104" t="s">
        <v>99</v>
      </c>
      <c r="C77" s="104"/>
      <c r="D77" s="104"/>
      <c r="E77" s="104"/>
      <c r="F77" s="104"/>
      <c r="G77" s="80"/>
      <c r="H77" s="93">
        <f>SUM(H57:H76)</f>
        <v>117.59572952000001</v>
      </c>
      <c r="I77" s="80"/>
    </row>
    <row r="78" spans="1:21" ht="15.75" hidden="1" customHeight="1">
      <c r="A78" s="32"/>
      <c r="B78" s="102" t="s">
        <v>120</v>
      </c>
      <c r="C78" s="23"/>
      <c r="D78" s="22"/>
      <c r="E78" s="67"/>
      <c r="F78" s="103">
        <v>1</v>
      </c>
      <c r="G78" s="13">
        <v>10966.5</v>
      </c>
      <c r="H78" s="89">
        <f>G78*F78/1000</f>
        <v>10.9665</v>
      </c>
      <c r="I78" s="13">
        <v>0</v>
      </c>
    </row>
    <row r="79" spans="1:21" ht="15.75" customHeight="1">
      <c r="A79" s="139" t="s">
        <v>149</v>
      </c>
      <c r="B79" s="140"/>
      <c r="C79" s="140"/>
      <c r="D79" s="140"/>
      <c r="E79" s="140"/>
      <c r="F79" s="140"/>
      <c r="G79" s="140"/>
      <c r="H79" s="140"/>
      <c r="I79" s="141"/>
    </row>
    <row r="80" spans="1:21" ht="15.75" customHeight="1">
      <c r="A80" s="32">
        <v>14</v>
      </c>
      <c r="B80" s="74" t="s">
        <v>122</v>
      </c>
      <c r="C80" s="16" t="s">
        <v>56</v>
      </c>
      <c r="D80" s="65" t="s">
        <v>57</v>
      </c>
      <c r="E80" s="13">
        <v>3382.7</v>
      </c>
      <c r="F80" s="13">
        <f>SUM(E80*12)</f>
        <v>40592.399999999994</v>
      </c>
      <c r="G80" s="13">
        <v>2.1</v>
      </c>
      <c r="H80" s="89">
        <f>SUM(F80*G80/1000)</f>
        <v>85.244039999999998</v>
      </c>
      <c r="I80" s="13">
        <f>F80/12*G80</f>
        <v>7103.6699999999992</v>
      </c>
    </row>
    <row r="81" spans="1:9" ht="31.5" customHeight="1">
      <c r="A81" s="32">
        <v>15</v>
      </c>
      <c r="B81" s="14" t="s">
        <v>80</v>
      </c>
      <c r="C81" s="16"/>
      <c r="D81" s="65" t="s">
        <v>57</v>
      </c>
      <c r="E81" s="76">
        <f>E80</f>
        <v>3382.7</v>
      </c>
      <c r="F81" s="13">
        <f>E81*12</f>
        <v>40592.399999999994</v>
      </c>
      <c r="G81" s="13">
        <v>1.63</v>
      </c>
      <c r="H81" s="89">
        <f>F81*G81/1000</f>
        <v>66.165611999999982</v>
      </c>
      <c r="I81" s="13">
        <f>F81/12*G81</f>
        <v>5513.8009999999986</v>
      </c>
    </row>
    <row r="82" spans="1:9" ht="15.75" customHeight="1">
      <c r="A82" s="32"/>
      <c r="B82" s="39" t="s">
        <v>83</v>
      </c>
      <c r="C82" s="92"/>
      <c r="D82" s="91"/>
      <c r="E82" s="80"/>
      <c r="F82" s="80"/>
      <c r="G82" s="80"/>
      <c r="H82" s="93">
        <f>H81</f>
        <v>66.165611999999982</v>
      </c>
      <c r="I82" s="80">
        <f>I16+I17+I18+I20+I21+I26+I27+I30+I31+I33+I34+I61+I63+I80+I81</f>
        <v>41466.516538088887</v>
      </c>
    </row>
    <row r="83" spans="1:9" ht="15.75" customHeight="1">
      <c r="A83" s="126" t="s">
        <v>62</v>
      </c>
      <c r="B83" s="127"/>
      <c r="C83" s="127"/>
      <c r="D83" s="127"/>
      <c r="E83" s="127"/>
      <c r="F83" s="127"/>
      <c r="G83" s="127"/>
      <c r="H83" s="127"/>
      <c r="I83" s="128"/>
    </row>
    <row r="84" spans="1:9" ht="15.75" customHeight="1">
      <c r="A84" s="32">
        <v>16</v>
      </c>
      <c r="B84" s="51" t="s">
        <v>133</v>
      </c>
      <c r="C84" s="73" t="s">
        <v>114</v>
      </c>
      <c r="D84" s="84"/>
      <c r="E84" s="85"/>
      <c r="F84" s="86">
        <v>732</v>
      </c>
      <c r="G84" s="95">
        <v>53.42</v>
      </c>
      <c r="H84" s="87">
        <f>SUM(F84*G84/1000)</f>
        <v>39.103439999999999</v>
      </c>
      <c r="I84" s="95">
        <f>G84*61</f>
        <v>3258.62</v>
      </c>
    </row>
    <row r="85" spans="1:9" ht="31.5" customHeight="1">
      <c r="A85" s="32">
        <v>17</v>
      </c>
      <c r="B85" s="51" t="s">
        <v>154</v>
      </c>
      <c r="C85" s="54" t="s">
        <v>143</v>
      </c>
      <c r="D85" s="109"/>
      <c r="E85" s="17"/>
      <c r="F85" s="110">
        <v>5</v>
      </c>
      <c r="G85" s="36">
        <v>589.84</v>
      </c>
      <c r="H85" s="108">
        <f t="shared" ref="H85:H86" si="8">SUM(F85*G85/1000)</f>
        <v>2.9492000000000003</v>
      </c>
      <c r="I85" s="95">
        <f>G85*(2+1)</f>
        <v>1769.52</v>
      </c>
    </row>
    <row r="86" spans="1:9" ht="15.75" customHeight="1">
      <c r="A86" s="32">
        <v>18</v>
      </c>
      <c r="B86" s="51" t="s">
        <v>161</v>
      </c>
      <c r="C86" s="54" t="s">
        <v>88</v>
      </c>
      <c r="D86" s="109"/>
      <c r="E86" s="17"/>
      <c r="F86" s="110">
        <v>2</v>
      </c>
      <c r="G86" s="36">
        <v>195.85</v>
      </c>
      <c r="H86" s="108">
        <f t="shared" si="8"/>
        <v>0.39169999999999999</v>
      </c>
      <c r="I86" s="95">
        <f>G86</f>
        <v>195.85</v>
      </c>
    </row>
    <row r="87" spans="1:9" ht="15.75" customHeight="1">
      <c r="A87" s="32">
        <v>19</v>
      </c>
      <c r="B87" s="51" t="s">
        <v>214</v>
      </c>
      <c r="C87" s="54" t="s">
        <v>165</v>
      </c>
      <c r="D87" s="124"/>
      <c r="E87" s="57"/>
      <c r="F87" s="57">
        <v>5</v>
      </c>
      <c r="G87" s="57">
        <v>206.54</v>
      </c>
      <c r="H87" s="108">
        <f t="shared" ref="H87:H89" si="9">SUM(F87*G87/1000)</f>
        <v>1.0327</v>
      </c>
      <c r="I87" s="95">
        <f>G87*(1+2+1)</f>
        <v>826.16</v>
      </c>
    </row>
    <row r="88" spans="1:9" ht="15.75" customHeight="1">
      <c r="A88" s="32">
        <v>20</v>
      </c>
      <c r="B88" s="51" t="s">
        <v>85</v>
      </c>
      <c r="C88" s="54" t="s">
        <v>114</v>
      </c>
      <c r="D88" s="38"/>
      <c r="E88" s="17"/>
      <c r="F88" s="36">
        <v>2</v>
      </c>
      <c r="G88" s="36">
        <v>189.88</v>
      </c>
      <c r="H88" s="108">
        <f t="shared" si="9"/>
        <v>0.37975999999999999</v>
      </c>
      <c r="I88" s="95">
        <f>G88</f>
        <v>189.88</v>
      </c>
    </row>
    <row r="89" spans="1:9" ht="31.5" customHeight="1">
      <c r="A89" s="32">
        <v>21</v>
      </c>
      <c r="B89" s="98" t="s">
        <v>215</v>
      </c>
      <c r="C89" s="32" t="s">
        <v>84</v>
      </c>
      <c r="D89" s="38"/>
      <c r="E89" s="17"/>
      <c r="F89" s="36">
        <v>0.5</v>
      </c>
      <c r="G89" s="13">
        <v>1187</v>
      </c>
      <c r="H89" s="108">
        <f t="shared" si="9"/>
        <v>0.59350000000000003</v>
      </c>
      <c r="I89" s="95">
        <f>G89*0.5</f>
        <v>593.5</v>
      </c>
    </row>
    <row r="90" spans="1:9" ht="31.5" customHeight="1">
      <c r="A90" s="32">
        <v>22</v>
      </c>
      <c r="B90" s="51" t="s">
        <v>216</v>
      </c>
      <c r="C90" s="54" t="s">
        <v>39</v>
      </c>
      <c r="D90" s="38"/>
      <c r="E90" s="17"/>
      <c r="F90" s="36">
        <v>7.0000000000000007E-2</v>
      </c>
      <c r="G90" s="36">
        <v>3581.13</v>
      </c>
      <c r="H90" s="108">
        <f>SUM(F90*G90/1000)</f>
        <v>0.25067910000000004</v>
      </c>
      <c r="I90" s="95">
        <f>G90*0.02</f>
        <v>71.622600000000006</v>
      </c>
    </row>
    <row r="91" spans="1:9" ht="15.75" customHeight="1">
      <c r="A91" s="32"/>
      <c r="B91" s="44" t="s">
        <v>52</v>
      </c>
      <c r="C91" s="40"/>
      <c r="D91" s="47"/>
      <c r="E91" s="40">
        <v>1</v>
      </c>
      <c r="F91" s="40"/>
      <c r="G91" s="40"/>
      <c r="H91" s="40"/>
      <c r="I91" s="34">
        <f>SUM(I84:I90)</f>
        <v>6905.1525999999994</v>
      </c>
    </row>
    <row r="92" spans="1:9" ht="15.75" customHeight="1">
      <c r="A92" s="32"/>
      <c r="B92" s="46" t="s">
        <v>81</v>
      </c>
      <c r="C92" s="15"/>
      <c r="D92" s="15"/>
      <c r="E92" s="41"/>
      <c r="F92" s="41"/>
      <c r="G92" s="42"/>
      <c r="H92" s="42"/>
      <c r="I92" s="17">
        <v>0</v>
      </c>
    </row>
    <row r="93" spans="1:9" ht="15.75" customHeight="1">
      <c r="A93" s="48"/>
      <c r="B93" s="45" t="s">
        <v>195</v>
      </c>
      <c r="C93" s="35"/>
      <c r="D93" s="35"/>
      <c r="E93" s="35"/>
      <c r="F93" s="35"/>
      <c r="G93" s="35"/>
      <c r="H93" s="35"/>
      <c r="I93" s="43">
        <f>I82+I91</f>
        <v>48371.669138088888</v>
      </c>
    </row>
    <row r="94" spans="1:9" ht="15.75" customHeight="1">
      <c r="A94" s="142" t="s">
        <v>227</v>
      </c>
      <c r="B94" s="142"/>
      <c r="C94" s="142"/>
      <c r="D94" s="142"/>
      <c r="E94" s="142"/>
      <c r="F94" s="142"/>
      <c r="G94" s="142"/>
      <c r="H94" s="142"/>
      <c r="I94" s="142"/>
    </row>
    <row r="95" spans="1:9" ht="15.75" customHeight="1">
      <c r="A95" s="64"/>
      <c r="B95" s="143" t="s">
        <v>228</v>
      </c>
      <c r="C95" s="143"/>
      <c r="D95" s="143"/>
      <c r="E95" s="143"/>
      <c r="F95" s="143"/>
      <c r="G95" s="143"/>
      <c r="H95" s="70"/>
      <c r="I95" s="3"/>
    </row>
    <row r="96" spans="1:9">
      <c r="A96" s="49"/>
      <c r="B96" s="144" t="s">
        <v>6</v>
      </c>
      <c r="C96" s="144"/>
      <c r="D96" s="144"/>
      <c r="E96" s="144"/>
      <c r="F96" s="144"/>
      <c r="G96" s="144"/>
      <c r="H96" s="27"/>
      <c r="I96" s="50"/>
    </row>
    <row r="97" spans="1:9" ht="15.75" customHeight="1">
      <c r="A97" s="56"/>
      <c r="B97" s="56"/>
      <c r="C97" s="56"/>
      <c r="D97" s="56"/>
      <c r="E97" s="56"/>
      <c r="F97" s="56"/>
      <c r="G97" s="56"/>
      <c r="H97" s="56"/>
      <c r="I97" s="56"/>
    </row>
    <row r="98" spans="1:9" ht="15.75" customHeight="1">
      <c r="A98" s="145" t="s">
        <v>7</v>
      </c>
      <c r="B98" s="145"/>
      <c r="C98" s="145"/>
      <c r="D98" s="145"/>
      <c r="E98" s="145"/>
      <c r="F98" s="145"/>
      <c r="G98" s="145"/>
      <c r="H98" s="145"/>
      <c r="I98" s="145"/>
    </row>
    <row r="99" spans="1:9" ht="15.75" customHeight="1">
      <c r="A99" s="145" t="s">
        <v>8</v>
      </c>
      <c r="B99" s="145"/>
      <c r="C99" s="145"/>
      <c r="D99" s="145"/>
      <c r="E99" s="145"/>
      <c r="F99" s="145"/>
      <c r="G99" s="145"/>
      <c r="H99" s="145"/>
      <c r="I99" s="145"/>
    </row>
    <row r="100" spans="1:9" ht="15.75" customHeight="1">
      <c r="A100" s="146" t="s">
        <v>63</v>
      </c>
      <c r="B100" s="146"/>
      <c r="C100" s="146"/>
      <c r="D100" s="146"/>
      <c r="E100" s="146"/>
      <c r="F100" s="146"/>
      <c r="G100" s="146"/>
      <c r="H100" s="146"/>
      <c r="I100" s="146"/>
    </row>
    <row r="101" spans="1:9" ht="15.75" customHeight="1">
      <c r="A101" s="11"/>
    </row>
    <row r="102" spans="1:9" ht="15.75" customHeight="1">
      <c r="A102" s="147" t="s">
        <v>9</v>
      </c>
      <c r="B102" s="147"/>
      <c r="C102" s="147"/>
      <c r="D102" s="147"/>
      <c r="E102" s="147"/>
      <c r="F102" s="147"/>
      <c r="G102" s="147"/>
      <c r="H102" s="147"/>
      <c r="I102" s="147"/>
    </row>
    <row r="103" spans="1:9" ht="15.75" customHeight="1">
      <c r="A103" s="4"/>
    </row>
    <row r="104" spans="1:9" ht="15.75" customHeight="1">
      <c r="B104" s="61" t="s">
        <v>10</v>
      </c>
      <c r="C104" s="148" t="s">
        <v>147</v>
      </c>
      <c r="D104" s="148"/>
      <c r="E104" s="148"/>
      <c r="F104" s="68"/>
      <c r="I104" s="59"/>
    </row>
    <row r="105" spans="1:9" ht="15.75" customHeight="1">
      <c r="A105" s="60"/>
      <c r="C105" s="144" t="s">
        <v>11</v>
      </c>
      <c r="D105" s="144"/>
      <c r="E105" s="144"/>
      <c r="F105" s="27"/>
      <c r="I105" s="58" t="s">
        <v>12</v>
      </c>
    </row>
    <row r="106" spans="1:9" ht="15.75" customHeight="1">
      <c r="A106" s="28"/>
      <c r="C106" s="12"/>
      <c r="D106" s="12"/>
      <c r="G106" s="12"/>
      <c r="H106" s="12"/>
    </row>
    <row r="107" spans="1:9" ht="15.75">
      <c r="B107" s="61" t="s">
        <v>13</v>
      </c>
      <c r="C107" s="149"/>
      <c r="D107" s="149"/>
      <c r="E107" s="149"/>
      <c r="F107" s="69"/>
      <c r="I107" s="59"/>
    </row>
    <row r="108" spans="1:9">
      <c r="A108" s="60"/>
      <c r="C108" s="138" t="s">
        <v>11</v>
      </c>
      <c r="D108" s="138"/>
      <c r="E108" s="138"/>
      <c r="F108" s="60"/>
      <c r="I108" s="58" t="s">
        <v>12</v>
      </c>
    </row>
    <row r="109" spans="1:9" ht="15.75" customHeight="1">
      <c r="A109" s="4" t="s">
        <v>14</v>
      </c>
    </row>
    <row r="110" spans="1:9" ht="15.75" customHeight="1">
      <c r="A110" s="150" t="s">
        <v>15</v>
      </c>
      <c r="B110" s="150"/>
      <c r="C110" s="150"/>
      <c r="D110" s="150"/>
      <c r="E110" s="150"/>
      <c r="F110" s="150"/>
      <c r="G110" s="150"/>
      <c r="H110" s="150"/>
      <c r="I110" s="150"/>
    </row>
    <row r="111" spans="1:9" ht="45" customHeight="1">
      <c r="A111" s="151" t="s">
        <v>16</v>
      </c>
      <c r="B111" s="151"/>
      <c r="C111" s="151"/>
      <c r="D111" s="151"/>
      <c r="E111" s="151"/>
      <c r="F111" s="151"/>
      <c r="G111" s="151"/>
      <c r="H111" s="151"/>
      <c r="I111" s="151"/>
    </row>
    <row r="112" spans="1:9" ht="30" customHeight="1">
      <c r="A112" s="151" t="s">
        <v>17</v>
      </c>
      <c r="B112" s="151"/>
      <c r="C112" s="151"/>
      <c r="D112" s="151"/>
      <c r="E112" s="151"/>
      <c r="F112" s="151"/>
      <c r="G112" s="151"/>
      <c r="H112" s="151"/>
      <c r="I112" s="151"/>
    </row>
    <row r="113" spans="1:9" ht="30" customHeight="1">
      <c r="A113" s="151" t="s">
        <v>21</v>
      </c>
      <c r="B113" s="151"/>
      <c r="C113" s="151"/>
      <c r="D113" s="151"/>
      <c r="E113" s="151"/>
      <c r="F113" s="151"/>
      <c r="G113" s="151"/>
      <c r="H113" s="151"/>
      <c r="I113" s="151"/>
    </row>
    <row r="114" spans="1:9" ht="15" customHeight="1">
      <c r="A114" s="151" t="s">
        <v>20</v>
      </c>
      <c r="B114" s="151"/>
      <c r="C114" s="151"/>
      <c r="D114" s="151"/>
      <c r="E114" s="151"/>
      <c r="F114" s="151"/>
      <c r="G114" s="151"/>
      <c r="H114" s="151"/>
      <c r="I114" s="151"/>
    </row>
  </sheetData>
  <autoFilter ref="I12:I61"/>
  <mergeCells count="29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8:I28"/>
    <mergeCell ref="A44:I44"/>
    <mergeCell ref="A55:I55"/>
    <mergeCell ref="A94:I94"/>
    <mergeCell ref="B95:G95"/>
    <mergeCell ref="B96:G96"/>
    <mergeCell ref="A98:I98"/>
    <mergeCell ref="A99:I99"/>
    <mergeCell ref="A83:I83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182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217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3">
        <v>42947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hidden="1" customHeight="1">
      <c r="A19" s="32"/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5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6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7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15.75" customHeight="1">
      <c r="A30" s="32">
        <v>8</v>
      </c>
      <c r="B30" s="74" t="s">
        <v>112</v>
      </c>
      <c r="C30" s="75" t="s">
        <v>95</v>
      </c>
      <c r="D30" s="74" t="s">
        <v>207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1">SUM(F30*G30/1000)</f>
        <v>5.4076993880000011</v>
      </c>
      <c r="I30" s="13">
        <f t="shared" ref="I30:I34" si="2">F30/6*G30</f>
        <v>901.28323133333345</v>
      </c>
      <c r="J30" s="25"/>
      <c r="K30" s="8"/>
      <c r="L30" s="8"/>
      <c r="M30" s="8"/>
    </row>
    <row r="31" spans="1:13" ht="31.5" customHeight="1">
      <c r="A31" s="32">
        <v>9</v>
      </c>
      <c r="B31" s="74" t="s">
        <v>126</v>
      </c>
      <c r="C31" s="75" t="s">
        <v>95</v>
      </c>
      <c r="D31" s="74" t="s">
        <v>208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1"/>
        <v>9.2288080872000009</v>
      </c>
      <c r="I31" s="13">
        <f t="shared" si="2"/>
        <v>1538.1346812000002</v>
      </c>
      <c r="J31" s="25"/>
      <c r="K31" s="8"/>
      <c r="L31" s="8"/>
      <c r="M31" s="8"/>
    </row>
    <row r="32" spans="1:13" ht="15.75" hidden="1" customHeight="1">
      <c r="A32" s="32"/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1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customHeight="1">
      <c r="A33" s="32">
        <v>10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2"/>
        <v>336.35516666666672</v>
      </c>
      <c r="J33" s="25"/>
      <c r="K33" s="8"/>
      <c r="L33" s="8"/>
      <c r="M33" s="8"/>
    </row>
    <row r="34" spans="1:14" ht="15.75" customHeight="1">
      <c r="A34" s="32">
        <v>11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1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1"/>
        <v>2.2726599999999997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hidden="1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3">SUM(F38*G38/1000)</f>
        <v>15.272200000000002</v>
      </c>
      <c r="I38" s="13">
        <f t="shared" ref="I38:I43" si="4">F38/6*G38</f>
        <v>2545.3666666666668</v>
      </c>
      <c r="J38" s="26"/>
    </row>
    <row r="39" spans="1:14" ht="15.75" hidden="1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3"/>
        <v>19.238955416</v>
      </c>
      <c r="I39" s="13">
        <f t="shared" si="4"/>
        <v>3206.492569333333</v>
      </c>
      <c r="J39" s="26"/>
      <c r="L39" s="19"/>
      <c r="M39" s="20"/>
      <c r="N39" s="21"/>
    </row>
    <row r="40" spans="1:14" ht="15.75" hidden="1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3"/>
        <v>5.8367605999999999</v>
      </c>
      <c r="I40" s="13">
        <f t="shared" si="4"/>
        <v>972.79343333333316</v>
      </c>
      <c r="J40" s="26"/>
      <c r="L40" s="19"/>
      <c r="M40" s="20"/>
      <c r="N40" s="21"/>
    </row>
    <row r="41" spans="1:14" ht="48" hidden="1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3"/>
        <v>6.9639359999999995</v>
      </c>
      <c r="I41" s="13">
        <f t="shared" si="4"/>
        <v>1160.6559999999999</v>
      </c>
      <c r="J41" s="26"/>
      <c r="L41" s="19"/>
      <c r="M41" s="20"/>
      <c r="N41" s="21"/>
    </row>
    <row r="42" spans="1:14" ht="15.75" hidden="1" customHeight="1">
      <c r="A42" s="32">
        <v>12</v>
      </c>
      <c r="B42" s="74" t="s">
        <v>96</v>
      </c>
      <c r="C42" s="75" t="s">
        <v>95</v>
      </c>
      <c r="D42" s="74" t="s">
        <v>71</v>
      </c>
      <c r="E42" s="77">
        <v>123.36</v>
      </c>
      <c r="F42" s="77">
        <f>SUM(E42*45/1000)</f>
        <v>5.5511999999999997</v>
      </c>
      <c r="G42" s="77">
        <v>428.7</v>
      </c>
      <c r="H42" s="78">
        <f t="shared" si="3"/>
        <v>2.3797994399999998</v>
      </c>
      <c r="I42" s="13">
        <f t="shared" si="4"/>
        <v>396.63323999999994</v>
      </c>
      <c r="J42" s="26"/>
      <c r="L42" s="19"/>
      <c r="M42" s="20"/>
      <c r="N42" s="21"/>
    </row>
    <row r="43" spans="1:14" ht="15.75" hidden="1" customHeight="1">
      <c r="A43" s="32">
        <v>13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3"/>
        <v>0.71820000000000006</v>
      </c>
      <c r="I43" s="13">
        <f t="shared" si="4"/>
        <v>119.69999999999999</v>
      </c>
      <c r="J43" s="26"/>
      <c r="L43" s="19"/>
      <c r="M43" s="20"/>
      <c r="N43" s="21"/>
    </row>
    <row r="44" spans="1:14" ht="15.75" hidden="1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hidden="1" customHeight="1">
      <c r="A45" s="32"/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5"/>
        <v>2.44182897</v>
      </c>
      <c r="I49" s="13">
        <v>0</v>
      </c>
      <c r="J49" s="26"/>
      <c r="L49" s="19"/>
      <c r="M49" s="20"/>
      <c r="N49" s="21"/>
    </row>
    <row r="50" spans="1:22" ht="15.75" hidden="1" customHeight="1">
      <c r="A50" s="32">
        <v>14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5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hidden="1" customHeight="1">
      <c r="A51" s="32"/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5"/>
        <v>4.65129444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5"/>
        <v>1.0921959999999999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5"/>
        <v>0.11304260000000001</v>
      </c>
      <c r="I53" s="13">
        <v>0</v>
      </c>
      <c r="J53" s="26"/>
      <c r="L53" s="19"/>
      <c r="M53" s="20"/>
      <c r="N53" s="21"/>
    </row>
    <row r="54" spans="1:22" ht="15.75" hidden="1" customHeight="1">
      <c r="A54" s="32">
        <v>15</v>
      </c>
      <c r="B54" s="74" t="s">
        <v>42</v>
      </c>
      <c r="C54" s="75" t="s">
        <v>114</v>
      </c>
      <c r="D54" s="74" t="s">
        <v>73</v>
      </c>
      <c r="E54" s="76">
        <v>120</v>
      </c>
      <c r="F54" s="77">
        <f>SUM(E54)*3</f>
        <v>360</v>
      </c>
      <c r="G54" s="13">
        <v>65.67</v>
      </c>
      <c r="H54" s="78">
        <f t="shared" si="5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135" t="s">
        <v>148</v>
      </c>
      <c r="B55" s="136"/>
      <c r="C55" s="136"/>
      <c r="D55" s="136"/>
      <c r="E55" s="136"/>
      <c r="F55" s="136"/>
      <c r="G55" s="136"/>
      <c r="H55" s="136"/>
      <c r="I55" s="137"/>
      <c r="J55" s="26"/>
      <c r="L55" s="19"/>
      <c r="M55" s="20"/>
      <c r="N55" s="21"/>
    </row>
    <row r="56" spans="1:22" ht="15.75" hidden="1" customHeight="1">
      <c r="A56" s="32"/>
      <c r="B56" s="100" t="s">
        <v>44</v>
      </c>
      <c r="C56" s="75"/>
      <c r="D56" s="74"/>
      <c r="E56" s="76"/>
      <c r="F56" s="77"/>
      <c r="G56" s="77"/>
      <c r="H56" s="78"/>
      <c r="I56" s="13"/>
      <c r="J56" s="26"/>
      <c r="L56" s="19"/>
      <c r="M56" s="20"/>
      <c r="N56" s="21"/>
    </row>
    <row r="57" spans="1:22" ht="31.5" hidden="1" customHeight="1">
      <c r="A57" s="32">
        <v>16</v>
      </c>
      <c r="B57" s="74" t="s">
        <v>129</v>
      </c>
      <c r="C57" s="75" t="s">
        <v>93</v>
      </c>
      <c r="D57" s="74" t="s">
        <v>115</v>
      </c>
      <c r="E57" s="76">
        <v>131.77500000000001</v>
      </c>
      <c r="F57" s="77">
        <f>SUM(E57*6/100)</f>
        <v>7.9065000000000012</v>
      </c>
      <c r="G57" s="13">
        <v>1547.28</v>
      </c>
      <c r="H57" s="78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101" t="s">
        <v>45</v>
      </c>
      <c r="C58" s="83"/>
      <c r="D58" s="84"/>
      <c r="E58" s="85"/>
      <c r="F58" s="87"/>
      <c r="G58" s="13"/>
      <c r="H58" s="88"/>
      <c r="I58" s="13"/>
      <c r="J58" s="26"/>
      <c r="L58" s="19"/>
      <c r="M58" s="20"/>
      <c r="N58" s="21"/>
    </row>
    <row r="59" spans="1:22" ht="15.75" hidden="1" customHeight="1">
      <c r="A59" s="32"/>
      <c r="B59" s="84" t="s">
        <v>138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84" t="s">
        <v>139</v>
      </c>
      <c r="C60" s="83" t="s">
        <v>54</v>
      </c>
      <c r="D60" s="84" t="s">
        <v>55</v>
      </c>
      <c r="E60" s="85">
        <v>890</v>
      </c>
      <c r="F60" s="87">
        <v>8.9</v>
      </c>
      <c r="G60" s="13">
        <v>793.61</v>
      </c>
      <c r="H60" s="88">
        <f>F60*G60/1000</f>
        <v>7.0631290000000009</v>
      </c>
      <c r="I60" s="13">
        <v>0</v>
      </c>
    </row>
    <row r="61" spans="1:22" ht="15.75" customHeight="1">
      <c r="A61" s="32">
        <v>12</v>
      </c>
      <c r="B61" s="84" t="s">
        <v>127</v>
      </c>
      <c r="C61" s="83" t="s">
        <v>25</v>
      </c>
      <c r="D61" s="84" t="s">
        <v>30</v>
      </c>
      <c r="E61" s="85">
        <v>158.19999999999999</v>
      </c>
      <c r="F61" s="87">
        <f>E61*12</f>
        <v>1898.3999999999999</v>
      </c>
      <c r="G61" s="94">
        <v>2.6</v>
      </c>
      <c r="H61" s="88">
        <f>F61*G61/1000</f>
        <v>4.9358399999999998</v>
      </c>
      <c r="I61" s="13">
        <f>F61/12*G61</f>
        <v>411.32</v>
      </c>
    </row>
    <row r="62" spans="1:22" ht="15.75" customHeight="1">
      <c r="A62" s="32"/>
      <c r="B62" s="101" t="s">
        <v>46</v>
      </c>
      <c r="C62" s="83"/>
      <c r="D62" s="84"/>
      <c r="E62" s="85"/>
      <c r="F62" s="86"/>
      <c r="G62" s="86"/>
      <c r="H62" s="87" t="s">
        <v>130</v>
      </c>
      <c r="I62" s="13"/>
    </row>
    <row r="63" spans="1:22" ht="15.75" customHeight="1">
      <c r="A63" s="32">
        <v>13</v>
      </c>
      <c r="B63" s="14" t="s">
        <v>47</v>
      </c>
      <c r="C63" s="16" t="s">
        <v>114</v>
      </c>
      <c r="D63" s="14" t="s">
        <v>69</v>
      </c>
      <c r="E63" s="18">
        <v>15</v>
      </c>
      <c r="F63" s="77">
        <v>15</v>
      </c>
      <c r="G63" s="13">
        <v>222.4</v>
      </c>
      <c r="H63" s="89">
        <f t="shared" ref="H63:H76" si="6">SUM(F63*G63/1000)</f>
        <v>3.3359999999999999</v>
      </c>
      <c r="I63" s="13">
        <f>G63*6</f>
        <v>1334.4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114</v>
      </c>
      <c r="D64" s="14" t="s">
        <v>151</v>
      </c>
      <c r="E64" s="18">
        <v>8</v>
      </c>
      <c r="F64" s="77">
        <v>8</v>
      </c>
      <c r="G64" s="13">
        <v>76.25</v>
      </c>
      <c r="H64" s="89">
        <f t="shared" si="6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116</v>
      </c>
      <c r="D65" s="14" t="s">
        <v>55</v>
      </c>
      <c r="E65" s="76">
        <v>14220</v>
      </c>
      <c r="F65" s="13">
        <f>SUM(E65/100)</f>
        <v>142.19999999999999</v>
      </c>
      <c r="G65" s="13">
        <v>212.15</v>
      </c>
      <c r="H65" s="89">
        <f t="shared" si="6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117</v>
      </c>
      <c r="D66" s="14"/>
      <c r="E66" s="76">
        <v>14220</v>
      </c>
      <c r="F66" s="13">
        <f>SUM(E66/1000)</f>
        <v>14.22</v>
      </c>
      <c r="G66" s="13">
        <v>165.21</v>
      </c>
      <c r="H66" s="89">
        <f t="shared" si="6"/>
        <v>2.3492861999999999</v>
      </c>
      <c r="I66" s="13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8"/>
      <c r="S66" s="138"/>
      <c r="T66" s="138"/>
      <c r="U66" s="138"/>
    </row>
    <row r="67" spans="1:21" ht="15.75" hidden="1" customHeight="1">
      <c r="A67" s="32"/>
      <c r="B67" s="14" t="s">
        <v>51</v>
      </c>
      <c r="C67" s="16" t="s">
        <v>79</v>
      </c>
      <c r="D67" s="14" t="s">
        <v>55</v>
      </c>
      <c r="E67" s="76">
        <v>2260</v>
      </c>
      <c r="F67" s="13">
        <f>SUM(E67/100)</f>
        <v>22.6</v>
      </c>
      <c r="G67" s="13">
        <v>2074.63</v>
      </c>
      <c r="H67" s="89">
        <f t="shared" si="6"/>
        <v>46.886638000000005</v>
      </c>
      <c r="I67" s="13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90" t="s">
        <v>118</v>
      </c>
      <c r="C68" s="16" t="s">
        <v>33</v>
      </c>
      <c r="D68" s="14"/>
      <c r="E68" s="76">
        <v>11</v>
      </c>
      <c r="F68" s="13">
        <f>SUM(E68)</f>
        <v>11</v>
      </c>
      <c r="G68" s="13">
        <v>45.32</v>
      </c>
      <c r="H68" s="89">
        <f t="shared" si="6"/>
        <v>0.49851999999999996</v>
      </c>
      <c r="I68" s="13">
        <f t="shared" si="7"/>
        <v>498.52</v>
      </c>
    </row>
    <row r="69" spans="1:21" ht="15.75" hidden="1" customHeight="1">
      <c r="A69" s="32"/>
      <c r="B69" s="90" t="s">
        <v>119</v>
      </c>
      <c r="C69" s="16" t="s">
        <v>33</v>
      </c>
      <c r="D69" s="14"/>
      <c r="E69" s="76">
        <v>11</v>
      </c>
      <c r="F69" s="13">
        <f>SUM(E69)</f>
        <v>11</v>
      </c>
      <c r="G69" s="13">
        <v>42.28</v>
      </c>
      <c r="H69" s="89">
        <f t="shared" si="6"/>
        <v>0.46508000000000005</v>
      </c>
      <c r="I69" s="13">
        <f t="shared" si="7"/>
        <v>465.08000000000004</v>
      </c>
    </row>
    <row r="70" spans="1:21" ht="15.75" hidden="1" customHeight="1">
      <c r="A70" s="32"/>
      <c r="B70" s="14" t="s">
        <v>59</v>
      </c>
      <c r="C70" s="16" t="s">
        <v>60</v>
      </c>
      <c r="D70" s="14" t="s">
        <v>55</v>
      </c>
      <c r="E70" s="18">
        <v>8</v>
      </c>
      <c r="F70" s="77">
        <v>8</v>
      </c>
      <c r="G70" s="13">
        <v>49.88</v>
      </c>
      <c r="H70" s="89">
        <f t="shared" si="6"/>
        <v>0.39904000000000001</v>
      </c>
      <c r="I70" s="13">
        <f t="shared" si="7"/>
        <v>399.04</v>
      </c>
    </row>
    <row r="71" spans="1:21" ht="15.75" hidden="1" customHeight="1">
      <c r="A71" s="32"/>
      <c r="B71" s="62" t="s">
        <v>74</v>
      </c>
      <c r="C71" s="16"/>
      <c r="D71" s="14"/>
      <c r="E71" s="18"/>
      <c r="F71" s="13"/>
      <c r="G71" s="13"/>
      <c r="H71" s="89" t="s">
        <v>130</v>
      </c>
      <c r="I71" s="13"/>
    </row>
    <row r="72" spans="1:21" ht="15.75" hidden="1" customHeight="1">
      <c r="A72" s="32"/>
      <c r="B72" s="14" t="s">
        <v>75</v>
      </c>
      <c r="C72" s="16" t="s">
        <v>77</v>
      </c>
      <c r="D72" s="14"/>
      <c r="E72" s="18">
        <v>2</v>
      </c>
      <c r="F72" s="13">
        <v>0.2</v>
      </c>
      <c r="G72" s="13">
        <v>501.62</v>
      </c>
      <c r="H72" s="89">
        <f t="shared" si="6"/>
        <v>0.10032400000000001</v>
      </c>
      <c r="I72" s="13">
        <v>0</v>
      </c>
    </row>
    <row r="73" spans="1:21" ht="15.75" hidden="1" customHeight="1">
      <c r="A73" s="32"/>
      <c r="B73" s="14" t="s">
        <v>76</v>
      </c>
      <c r="C73" s="16" t="s">
        <v>31</v>
      </c>
      <c r="D73" s="14"/>
      <c r="E73" s="18">
        <v>1</v>
      </c>
      <c r="F73" s="66">
        <v>1</v>
      </c>
      <c r="G73" s="13">
        <v>852.99</v>
      </c>
      <c r="H73" s="89">
        <f>F73*G73/1000</f>
        <v>0.85299000000000003</v>
      </c>
      <c r="I73" s="13">
        <v>0</v>
      </c>
    </row>
    <row r="74" spans="1:21" ht="15.75" hidden="1" customHeight="1">
      <c r="A74" s="32"/>
      <c r="B74" s="14" t="s">
        <v>121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9">
        <f>G74*F74/1000</f>
        <v>0.35851</v>
      </c>
      <c r="I74" s="13">
        <v>0</v>
      </c>
    </row>
    <row r="75" spans="1:21" ht="15.75" hidden="1" customHeight="1">
      <c r="A75" s="32"/>
      <c r="B75" s="92" t="s">
        <v>78</v>
      </c>
      <c r="C75" s="16"/>
      <c r="D75" s="14"/>
      <c r="E75" s="18"/>
      <c r="F75" s="13"/>
      <c r="G75" s="13" t="s">
        <v>130</v>
      </c>
      <c r="H75" s="89" t="s">
        <v>130</v>
      </c>
      <c r="I75" s="13"/>
    </row>
    <row r="76" spans="1:21" ht="15.75" hidden="1" customHeight="1">
      <c r="A76" s="32"/>
      <c r="B76" s="46" t="s">
        <v>128</v>
      </c>
      <c r="C76" s="16" t="s">
        <v>79</v>
      </c>
      <c r="D76" s="14"/>
      <c r="E76" s="18"/>
      <c r="F76" s="13">
        <v>0.1</v>
      </c>
      <c r="G76" s="13">
        <v>2759.44</v>
      </c>
      <c r="H76" s="89">
        <f t="shared" si="6"/>
        <v>0.27594400000000002</v>
      </c>
      <c r="I76" s="13">
        <v>0</v>
      </c>
    </row>
    <row r="77" spans="1:21" ht="15.75" hidden="1" customHeight="1">
      <c r="A77" s="32"/>
      <c r="B77" s="104" t="s">
        <v>99</v>
      </c>
      <c r="C77" s="104"/>
      <c r="D77" s="104"/>
      <c r="E77" s="104"/>
      <c r="F77" s="104"/>
      <c r="G77" s="80"/>
      <c r="H77" s="93">
        <f>SUM(H57:H76)</f>
        <v>117.59572952000001</v>
      </c>
      <c r="I77" s="80"/>
    </row>
    <row r="78" spans="1:21" ht="15.75" hidden="1" customHeight="1">
      <c r="A78" s="32"/>
      <c r="B78" s="102" t="s">
        <v>120</v>
      </c>
      <c r="C78" s="23"/>
      <c r="D78" s="22"/>
      <c r="E78" s="67"/>
      <c r="F78" s="103">
        <v>1</v>
      </c>
      <c r="G78" s="13">
        <v>10966.5</v>
      </c>
      <c r="H78" s="89">
        <f>G78*F78/1000</f>
        <v>10.9665</v>
      </c>
      <c r="I78" s="13">
        <v>0</v>
      </c>
    </row>
    <row r="79" spans="1:21" ht="15.75" customHeight="1">
      <c r="A79" s="139" t="s">
        <v>149</v>
      </c>
      <c r="B79" s="140"/>
      <c r="C79" s="140"/>
      <c r="D79" s="140"/>
      <c r="E79" s="140"/>
      <c r="F79" s="140"/>
      <c r="G79" s="140"/>
      <c r="H79" s="140"/>
      <c r="I79" s="141"/>
    </row>
    <row r="80" spans="1:21" ht="15.75" customHeight="1">
      <c r="A80" s="32">
        <v>14</v>
      </c>
      <c r="B80" s="74" t="s">
        <v>122</v>
      </c>
      <c r="C80" s="16" t="s">
        <v>56</v>
      </c>
      <c r="D80" s="65" t="s">
        <v>57</v>
      </c>
      <c r="E80" s="13">
        <v>3382.7</v>
      </c>
      <c r="F80" s="13">
        <f>SUM(E80*12)</f>
        <v>40592.399999999994</v>
      </c>
      <c r="G80" s="13">
        <v>2.1</v>
      </c>
      <c r="H80" s="89">
        <f>SUM(F80*G80/1000)</f>
        <v>85.244039999999998</v>
      </c>
      <c r="I80" s="13">
        <f>F80/12*G80</f>
        <v>7103.6699999999992</v>
      </c>
    </row>
    <row r="81" spans="1:9" ht="31.5" customHeight="1">
      <c r="A81" s="32">
        <v>15</v>
      </c>
      <c r="B81" s="14" t="s">
        <v>80</v>
      </c>
      <c r="C81" s="16"/>
      <c r="D81" s="65" t="s">
        <v>57</v>
      </c>
      <c r="E81" s="76">
        <f>E80</f>
        <v>3382.7</v>
      </c>
      <c r="F81" s="13">
        <f>E81*12</f>
        <v>40592.399999999994</v>
      </c>
      <c r="G81" s="13">
        <v>1.63</v>
      </c>
      <c r="H81" s="89">
        <f>F81*G81/1000</f>
        <v>66.165611999999982</v>
      </c>
      <c r="I81" s="13">
        <f>F81/12*G81</f>
        <v>5513.8009999999986</v>
      </c>
    </row>
    <row r="82" spans="1:9" ht="15.75" customHeight="1">
      <c r="A82" s="32"/>
      <c r="B82" s="39" t="s">
        <v>83</v>
      </c>
      <c r="C82" s="92"/>
      <c r="D82" s="91"/>
      <c r="E82" s="80"/>
      <c r="F82" s="80"/>
      <c r="G82" s="80"/>
      <c r="H82" s="93">
        <f>H81</f>
        <v>66.165611999999982</v>
      </c>
      <c r="I82" s="80">
        <f>I16+I17+I18+I20+I21+I26+I27+I30+I31+I33+I34+I61+I63+I80+I81</f>
        <v>41911.31653808889</v>
      </c>
    </row>
    <row r="83" spans="1:9" ht="15.75" customHeight="1">
      <c r="A83" s="126" t="s">
        <v>62</v>
      </c>
      <c r="B83" s="127"/>
      <c r="C83" s="127"/>
      <c r="D83" s="127"/>
      <c r="E83" s="127"/>
      <c r="F83" s="127"/>
      <c r="G83" s="127"/>
      <c r="H83" s="127"/>
      <c r="I83" s="128"/>
    </row>
    <row r="84" spans="1:9" ht="15.75" customHeight="1">
      <c r="A84" s="32">
        <v>16</v>
      </c>
      <c r="B84" s="51" t="s">
        <v>133</v>
      </c>
      <c r="C84" s="73" t="s">
        <v>114</v>
      </c>
      <c r="D84" s="84"/>
      <c r="E84" s="85"/>
      <c r="F84" s="86">
        <v>732</v>
      </c>
      <c r="G84" s="95">
        <v>53.42</v>
      </c>
      <c r="H84" s="87">
        <f>SUM(F84*G84/1000)</f>
        <v>39.103439999999999</v>
      </c>
      <c r="I84" s="95">
        <f>G84*61</f>
        <v>3258.62</v>
      </c>
    </row>
    <row r="85" spans="1:9" ht="31.5" customHeight="1">
      <c r="A85" s="32">
        <v>17</v>
      </c>
      <c r="B85" s="51" t="s">
        <v>154</v>
      </c>
      <c r="C85" s="54" t="s">
        <v>143</v>
      </c>
      <c r="D85" s="109"/>
      <c r="E85" s="17"/>
      <c r="F85" s="110">
        <v>5</v>
      </c>
      <c r="G85" s="36">
        <v>589.84</v>
      </c>
      <c r="H85" s="108">
        <f t="shared" ref="H85:H88" si="8">SUM(F85*G85/1000)</f>
        <v>2.9492000000000003</v>
      </c>
      <c r="I85" s="95">
        <f>G85</f>
        <v>589.84</v>
      </c>
    </row>
    <row r="86" spans="1:9" ht="31.5" customHeight="1">
      <c r="A86" s="32">
        <v>18</v>
      </c>
      <c r="B86" s="51" t="s">
        <v>82</v>
      </c>
      <c r="C86" s="54" t="s">
        <v>31</v>
      </c>
      <c r="D86" s="109"/>
      <c r="E86" s="17"/>
      <c r="F86" s="110">
        <v>4</v>
      </c>
      <c r="G86" s="36">
        <v>83.36</v>
      </c>
      <c r="H86" s="108">
        <f t="shared" si="8"/>
        <v>0.33344000000000001</v>
      </c>
      <c r="I86" s="13">
        <f>G86</f>
        <v>83.36</v>
      </c>
    </row>
    <row r="87" spans="1:9" ht="15.75" customHeight="1">
      <c r="A87" s="32">
        <v>19</v>
      </c>
      <c r="B87" s="98" t="s">
        <v>198</v>
      </c>
      <c r="C87" s="32" t="s">
        <v>101</v>
      </c>
      <c r="D87" s="109"/>
      <c r="E87" s="17"/>
      <c r="F87" s="110">
        <f>1.22/10</f>
        <v>0.122</v>
      </c>
      <c r="G87" s="36">
        <v>29021.3</v>
      </c>
      <c r="H87" s="108">
        <f t="shared" si="8"/>
        <v>3.5405985999999996</v>
      </c>
      <c r="I87" s="95">
        <f>G87*(0.5/10)</f>
        <v>1451.0650000000001</v>
      </c>
    </row>
    <row r="88" spans="1:9" ht="15.75" customHeight="1">
      <c r="A88" s="32">
        <v>20</v>
      </c>
      <c r="B88" s="51" t="s">
        <v>161</v>
      </c>
      <c r="C88" s="54" t="s">
        <v>88</v>
      </c>
      <c r="D88" s="109"/>
      <c r="E88" s="17"/>
      <c r="F88" s="110">
        <v>2</v>
      </c>
      <c r="G88" s="36">
        <v>195.85</v>
      </c>
      <c r="H88" s="108">
        <f t="shared" si="8"/>
        <v>0.39169999999999999</v>
      </c>
      <c r="I88" s="95">
        <f>G88</f>
        <v>195.85</v>
      </c>
    </row>
    <row r="89" spans="1:9" ht="15.75" customHeight="1">
      <c r="A89" s="32">
        <v>21</v>
      </c>
      <c r="B89" s="51" t="s">
        <v>214</v>
      </c>
      <c r="C89" s="54" t="s">
        <v>165</v>
      </c>
      <c r="D89" s="124"/>
      <c r="E89" s="57"/>
      <c r="F89" s="57">
        <v>5</v>
      </c>
      <c r="G89" s="57">
        <v>206.54</v>
      </c>
      <c r="H89" s="108">
        <f t="shared" ref="H89:H90" si="9">SUM(F89*G89/1000)</f>
        <v>1.0327</v>
      </c>
      <c r="I89" s="95">
        <f t="shared" ref="I89:I90" si="10">G89</f>
        <v>206.54</v>
      </c>
    </row>
    <row r="90" spans="1:9" ht="15.75" customHeight="1">
      <c r="A90" s="32">
        <v>22</v>
      </c>
      <c r="B90" s="51" t="s">
        <v>85</v>
      </c>
      <c r="C90" s="54" t="s">
        <v>114</v>
      </c>
      <c r="D90" s="38"/>
      <c r="E90" s="17"/>
      <c r="F90" s="36">
        <v>2</v>
      </c>
      <c r="G90" s="36">
        <v>189.88</v>
      </c>
      <c r="H90" s="108">
        <f t="shared" si="9"/>
        <v>0.37975999999999999</v>
      </c>
      <c r="I90" s="95">
        <f t="shared" si="10"/>
        <v>189.88</v>
      </c>
    </row>
    <row r="91" spans="1:9" ht="31.5" customHeight="1">
      <c r="A91" s="32">
        <v>23</v>
      </c>
      <c r="B91" s="51" t="s">
        <v>216</v>
      </c>
      <c r="C91" s="54" t="s">
        <v>39</v>
      </c>
      <c r="D91" s="38"/>
      <c r="E91" s="17"/>
      <c r="F91" s="36">
        <v>7.0000000000000007E-2</v>
      </c>
      <c r="G91" s="36">
        <v>3581.13</v>
      </c>
      <c r="H91" s="108">
        <f>SUM(F91*G91/1000)</f>
        <v>0.25067910000000004</v>
      </c>
      <c r="I91" s="95">
        <f>G91*0.03</f>
        <v>107.43389999999999</v>
      </c>
    </row>
    <row r="92" spans="1:9" ht="15.75" customHeight="1">
      <c r="A92" s="32">
        <v>24</v>
      </c>
      <c r="B92" s="52" t="s">
        <v>218</v>
      </c>
      <c r="C92" s="120" t="s">
        <v>219</v>
      </c>
      <c r="D92" s="112"/>
      <c r="E92" s="113"/>
      <c r="F92" s="57">
        <v>1</v>
      </c>
      <c r="G92" s="95">
        <v>898.56</v>
      </c>
      <c r="H92" s="108">
        <f t="shared" ref="H92:H93" si="11">SUM(F92*G92/1000)</f>
        <v>0.89855999999999991</v>
      </c>
      <c r="I92" s="95">
        <f>G92</f>
        <v>898.56</v>
      </c>
    </row>
    <row r="93" spans="1:9" ht="31.5" customHeight="1">
      <c r="A93" s="32">
        <v>25</v>
      </c>
      <c r="B93" s="52" t="s">
        <v>220</v>
      </c>
      <c r="C93" s="120" t="s">
        <v>132</v>
      </c>
      <c r="D93" s="112"/>
      <c r="E93" s="113"/>
      <c r="F93" s="57">
        <f>0.5/10</f>
        <v>0.05</v>
      </c>
      <c r="G93" s="95">
        <v>9833.11</v>
      </c>
      <c r="H93" s="108">
        <f t="shared" si="11"/>
        <v>0.49165550000000008</v>
      </c>
      <c r="I93" s="95">
        <f>G93*(0.5/10)</f>
        <v>491.65550000000007</v>
      </c>
    </row>
    <row r="94" spans="1:9" ht="15.75" customHeight="1">
      <c r="A94" s="32"/>
      <c r="B94" s="44" t="s">
        <v>52</v>
      </c>
      <c r="C94" s="40"/>
      <c r="D94" s="47"/>
      <c r="E94" s="40">
        <v>1</v>
      </c>
      <c r="F94" s="40"/>
      <c r="G94" s="40"/>
      <c r="H94" s="40"/>
      <c r="I94" s="34">
        <f>SUM(I84:I93)</f>
        <v>7472.8044</v>
      </c>
    </row>
    <row r="95" spans="1:9" ht="15.75" customHeight="1">
      <c r="A95" s="32"/>
      <c r="B95" s="46" t="s">
        <v>81</v>
      </c>
      <c r="C95" s="15"/>
      <c r="D95" s="15"/>
      <c r="E95" s="41"/>
      <c r="F95" s="41"/>
      <c r="G95" s="42"/>
      <c r="H95" s="42"/>
      <c r="I95" s="17">
        <v>0</v>
      </c>
    </row>
    <row r="96" spans="1:9" ht="15.75" customHeight="1">
      <c r="A96" s="48"/>
      <c r="B96" s="45" t="s">
        <v>195</v>
      </c>
      <c r="C96" s="35"/>
      <c r="D96" s="35"/>
      <c r="E96" s="35"/>
      <c r="F96" s="35"/>
      <c r="G96" s="35"/>
      <c r="H96" s="35"/>
      <c r="I96" s="43">
        <f>I82+I94</f>
        <v>49384.12093808889</v>
      </c>
    </row>
    <row r="97" spans="1:9" ht="15.75" customHeight="1">
      <c r="A97" s="142" t="s">
        <v>229</v>
      </c>
      <c r="B97" s="142"/>
      <c r="C97" s="142"/>
      <c r="D97" s="142"/>
      <c r="E97" s="142"/>
      <c r="F97" s="142"/>
      <c r="G97" s="142"/>
      <c r="H97" s="142"/>
      <c r="I97" s="142"/>
    </row>
    <row r="98" spans="1:9" ht="15.75" customHeight="1">
      <c r="A98" s="64"/>
      <c r="B98" s="143" t="s">
        <v>230</v>
      </c>
      <c r="C98" s="143"/>
      <c r="D98" s="143"/>
      <c r="E98" s="143"/>
      <c r="F98" s="143"/>
      <c r="G98" s="143"/>
      <c r="H98" s="70"/>
      <c r="I98" s="3"/>
    </row>
    <row r="99" spans="1:9">
      <c r="A99" s="49"/>
      <c r="B99" s="144" t="s">
        <v>6</v>
      </c>
      <c r="C99" s="144"/>
      <c r="D99" s="144"/>
      <c r="E99" s="144"/>
      <c r="F99" s="144"/>
      <c r="G99" s="144"/>
      <c r="H99" s="27"/>
      <c r="I99" s="50"/>
    </row>
    <row r="100" spans="1:9" ht="15.75" customHeight="1">
      <c r="A100" s="56"/>
      <c r="B100" s="56"/>
      <c r="C100" s="56"/>
      <c r="D100" s="56"/>
      <c r="E100" s="56"/>
      <c r="F100" s="56"/>
      <c r="G100" s="56"/>
      <c r="H100" s="56"/>
      <c r="I100" s="56"/>
    </row>
    <row r="101" spans="1:9" ht="15.75" customHeight="1">
      <c r="A101" s="145" t="s">
        <v>7</v>
      </c>
      <c r="B101" s="145"/>
      <c r="C101" s="145"/>
      <c r="D101" s="145"/>
      <c r="E101" s="145"/>
      <c r="F101" s="145"/>
      <c r="G101" s="145"/>
      <c r="H101" s="145"/>
      <c r="I101" s="145"/>
    </row>
    <row r="102" spans="1:9" ht="15.75" customHeight="1">
      <c r="A102" s="145" t="s">
        <v>8</v>
      </c>
      <c r="B102" s="145"/>
      <c r="C102" s="145"/>
      <c r="D102" s="145"/>
      <c r="E102" s="145"/>
      <c r="F102" s="145"/>
      <c r="G102" s="145"/>
      <c r="H102" s="145"/>
      <c r="I102" s="145"/>
    </row>
    <row r="103" spans="1:9" ht="15.75" customHeight="1">
      <c r="A103" s="146" t="s">
        <v>63</v>
      </c>
      <c r="B103" s="146"/>
      <c r="C103" s="146"/>
      <c r="D103" s="146"/>
      <c r="E103" s="146"/>
      <c r="F103" s="146"/>
      <c r="G103" s="146"/>
      <c r="H103" s="146"/>
      <c r="I103" s="146"/>
    </row>
    <row r="104" spans="1:9" ht="15.75" customHeight="1">
      <c r="A104" s="11"/>
    </row>
    <row r="105" spans="1:9" ht="15.75" customHeight="1">
      <c r="A105" s="147" t="s">
        <v>9</v>
      </c>
      <c r="B105" s="147"/>
      <c r="C105" s="147"/>
      <c r="D105" s="147"/>
      <c r="E105" s="147"/>
      <c r="F105" s="147"/>
      <c r="G105" s="147"/>
      <c r="H105" s="147"/>
      <c r="I105" s="147"/>
    </row>
    <row r="106" spans="1:9" ht="15.75" customHeight="1">
      <c r="A106" s="4"/>
    </row>
    <row r="107" spans="1:9" ht="15.75" customHeight="1">
      <c r="B107" s="61" t="s">
        <v>10</v>
      </c>
      <c r="C107" s="148" t="s">
        <v>147</v>
      </c>
      <c r="D107" s="148"/>
      <c r="E107" s="148"/>
      <c r="F107" s="68"/>
      <c r="I107" s="59"/>
    </row>
    <row r="108" spans="1:9" ht="15.75" customHeight="1">
      <c r="A108" s="60"/>
      <c r="C108" s="144" t="s">
        <v>11</v>
      </c>
      <c r="D108" s="144"/>
      <c r="E108" s="144"/>
      <c r="F108" s="27"/>
      <c r="I108" s="58" t="s">
        <v>12</v>
      </c>
    </row>
    <row r="109" spans="1:9" ht="15.75" customHeight="1">
      <c r="A109" s="28"/>
      <c r="C109" s="12"/>
      <c r="D109" s="12"/>
      <c r="G109" s="12"/>
      <c r="H109" s="12"/>
    </row>
    <row r="110" spans="1:9" ht="15.75">
      <c r="B110" s="61" t="s">
        <v>13</v>
      </c>
      <c r="C110" s="149"/>
      <c r="D110" s="149"/>
      <c r="E110" s="149"/>
      <c r="F110" s="69"/>
      <c r="I110" s="59"/>
    </row>
    <row r="111" spans="1:9">
      <c r="A111" s="60"/>
      <c r="C111" s="138" t="s">
        <v>11</v>
      </c>
      <c r="D111" s="138"/>
      <c r="E111" s="138"/>
      <c r="F111" s="60"/>
      <c r="I111" s="58" t="s">
        <v>12</v>
      </c>
    </row>
    <row r="112" spans="1:9" ht="15.75" customHeight="1">
      <c r="A112" s="4" t="s">
        <v>14</v>
      </c>
    </row>
    <row r="113" spans="1:9" ht="15.75" customHeight="1">
      <c r="A113" s="150" t="s">
        <v>15</v>
      </c>
      <c r="B113" s="150"/>
      <c r="C113" s="150"/>
      <c r="D113" s="150"/>
      <c r="E113" s="150"/>
      <c r="F113" s="150"/>
      <c r="G113" s="150"/>
      <c r="H113" s="150"/>
      <c r="I113" s="150"/>
    </row>
    <row r="114" spans="1:9" ht="45" customHeight="1">
      <c r="A114" s="151" t="s">
        <v>16</v>
      </c>
      <c r="B114" s="151"/>
      <c r="C114" s="151"/>
      <c r="D114" s="151"/>
      <c r="E114" s="151"/>
      <c r="F114" s="151"/>
      <c r="G114" s="151"/>
      <c r="H114" s="151"/>
      <c r="I114" s="151"/>
    </row>
    <row r="115" spans="1:9" ht="30" customHeight="1">
      <c r="A115" s="151" t="s">
        <v>17</v>
      </c>
      <c r="B115" s="151"/>
      <c r="C115" s="151"/>
      <c r="D115" s="151"/>
      <c r="E115" s="151"/>
      <c r="F115" s="151"/>
      <c r="G115" s="151"/>
      <c r="H115" s="151"/>
      <c r="I115" s="151"/>
    </row>
    <row r="116" spans="1:9" ht="30" customHeight="1">
      <c r="A116" s="151" t="s">
        <v>21</v>
      </c>
      <c r="B116" s="151"/>
      <c r="C116" s="151"/>
      <c r="D116" s="151"/>
      <c r="E116" s="151"/>
      <c r="F116" s="151"/>
      <c r="G116" s="151"/>
      <c r="H116" s="151"/>
      <c r="I116" s="151"/>
    </row>
    <row r="117" spans="1:9" ht="15" customHeight="1">
      <c r="A117" s="151" t="s">
        <v>20</v>
      </c>
      <c r="B117" s="151"/>
      <c r="C117" s="151"/>
      <c r="D117" s="151"/>
      <c r="E117" s="151"/>
      <c r="F117" s="151"/>
      <c r="G117" s="151"/>
      <c r="H117" s="151"/>
      <c r="I117" s="151"/>
    </row>
  </sheetData>
  <autoFilter ref="I12:I61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8:I28"/>
    <mergeCell ref="A44:I44"/>
    <mergeCell ref="A55:I55"/>
    <mergeCell ref="A97:I97"/>
    <mergeCell ref="B98:G98"/>
    <mergeCell ref="B99:G99"/>
    <mergeCell ref="A101:I101"/>
    <mergeCell ref="A102:I102"/>
    <mergeCell ref="A83:I83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183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221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3">
        <v>42978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hidden="1" customHeight="1">
      <c r="A19" s="32"/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5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6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7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15.75" customHeight="1">
      <c r="A30" s="32">
        <v>8</v>
      </c>
      <c r="B30" s="74" t="s">
        <v>112</v>
      </c>
      <c r="C30" s="75" t="s">
        <v>95</v>
      </c>
      <c r="D30" s="74" t="s">
        <v>207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1">SUM(F30*G30/1000)</f>
        <v>5.4076993880000011</v>
      </c>
      <c r="I30" s="13">
        <f t="shared" ref="I30:I34" si="2">F30/6*G30</f>
        <v>901.28323133333345</v>
      </c>
      <c r="J30" s="25"/>
      <c r="K30" s="8"/>
      <c r="L30" s="8"/>
      <c r="M30" s="8"/>
    </row>
    <row r="31" spans="1:13" ht="31.5" customHeight="1">
      <c r="A31" s="32">
        <v>9</v>
      </c>
      <c r="B31" s="74" t="s">
        <v>126</v>
      </c>
      <c r="C31" s="75" t="s">
        <v>95</v>
      </c>
      <c r="D31" s="74" t="s">
        <v>208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1"/>
        <v>9.2288080872000009</v>
      </c>
      <c r="I31" s="13">
        <f t="shared" si="2"/>
        <v>1538.1346812000002</v>
      </c>
      <c r="J31" s="25"/>
      <c r="K31" s="8"/>
      <c r="L31" s="8"/>
      <c r="M31" s="8"/>
    </row>
    <row r="32" spans="1:13" ht="15.75" hidden="1" customHeight="1">
      <c r="A32" s="32"/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1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customHeight="1">
      <c r="A33" s="32">
        <v>10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2"/>
        <v>336.35516666666672</v>
      </c>
      <c r="J33" s="25"/>
      <c r="K33" s="8"/>
      <c r="L33" s="8"/>
      <c r="M33" s="8"/>
    </row>
    <row r="34" spans="1:14" ht="15.75" customHeight="1">
      <c r="A34" s="32">
        <v>11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1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1"/>
        <v>2.2726599999999997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hidden="1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3">SUM(F38*G38/1000)</f>
        <v>15.272200000000002</v>
      </c>
      <c r="I38" s="13">
        <f t="shared" ref="I38:I43" si="4">F38/6*G38</f>
        <v>2545.3666666666668</v>
      </c>
      <c r="J38" s="26"/>
    </row>
    <row r="39" spans="1:14" ht="15.75" hidden="1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3"/>
        <v>19.238955416</v>
      </c>
      <c r="I39" s="13">
        <f t="shared" si="4"/>
        <v>3206.492569333333</v>
      </c>
      <c r="J39" s="26"/>
      <c r="L39" s="19"/>
      <c r="M39" s="20"/>
      <c r="N39" s="21"/>
    </row>
    <row r="40" spans="1:14" ht="15.75" hidden="1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3"/>
        <v>5.8367605999999999</v>
      </c>
      <c r="I40" s="13">
        <f t="shared" si="4"/>
        <v>972.79343333333316</v>
      </c>
      <c r="J40" s="26"/>
      <c r="L40" s="19"/>
      <c r="M40" s="20"/>
      <c r="N40" s="21"/>
    </row>
    <row r="41" spans="1:14" ht="48" hidden="1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3"/>
        <v>6.9639359999999995</v>
      </c>
      <c r="I41" s="13">
        <f t="shared" si="4"/>
        <v>1160.6559999999999</v>
      </c>
      <c r="J41" s="26"/>
      <c r="L41" s="19"/>
      <c r="M41" s="20"/>
      <c r="N41" s="21"/>
    </row>
    <row r="42" spans="1:14" ht="15.75" hidden="1" customHeight="1">
      <c r="A42" s="32">
        <v>12</v>
      </c>
      <c r="B42" s="74" t="s">
        <v>96</v>
      </c>
      <c r="C42" s="75" t="s">
        <v>95</v>
      </c>
      <c r="D42" s="74" t="s">
        <v>71</v>
      </c>
      <c r="E42" s="77">
        <v>123.36</v>
      </c>
      <c r="F42" s="77">
        <f>SUM(E42*45/1000)</f>
        <v>5.5511999999999997</v>
      </c>
      <c r="G42" s="77">
        <v>428.7</v>
      </c>
      <c r="H42" s="78">
        <f t="shared" si="3"/>
        <v>2.3797994399999998</v>
      </c>
      <c r="I42" s="13">
        <f t="shared" si="4"/>
        <v>396.63323999999994</v>
      </c>
      <c r="J42" s="26"/>
      <c r="L42" s="19"/>
      <c r="M42" s="20"/>
      <c r="N42" s="21"/>
    </row>
    <row r="43" spans="1:14" ht="15.75" hidden="1" customHeight="1">
      <c r="A43" s="32">
        <v>13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3"/>
        <v>0.71820000000000006</v>
      </c>
      <c r="I43" s="13">
        <f t="shared" si="4"/>
        <v>119.69999999999999</v>
      </c>
      <c r="J43" s="26"/>
      <c r="L43" s="19"/>
      <c r="M43" s="20"/>
      <c r="N43" s="21"/>
    </row>
    <row r="44" spans="1:14" ht="15.75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hidden="1" customHeight="1">
      <c r="A45" s="32"/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5"/>
        <v>2.44182897</v>
      </c>
      <c r="I49" s="13">
        <v>0</v>
      </c>
      <c r="J49" s="26"/>
      <c r="L49" s="19"/>
      <c r="M49" s="20"/>
      <c r="N49" s="21"/>
    </row>
    <row r="50" spans="1:22" ht="15.75" hidden="1" customHeight="1">
      <c r="A50" s="32">
        <v>14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5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hidden="1" customHeight="1">
      <c r="A51" s="32"/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5"/>
        <v>4.65129444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5"/>
        <v>1.0921959999999999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5"/>
        <v>0.11304260000000001</v>
      </c>
      <c r="I53" s="13">
        <v>0</v>
      </c>
      <c r="J53" s="26"/>
      <c r="L53" s="19"/>
      <c r="M53" s="20"/>
      <c r="N53" s="21"/>
    </row>
    <row r="54" spans="1:22" ht="15.75" customHeight="1">
      <c r="A54" s="32">
        <v>12</v>
      </c>
      <c r="B54" s="74" t="s">
        <v>42</v>
      </c>
      <c r="C54" s="75" t="s">
        <v>114</v>
      </c>
      <c r="D54" s="74" t="s">
        <v>73</v>
      </c>
      <c r="E54" s="76">
        <v>120</v>
      </c>
      <c r="F54" s="77">
        <f>SUM(E54)*3</f>
        <v>360</v>
      </c>
      <c r="G54" s="13">
        <v>65.67</v>
      </c>
      <c r="H54" s="78">
        <f t="shared" si="5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135" t="s">
        <v>145</v>
      </c>
      <c r="B55" s="136"/>
      <c r="C55" s="136"/>
      <c r="D55" s="136"/>
      <c r="E55" s="136"/>
      <c r="F55" s="136"/>
      <c r="G55" s="136"/>
      <c r="H55" s="136"/>
      <c r="I55" s="137"/>
      <c r="J55" s="26"/>
      <c r="L55" s="19"/>
      <c r="M55" s="20"/>
      <c r="N55" s="21"/>
    </row>
    <row r="56" spans="1:22" ht="15.75" hidden="1" customHeight="1">
      <c r="A56" s="32"/>
      <c r="B56" s="100" t="s">
        <v>44</v>
      </c>
      <c r="C56" s="75"/>
      <c r="D56" s="74"/>
      <c r="E56" s="76"/>
      <c r="F56" s="77"/>
      <c r="G56" s="77"/>
      <c r="H56" s="78"/>
      <c r="I56" s="13"/>
      <c r="J56" s="26"/>
      <c r="L56" s="19"/>
      <c r="M56" s="20"/>
      <c r="N56" s="21"/>
    </row>
    <row r="57" spans="1:22" ht="31.5" hidden="1" customHeight="1">
      <c r="A57" s="32">
        <v>16</v>
      </c>
      <c r="B57" s="74" t="s">
        <v>129</v>
      </c>
      <c r="C57" s="75" t="s">
        <v>93</v>
      </c>
      <c r="D57" s="74" t="s">
        <v>115</v>
      </c>
      <c r="E57" s="76">
        <v>131.77500000000001</v>
      </c>
      <c r="F57" s="77">
        <f>SUM(E57*6/100)</f>
        <v>7.9065000000000012</v>
      </c>
      <c r="G57" s="13">
        <v>1547.28</v>
      </c>
      <c r="H57" s="78">
        <f>SUM(F57*G57/1000)</f>
        <v>12.233569320000003</v>
      </c>
      <c r="I57" s="13">
        <f>F57/6*G57</f>
        <v>2038.9282200000002</v>
      </c>
      <c r="J57" s="26"/>
      <c r="L57" s="19"/>
      <c r="M57" s="20"/>
      <c r="N57" s="21"/>
    </row>
    <row r="58" spans="1:22" ht="15.75" customHeight="1">
      <c r="A58" s="32"/>
      <c r="B58" s="101" t="s">
        <v>45</v>
      </c>
      <c r="C58" s="83"/>
      <c r="D58" s="84"/>
      <c r="E58" s="85"/>
      <c r="F58" s="87"/>
      <c r="G58" s="13"/>
      <c r="H58" s="88"/>
      <c r="I58" s="13"/>
      <c r="J58" s="26"/>
      <c r="L58" s="19"/>
      <c r="M58" s="20"/>
      <c r="N58" s="21"/>
    </row>
    <row r="59" spans="1:22" ht="15.75" hidden="1" customHeight="1">
      <c r="A59" s="32"/>
      <c r="B59" s="84" t="s">
        <v>138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84" t="s">
        <v>139</v>
      </c>
      <c r="C60" s="83" t="s">
        <v>54</v>
      </c>
      <c r="D60" s="84" t="s">
        <v>55</v>
      </c>
      <c r="E60" s="85">
        <v>890</v>
      </c>
      <c r="F60" s="87">
        <v>8.9</v>
      </c>
      <c r="G60" s="13">
        <v>793.61</v>
      </c>
      <c r="H60" s="88">
        <f>F60*G60/1000</f>
        <v>7.0631290000000009</v>
      </c>
      <c r="I60" s="13">
        <v>0</v>
      </c>
    </row>
    <row r="61" spans="1:22" ht="15.75" customHeight="1">
      <c r="A61" s="32">
        <v>13</v>
      </c>
      <c r="B61" s="84" t="s">
        <v>127</v>
      </c>
      <c r="C61" s="83" t="s">
        <v>25</v>
      </c>
      <c r="D61" s="84" t="s">
        <v>30</v>
      </c>
      <c r="E61" s="85">
        <v>158.19999999999999</v>
      </c>
      <c r="F61" s="87">
        <f>E61*12</f>
        <v>1898.3999999999999</v>
      </c>
      <c r="G61" s="94">
        <v>2.6</v>
      </c>
      <c r="H61" s="88">
        <f>F61*G61/1000</f>
        <v>4.9358399999999998</v>
      </c>
      <c r="I61" s="13">
        <f>F61/12*G61</f>
        <v>411.32</v>
      </c>
    </row>
    <row r="62" spans="1:22" ht="15.75" hidden="1" customHeight="1">
      <c r="A62" s="32"/>
      <c r="B62" s="101" t="s">
        <v>46</v>
      </c>
      <c r="C62" s="83"/>
      <c r="D62" s="84"/>
      <c r="E62" s="85"/>
      <c r="F62" s="86"/>
      <c r="G62" s="86"/>
      <c r="H62" s="87" t="s">
        <v>130</v>
      </c>
      <c r="I62" s="13"/>
    </row>
    <row r="63" spans="1:22" ht="15.75" hidden="1" customHeight="1">
      <c r="A63" s="32"/>
      <c r="B63" s="14" t="s">
        <v>47</v>
      </c>
      <c r="C63" s="16" t="s">
        <v>114</v>
      </c>
      <c r="D63" s="14" t="s">
        <v>151</v>
      </c>
      <c r="E63" s="18">
        <v>15</v>
      </c>
      <c r="F63" s="77">
        <v>15</v>
      </c>
      <c r="G63" s="13">
        <v>222.4</v>
      </c>
      <c r="H63" s="89">
        <f t="shared" ref="H63:H76" si="6">SUM(F63*G63/1000)</f>
        <v>3.3359999999999999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114</v>
      </c>
      <c r="D64" s="14" t="s">
        <v>151</v>
      </c>
      <c r="E64" s="18">
        <v>8</v>
      </c>
      <c r="F64" s="77">
        <v>8</v>
      </c>
      <c r="G64" s="13">
        <v>76.25</v>
      </c>
      <c r="H64" s="89">
        <f t="shared" si="6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116</v>
      </c>
      <c r="D65" s="14" t="s">
        <v>55</v>
      </c>
      <c r="E65" s="76">
        <v>14220</v>
      </c>
      <c r="F65" s="13">
        <f>SUM(E65/100)</f>
        <v>142.19999999999999</v>
      </c>
      <c r="G65" s="13">
        <v>212.15</v>
      </c>
      <c r="H65" s="89">
        <f t="shared" si="6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117</v>
      </c>
      <c r="D66" s="14"/>
      <c r="E66" s="76">
        <v>14220</v>
      </c>
      <c r="F66" s="13">
        <f>SUM(E66/1000)</f>
        <v>14.22</v>
      </c>
      <c r="G66" s="13">
        <v>165.21</v>
      </c>
      <c r="H66" s="89">
        <f t="shared" si="6"/>
        <v>2.3492861999999999</v>
      </c>
      <c r="I66" s="13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8"/>
      <c r="S66" s="138"/>
      <c r="T66" s="138"/>
      <c r="U66" s="138"/>
    </row>
    <row r="67" spans="1:21" ht="15.75" hidden="1" customHeight="1">
      <c r="A67" s="32"/>
      <c r="B67" s="14" t="s">
        <v>51</v>
      </c>
      <c r="C67" s="16" t="s">
        <v>79</v>
      </c>
      <c r="D67" s="14" t="s">
        <v>55</v>
      </c>
      <c r="E67" s="76">
        <v>2260</v>
      </c>
      <c r="F67" s="13">
        <f>SUM(E67/100)</f>
        <v>22.6</v>
      </c>
      <c r="G67" s="13">
        <v>2074.63</v>
      </c>
      <c r="H67" s="89">
        <f t="shared" si="6"/>
        <v>46.886638000000005</v>
      </c>
      <c r="I67" s="13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90" t="s">
        <v>118</v>
      </c>
      <c r="C68" s="16" t="s">
        <v>33</v>
      </c>
      <c r="D68" s="14"/>
      <c r="E68" s="76">
        <v>11</v>
      </c>
      <c r="F68" s="13">
        <f>SUM(E68)</f>
        <v>11</v>
      </c>
      <c r="G68" s="13">
        <v>45.32</v>
      </c>
      <c r="H68" s="89">
        <f t="shared" si="6"/>
        <v>0.49851999999999996</v>
      </c>
      <c r="I68" s="13">
        <f t="shared" si="7"/>
        <v>498.52</v>
      </c>
    </row>
    <row r="69" spans="1:21" ht="15.75" hidden="1" customHeight="1">
      <c r="A69" s="32"/>
      <c r="B69" s="90" t="s">
        <v>119</v>
      </c>
      <c r="C69" s="16" t="s">
        <v>33</v>
      </c>
      <c r="D69" s="14"/>
      <c r="E69" s="76">
        <v>11</v>
      </c>
      <c r="F69" s="13">
        <f>SUM(E69)</f>
        <v>11</v>
      </c>
      <c r="G69" s="13">
        <v>42.28</v>
      </c>
      <c r="H69" s="89">
        <f t="shared" si="6"/>
        <v>0.46508000000000005</v>
      </c>
      <c r="I69" s="13">
        <f t="shared" si="7"/>
        <v>465.08000000000004</v>
      </c>
    </row>
    <row r="70" spans="1:21" ht="15.75" hidden="1" customHeight="1">
      <c r="A70" s="32"/>
      <c r="B70" s="14" t="s">
        <v>59</v>
      </c>
      <c r="C70" s="16" t="s">
        <v>60</v>
      </c>
      <c r="D70" s="14" t="s">
        <v>55</v>
      </c>
      <c r="E70" s="18">
        <v>8</v>
      </c>
      <c r="F70" s="77">
        <v>8</v>
      </c>
      <c r="G70" s="13">
        <v>49.88</v>
      </c>
      <c r="H70" s="89">
        <f t="shared" si="6"/>
        <v>0.39904000000000001</v>
      </c>
      <c r="I70" s="13">
        <f t="shared" si="7"/>
        <v>399.04</v>
      </c>
    </row>
    <row r="71" spans="1:21" ht="15.75" hidden="1" customHeight="1">
      <c r="A71" s="32"/>
      <c r="B71" s="62" t="s">
        <v>74</v>
      </c>
      <c r="C71" s="16"/>
      <c r="D71" s="14"/>
      <c r="E71" s="18"/>
      <c r="F71" s="13"/>
      <c r="G71" s="13"/>
      <c r="H71" s="89" t="s">
        <v>130</v>
      </c>
      <c r="I71" s="13"/>
    </row>
    <row r="72" spans="1:21" ht="15.75" hidden="1" customHeight="1">
      <c r="A72" s="32"/>
      <c r="B72" s="14" t="s">
        <v>75</v>
      </c>
      <c r="C72" s="16" t="s">
        <v>77</v>
      </c>
      <c r="D72" s="14"/>
      <c r="E72" s="18">
        <v>2</v>
      </c>
      <c r="F72" s="13">
        <v>0.2</v>
      </c>
      <c r="G72" s="13">
        <v>501.62</v>
      </c>
      <c r="H72" s="89">
        <f t="shared" si="6"/>
        <v>0.10032400000000001</v>
      </c>
      <c r="I72" s="13">
        <v>0</v>
      </c>
    </row>
    <row r="73" spans="1:21" ht="15.75" hidden="1" customHeight="1">
      <c r="A73" s="32"/>
      <c r="B73" s="14" t="s">
        <v>76</v>
      </c>
      <c r="C73" s="16" t="s">
        <v>31</v>
      </c>
      <c r="D73" s="14"/>
      <c r="E73" s="18">
        <v>1</v>
      </c>
      <c r="F73" s="66">
        <v>1</v>
      </c>
      <c r="G73" s="13">
        <v>852.99</v>
      </c>
      <c r="H73" s="89">
        <f>F73*G73/1000</f>
        <v>0.85299000000000003</v>
      </c>
      <c r="I73" s="13">
        <v>0</v>
      </c>
    </row>
    <row r="74" spans="1:21" ht="15.75" hidden="1" customHeight="1">
      <c r="A74" s="32"/>
      <c r="B74" s="14" t="s">
        <v>121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9">
        <f>G74*F74/1000</f>
        <v>0.35851</v>
      </c>
      <c r="I74" s="13">
        <v>0</v>
      </c>
    </row>
    <row r="75" spans="1:21" ht="15.75" hidden="1" customHeight="1">
      <c r="A75" s="32"/>
      <c r="B75" s="92" t="s">
        <v>78</v>
      </c>
      <c r="C75" s="16"/>
      <c r="D75" s="14"/>
      <c r="E75" s="18"/>
      <c r="F75" s="13"/>
      <c r="G75" s="13" t="s">
        <v>130</v>
      </c>
      <c r="H75" s="89" t="s">
        <v>130</v>
      </c>
      <c r="I75" s="13"/>
    </row>
    <row r="76" spans="1:21" ht="15.75" hidden="1" customHeight="1">
      <c r="A76" s="32"/>
      <c r="B76" s="46" t="s">
        <v>128</v>
      </c>
      <c r="C76" s="16" t="s">
        <v>79</v>
      </c>
      <c r="D76" s="14"/>
      <c r="E76" s="18"/>
      <c r="F76" s="13">
        <v>0.1</v>
      </c>
      <c r="G76" s="13">
        <v>2759.44</v>
      </c>
      <c r="H76" s="89">
        <f t="shared" si="6"/>
        <v>0.27594400000000002</v>
      </c>
      <c r="I76" s="13">
        <v>0</v>
      </c>
    </row>
    <row r="77" spans="1:21" ht="15.75" hidden="1" customHeight="1">
      <c r="A77" s="32"/>
      <c r="B77" s="104" t="s">
        <v>99</v>
      </c>
      <c r="C77" s="104"/>
      <c r="D77" s="104"/>
      <c r="E77" s="104"/>
      <c r="F77" s="104"/>
      <c r="G77" s="80"/>
      <c r="H77" s="93">
        <f>SUM(H57:H76)</f>
        <v>117.59572952000001</v>
      </c>
      <c r="I77" s="80"/>
    </row>
    <row r="78" spans="1:21" ht="15.75" hidden="1" customHeight="1">
      <c r="A78" s="32"/>
      <c r="B78" s="102" t="s">
        <v>120</v>
      </c>
      <c r="C78" s="23"/>
      <c r="D78" s="22"/>
      <c r="E78" s="67"/>
      <c r="F78" s="103">
        <v>1</v>
      </c>
      <c r="G78" s="13">
        <v>10966.5</v>
      </c>
      <c r="H78" s="89">
        <f>G78*F78/1000</f>
        <v>10.9665</v>
      </c>
      <c r="I78" s="13">
        <v>0</v>
      </c>
    </row>
    <row r="79" spans="1:21" ht="15.75" customHeight="1">
      <c r="A79" s="139" t="s">
        <v>146</v>
      </c>
      <c r="B79" s="140"/>
      <c r="C79" s="140"/>
      <c r="D79" s="140"/>
      <c r="E79" s="140"/>
      <c r="F79" s="140"/>
      <c r="G79" s="140"/>
      <c r="H79" s="140"/>
      <c r="I79" s="141"/>
    </row>
    <row r="80" spans="1:21" ht="15.75" customHeight="1">
      <c r="A80" s="32">
        <v>14</v>
      </c>
      <c r="B80" s="74" t="s">
        <v>122</v>
      </c>
      <c r="C80" s="16" t="s">
        <v>56</v>
      </c>
      <c r="D80" s="65" t="s">
        <v>57</v>
      </c>
      <c r="E80" s="13">
        <v>3382.7</v>
      </c>
      <c r="F80" s="13">
        <f>SUM(E80*12)</f>
        <v>40592.399999999994</v>
      </c>
      <c r="G80" s="13">
        <v>2.1</v>
      </c>
      <c r="H80" s="89">
        <f>SUM(F80*G80/1000)</f>
        <v>85.244039999999998</v>
      </c>
      <c r="I80" s="13">
        <f>F80/12*G80</f>
        <v>7103.6699999999992</v>
      </c>
    </row>
    <row r="81" spans="1:9" ht="31.5" customHeight="1">
      <c r="A81" s="32">
        <v>15</v>
      </c>
      <c r="B81" s="14" t="s">
        <v>80</v>
      </c>
      <c r="C81" s="16"/>
      <c r="D81" s="65" t="s">
        <v>57</v>
      </c>
      <c r="E81" s="76">
        <f>E80</f>
        <v>3382.7</v>
      </c>
      <c r="F81" s="13">
        <f>E81*12</f>
        <v>40592.399999999994</v>
      </c>
      <c r="G81" s="13">
        <v>1.63</v>
      </c>
      <c r="H81" s="89">
        <f>F81*G81/1000</f>
        <v>66.165611999999982</v>
      </c>
      <c r="I81" s="13">
        <f>F81/12*G81</f>
        <v>5513.8009999999986</v>
      </c>
    </row>
    <row r="82" spans="1:9" ht="15.75" customHeight="1">
      <c r="A82" s="32"/>
      <c r="B82" s="39" t="s">
        <v>83</v>
      </c>
      <c r="C82" s="92"/>
      <c r="D82" s="91"/>
      <c r="E82" s="80"/>
      <c r="F82" s="80"/>
      <c r="G82" s="80"/>
      <c r="H82" s="93">
        <f>H81</f>
        <v>66.165611999999982</v>
      </c>
      <c r="I82" s="80">
        <f>I16+I17+I18+I20+I21+I26+I27+I30+I31+I33+I34+I54+I61+I80+I81</f>
        <v>48457.31653808889</v>
      </c>
    </row>
    <row r="83" spans="1:9" ht="15.75" customHeight="1">
      <c r="A83" s="126" t="s">
        <v>62</v>
      </c>
      <c r="B83" s="127"/>
      <c r="C83" s="127"/>
      <c r="D83" s="127"/>
      <c r="E83" s="127"/>
      <c r="F83" s="127"/>
      <c r="G83" s="127"/>
      <c r="H83" s="127"/>
      <c r="I83" s="128"/>
    </row>
    <row r="84" spans="1:9" ht="15.75" customHeight="1">
      <c r="A84" s="32">
        <v>16</v>
      </c>
      <c r="B84" s="51" t="s">
        <v>133</v>
      </c>
      <c r="C84" s="73" t="s">
        <v>114</v>
      </c>
      <c r="D84" s="84"/>
      <c r="E84" s="85"/>
      <c r="F84" s="86">
        <v>732</v>
      </c>
      <c r="G84" s="95">
        <v>53.42</v>
      </c>
      <c r="H84" s="87">
        <f>SUM(F84*G84/1000)</f>
        <v>39.103439999999999</v>
      </c>
      <c r="I84" s="95">
        <f>G84*61</f>
        <v>3258.62</v>
      </c>
    </row>
    <row r="85" spans="1:9" ht="31.5" customHeight="1">
      <c r="A85" s="32">
        <v>17</v>
      </c>
      <c r="B85" s="51" t="s">
        <v>82</v>
      </c>
      <c r="C85" s="54" t="s">
        <v>31</v>
      </c>
      <c r="D85" s="109"/>
      <c r="E85" s="17"/>
      <c r="F85" s="110">
        <v>4</v>
      </c>
      <c r="G85" s="36">
        <v>83.36</v>
      </c>
      <c r="H85" s="108">
        <f t="shared" ref="H85:H86" si="8">SUM(F85*G85/1000)</f>
        <v>0.33344000000000001</v>
      </c>
      <c r="I85" s="95">
        <f>G85</f>
        <v>83.36</v>
      </c>
    </row>
    <row r="86" spans="1:9" ht="15.75" customHeight="1">
      <c r="A86" s="32">
        <v>18</v>
      </c>
      <c r="B86" s="51" t="s">
        <v>204</v>
      </c>
      <c r="C86" s="54" t="s">
        <v>152</v>
      </c>
      <c r="D86" s="123"/>
      <c r="E86" s="36"/>
      <c r="F86" s="36">
        <v>0.03</v>
      </c>
      <c r="G86" s="36">
        <v>7412.92</v>
      </c>
      <c r="H86" s="108">
        <f t="shared" si="8"/>
        <v>0.22238759999999999</v>
      </c>
      <c r="I86" s="95">
        <f>G86*0.01</f>
        <v>74.129199999999997</v>
      </c>
    </row>
    <row r="87" spans="1:9" ht="31.5" customHeight="1">
      <c r="A87" s="32">
        <v>19</v>
      </c>
      <c r="B87" s="51" t="s">
        <v>216</v>
      </c>
      <c r="C87" s="54" t="s">
        <v>39</v>
      </c>
      <c r="D87" s="38"/>
      <c r="E87" s="17"/>
      <c r="F87" s="36">
        <v>7.0000000000000007E-2</v>
      </c>
      <c r="G87" s="36">
        <v>3581.13</v>
      </c>
      <c r="H87" s="108">
        <f>SUM(F87*G87/1000)</f>
        <v>0.25067910000000004</v>
      </c>
      <c r="I87" s="95">
        <f>G87*0.02</f>
        <v>71.622600000000006</v>
      </c>
    </row>
    <row r="88" spans="1:9" ht="15.75" customHeight="1">
      <c r="A88" s="32">
        <v>20</v>
      </c>
      <c r="B88" s="51" t="s">
        <v>222</v>
      </c>
      <c r="C88" s="54" t="s">
        <v>165</v>
      </c>
      <c r="D88" s="112"/>
      <c r="E88" s="113"/>
      <c r="F88" s="57">
        <v>1</v>
      </c>
      <c r="G88" s="95">
        <v>520.51</v>
      </c>
      <c r="H88" s="108">
        <f t="shared" ref="H88:H89" si="9">SUM(F88*G88/1000)</f>
        <v>0.52051000000000003</v>
      </c>
      <c r="I88" s="95">
        <f>G88</f>
        <v>520.51</v>
      </c>
    </row>
    <row r="89" spans="1:9" ht="31.5" customHeight="1">
      <c r="A89" s="32">
        <v>21</v>
      </c>
      <c r="B89" s="51" t="s">
        <v>223</v>
      </c>
      <c r="C89" s="54" t="s">
        <v>132</v>
      </c>
      <c r="D89" s="123"/>
      <c r="E89" s="36"/>
      <c r="F89" s="36">
        <f>12/10</f>
        <v>1.2</v>
      </c>
      <c r="G89" s="36">
        <v>2064.25</v>
      </c>
      <c r="H89" s="108">
        <f t="shared" si="9"/>
        <v>2.4771000000000001</v>
      </c>
      <c r="I89" s="95">
        <f>G89*1.2</f>
        <v>2477.1</v>
      </c>
    </row>
    <row r="90" spans="1:9" ht="15.75" customHeight="1">
      <c r="A90" s="32"/>
      <c r="B90" s="44" t="s">
        <v>52</v>
      </c>
      <c r="C90" s="40"/>
      <c r="D90" s="47"/>
      <c r="E90" s="40">
        <v>1</v>
      </c>
      <c r="F90" s="40"/>
      <c r="G90" s="40"/>
      <c r="H90" s="40"/>
      <c r="I90" s="34">
        <f>SUM(I84:I89)</f>
        <v>6485.3418000000001</v>
      </c>
    </row>
    <row r="91" spans="1:9" ht="15.75" customHeight="1">
      <c r="A91" s="32"/>
      <c r="B91" s="46" t="s">
        <v>81</v>
      </c>
      <c r="C91" s="15"/>
      <c r="D91" s="15"/>
      <c r="E91" s="41"/>
      <c r="F91" s="41"/>
      <c r="G91" s="42"/>
      <c r="H91" s="42"/>
      <c r="I91" s="17">
        <v>0</v>
      </c>
    </row>
    <row r="92" spans="1:9" ht="15.75" customHeight="1">
      <c r="A92" s="48"/>
      <c r="B92" s="45" t="s">
        <v>195</v>
      </c>
      <c r="C92" s="35"/>
      <c r="D92" s="35"/>
      <c r="E92" s="35"/>
      <c r="F92" s="35"/>
      <c r="G92" s="35"/>
      <c r="H92" s="35"/>
      <c r="I92" s="43">
        <f>I82+I90</f>
        <v>54942.658338088891</v>
      </c>
    </row>
    <row r="93" spans="1:9" ht="15.75" customHeight="1">
      <c r="A93" s="142" t="s">
        <v>231</v>
      </c>
      <c r="B93" s="142"/>
      <c r="C93" s="142"/>
      <c r="D93" s="142"/>
      <c r="E93" s="142"/>
      <c r="F93" s="142"/>
      <c r="G93" s="142"/>
      <c r="H93" s="142"/>
      <c r="I93" s="142"/>
    </row>
    <row r="94" spans="1:9" ht="15.75" customHeight="1">
      <c r="A94" s="64"/>
      <c r="B94" s="143" t="s">
        <v>232</v>
      </c>
      <c r="C94" s="143"/>
      <c r="D94" s="143"/>
      <c r="E94" s="143"/>
      <c r="F94" s="143"/>
      <c r="G94" s="143"/>
      <c r="H94" s="70"/>
      <c r="I94" s="3"/>
    </row>
    <row r="95" spans="1:9">
      <c r="A95" s="49"/>
      <c r="B95" s="144" t="s">
        <v>6</v>
      </c>
      <c r="C95" s="144"/>
      <c r="D95" s="144"/>
      <c r="E95" s="144"/>
      <c r="F95" s="144"/>
      <c r="G95" s="144"/>
      <c r="H95" s="27"/>
      <c r="I95" s="50"/>
    </row>
    <row r="96" spans="1:9" ht="15.75" customHeight="1">
      <c r="A96" s="56"/>
      <c r="B96" s="56"/>
      <c r="C96" s="56"/>
      <c r="D96" s="56"/>
      <c r="E96" s="56"/>
      <c r="F96" s="56"/>
      <c r="G96" s="56"/>
      <c r="H96" s="56"/>
      <c r="I96" s="56"/>
    </row>
    <row r="97" spans="1:9" ht="15.75" customHeight="1">
      <c r="A97" s="145" t="s">
        <v>7</v>
      </c>
      <c r="B97" s="145"/>
      <c r="C97" s="145"/>
      <c r="D97" s="145"/>
      <c r="E97" s="145"/>
      <c r="F97" s="145"/>
      <c r="G97" s="145"/>
      <c r="H97" s="145"/>
      <c r="I97" s="145"/>
    </row>
    <row r="98" spans="1:9" ht="15.75" customHeight="1">
      <c r="A98" s="145" t="s">
        <v>8</v>
      </c>
      <c r="B98" s="145"/>
      <c r="C98" s="145"/>
      <c r="D98" s="145"/>
      <c r="E98" s="145"/>
      <c r="F98" s="145"/>
      <c r="G98" s="145"/>
      <c r="H98" s="145"/>
      <c r="I98" s="145"/>
    </row>
    <row r="99" spans="1:9" ht="15.75" customHeight="1">
      <c r="A99" s="146" t="s">
        <v>63</v>
      </c>
      <c r="B99" s="146"/>
      <c r="C99" s="146"/>
      <c r="D99" s="146"/>
      <c r="E99" s="146"/>
      <c r="F99" s="146"/>
      <c r="G99" s="146"/>
      <c r="H99" s="146"/>
      <c r="I99" s="146"/>
    </row>
    <row r="100" spans="1:9" ht="15.75" customHeight="1">
      <c r="A100" s="11"/>
    </row>
    <row r="101" spans="1:9" ht="15.75" customHeight="1">
      <c r="A101" s="147" t="s">
        <v>9</v>
      </c>
      <c r="B101" s="147"/>
      <c r="C101" s="147"/>
      <c r="D101" s="147"/>
      <c r="E101" s="147"/>
      <c r="F101" s="147"/>
      <c r="G101" s="147"/>
      <c r="H101" s="147"/>
      <c r="I101" s="147"/>
    </row>
    <row r="102" spans="1:9" ht="15.75" customHeight="1">
      <c r="A102" s="4"/>
    </row>
    <row r="103" spans="1:9" ht="15.75" customHeight="1">
      <c r="B103" s="61" t="s">
        <v>10</v>
      </c>
      <c r="C103" s="148" t="s">
        <v>147</v>
      </c>
      <c r="D103" s="148"/>
      <c r="E103" s="148"/>
      <c r="F103" s="68"/>
      <c r="I103" s="59"/>
    </row>
    <row r="104" spans="1:9" ht="15.75" customHeight="1">
      <c r="A104" s="60"/>
      <c r="C104" s="144" t="s">
        <v>11</v>
      </c>
      <c r="D104" s="144"/>
      <c r="E104" s="144"/>
      <c r="F104" s="27"/>
      <c r="I104" s="58" t="s">
        <v>12</v>
      </c>
    </row>
    <row r="105" spans="1:9" ht="15.75" customHeight="1">
      <c r="A105" s="28"/>
      <c r="C105" s="12"/>
      <c r="D105" s="12"/>
      <c r="G105" s="12"/>
      <c r="H105" s="12"/>
    </row>
    <row r="106" spans="1:9" ht="15.75">
      <c r="B106" s="61" t="s">
        <v>13</v>
      </c>
      <c r="C106" s="149"/>
      <c r="D106" s="149"/>
      <c r="E106" s="149"/>
      <c r="F106" s="69"/>
      <c r="I106" s="59"/>
    </row>
    <row r="107" spans="1:9">
      <c r="A107" s="60"/>
      <c r="C107" s="138" t="s">
        <v>11</v>
      </c>
      <c r="D107" s="138"/>
      <c r="E107" s="138"/>
      <c r="F107" s="60"/>
      <c r="I107" s="58" t="s">
        <v>12</v>
      </c>
    </row>
    <row r="108" spans="1:9" ht="15.75" customHeight="1">
      <c r="A108" s="4" t="s">
        <v>14</v>
      </c>
    </row>
    <row r="109" spans="1:9" ht="15" customHeight="1">
      <c r="A109" s="150" t="s">
        <v>15</v>
      </c>
      <c r="B109" s="150"/>
      <c r="C109" s="150"/>
      <c r="D109" s="150"/>
      <c r="E109" s="150"/>
      <c r="F109" s="150"/>
      <c r="G109" s="150"/>
      <c r="H109" s="150"/>
      <c r="I109" s="150"/>
    </row>
    <row r="110" spans="1:9" ht="45" customHeight="1">
      <c r="A110" s="151" t="s">
        <v>16</v>
      </c>
      <c r="B110" s="151"/>
      <c r="C110" s="151"/>
      <c r="D110" s="151"/>
      <c r="E110" s="151"/>
      <c r="F110" s="151"/>
      <c r="G110" s="151"/>
      <c r="H110" s="151"/>
      <c r="I110" s="151"/>
    </row>
    <row r="111" spans="1:9" ht="30" customHeight="1">
      <c r="A111" s="151" t="s">
        <v>17</v>
      </c>
      <c r="B111" s="151"/>
      <c r="C111" s="151"/>
      <c r="D111" s="151"/>
      <c r="E111" s="151"/>
      <c r="F111" s="151"/>
      <c r="G111" s="151"/>
      <c r="H111" s="151"/>
      <c r="I111" s="151"/>
    </row>
    <row r="112" spans="1:9" ht="30" customHeight="1">
      <c r="A112" s="151" t="s">
        <v>21</v>
      </c>
      <c r="B112" s="151"/>
      <c r="C112" s="151"/>
      <c r="D112" s="151"/>
      <c r="E112" s="151"/>
      <c r="F112" s="151"/>
      <c r="G112" s="151"/>
      <c r="H112" s="151"/>
      <c r="I112" s="151"/>
    </row>
    <row r="113" spans="1:9" ht="15" customHeight="1">
      <c r="A113" s="151" t="s">
        <v>20</v>
      </c>
      <c r="B113" s="151"/>
      <c r="C113" s="151"/>
      <c r="D113" s="151"/>
      <c r="E113" s="151"/>
      <c r="F113" s="151"/>
      <c r="G113" s="151"/>
      <c r="H113" s="151"/>
      <c r="I113" s="151"/>
    </row>
  </sheetData>
  <autoFilter ref="I12:I61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8:I28"/>
    <mergeCell ref="A44:I44"/>
    <mergeCell ref="A55:I55"/>
    <mergeCell ref="A93:I93"/>
    <mergeCell ref="B94:G94"/>
    <mergeCell ref="B95:G95"/>
    <mergeCell ref="A97:I97"/>
    <mergeCell ref="A98:I98"/>
    <mergeCell ref="A83:I83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91</v>
      </c>
      <c r="I1" s="29"/>
      <c r="J1" s="1"/>
      <c r="K1" s="1"/>
      <c r="L1" s="1"/>
      <c r="M1" s="1"/>
    </row>
    <row r="2" spans="1:13" ht="15.75">
      <c r="A2" s="31" t="s">
        <v>64</v>
      </c>
      <c r="J2" s="2"/>
      <c r="K2" s="2"/>
      <c r="L2" s="2"/>
      <c r="M2" s="2"/>
    </row>
    <row r="3" spans="1:13" ht="15.75" customHeight="1">
      <c r="A3" s="129" t="s">
        <v>184</v>
      </c>
      <c r="B3" s="129"/>
      <c r="C3" s="129"/>
      <c r="D3" s="129"/>
      <c r="E3" s="129"/>
      <c r="F3" s="129"/>
      <c r="G3" s="129"/>
      <c r="H3" s="129"/>
      <c r="I3" s="129"/>
      <c r="J3" s="3"/>
      <c r="K3" s="3"/>
      <c r="L3" s="3"/>
    </row>
    <row r="4" spans="1:13" ht="31.5" customHeight="1">
      <c r="A4" s="130" t="s">
        <v>142</v>
      </c>
      <c r="B4" s="130"/>
      <c r="C4" s="130"/>
      <c r="D4" s="130"/>
      <c r="E4" s="130"/>
      <c r="F4" s="130"/>
      <c r="G4" s="130"/>
      <c r="H4" s="130"/>
      <c r="I4" s="130"/>
    </row>
    <row r="5" spans="1:13" ht="15.75">
      <c r="A5" s="129" t="s">
        <v>86</v>
      </c>
      <c r="B5" s="131"/>
      <c r="C5" s="131"/>
      <c r="D5" s="131"/>
      <c r="E5" s="131"/>
      <c r="F5" s="131"/>
      <c r="G5" s="131"/>
      <c r="H5" s="131"/>
      <c r="I5" s="13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3">
        <v>43008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2" t="s">
        <v>188</v>
      </c>
      <c r="B8" s="132"/>
      <c r="C8" s="132"/>
      <c r="D8" s="132"/>
      <c r="E8" s="132"/>
      <c r="F8" s="132"/>
      <c r="G8" s="132"/>
      <c r="H8" s="132"/>
      <c r="I8" s="1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3" t="s">
        <v>187</v>
      </c>
      <c r="B10" s="133"/>
      <c r="C10" s="133"/>
      <c r="D10" s="133"/>
      <c r="E10" s="133"/>
      <c r="F10" s="133"/>
      <c r="G10" s="133"/>
      <c r="H10" s="133"/>
      <c r="I10" s="13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5" t="s">
        <v>61</v>
      </c>
      <c r="B14" s="125"/>
      <c r="C14" s="125"/>
      <c r="D14" s="125"/>
      <c r="E14" s="125"/>
      <c r="F14" s="125"/>
      <c r="G14" s="125"/>
      <c r="H14" s="125"/>
      <c r="I14" s="125"/>
      <c r="J14" s="8"/>
      <c r="K14" s="8"/>
      <c r="L14" s="8"/>
      <c r="M14" s="8"/>
    </row>
    <row r="15" spans="1:13" ht="15.75" customHeight="1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32">
        <v>1</v>
      </c>
      <c r="B16" s="74" t="s">
        <v>92</v>
      </c>
      <c r="C16" s="75" t="s">
        <v>93</v>
      </c>
      <c r="D16" s="74" t="s">
        <v>189</v>
      </c>
      <c r="E16" s="76">
        <v>66</v>
      </c>
      <c r="F16" s="77">
        <f>SUM(E16*156/100)</f>
        <v>102.96</v>
      </c>
      <c r="G16" s="77">
        <v>175.38</v>
      </c>
      <c r="H16" s="78">
        <f t="shared" ref="H16:H25" si="0">SUM(F16*G16/1000)</f>
        <v>18.057124799999997</v>
      </c>
      <c r="I16" s="13">
        <f>F16/12*G16</f>
        <v>1504.7603999999999</v>
      </c>
      <c r="J16" s="24"/>
      <c r="K16" s="8"/>
      <c r="L16" s="8"/>
      <c r="M16" s="8"/>
    </row>
    <row r="17" spans="1:13" ht="15.75" customHeight="1">
      <c r="A17" s="32">
        <v>2</v>
      </c>
      <c r="B17" s="74" t="s">
        <v>123</v>
      </c>
      <c r="C17" s="75" t="s">
        <v>93</v>
      </c>
      <c r="D17" s="74" t="s">
        <v>190</v>
      </c>
      <c r="E17" s="76">
        <v>264</v>
      </c>
      <c r="F17" s="77">
        <f>SUM(E17*104/100)</f>
        <v>274.56</v>
      </c>
      <c r="G17" s="77">
        <v>175.38</v>
      </c>
      <c r="H17" s="78">
        <f t="shared" si="0"/>
        <v>48.152332799999996</v>
      </c>
      <c r="I17" s="13">
        <f>F17/12*G17</f>
        <v>4012.6943999999999</v>
      </c>
      <c r="J17" s="25"/>
      <c r="K17" s="8"/>
      <c r="L17" s="8"/>
      <c r="M17" s="8"/>
    </row>
    <row r="18" spans="1:13" ht="15.75" customHeight="1">
      <c r="A18" s="32">
        <v>3</v>
      </c>
      <c r="B18" s="74" t="s">
        <v>124</v>
      </c>
      <c r="C18" s="75" t="s">
        <v>93</v>
      </c>
      <c r="D18" s="74" t="s">
        <v>191</v>
      </c>
      <c r="E18" s="76">
        <f>SUM(E16+E17)</f>
        <v>330</v>
      </c>
      <c r="F18" s="77">
        <f>SUM(E18*24/100)</f>
        <v>79.2</v>
      </c>
      <c r="G18" s="77">
        <v>504.5</v>
      </c>
      <c r="H18" s="78">
        <f t="shared" si="0"/>
        <v>39.956400000000002</v>
      </c>
      <c r="I18" s="13">
        <f>F18/12*G18</f>
        <v>3329.7000000000003</v>
      </c>
      <c r="J18" s="25"/>
      <c r="K18" s="8"/>
      <c r="L18" s="8"/>
      <c r="M18" s="8"/>
    </row>
    <row r="19" spans="1:13" ht="15.75" hidden="1" customHeight="1">
      <c r="A19" s="32"/>
      <c r="B19" s="74" t="s">
        <v>100</v>
      </c>
      <c r="C19" s="75" t="s">
        <v>101</v>
      </c>
      <c r="D19" s="74" t="s">
        <v>102</v>
      </c>
      <c r="E19" s="76">
        <v>28.16</v>
      </c>
      <c r="F19" s="77">
        <f>SUM(E19/10)</f>
        <v>2.8159999999999998</v>
      </c>
      <c r="G19" s="77">
        <v>170.16</v>
      </c>
      <c r="H19" s="78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4" t="s">
        <v>103</v>
      </c>
      <c r="C20" s="75" t="s">
        <v>93</v>
      </c>
      <c r="D20" s="74" t="s">
        <v>125</v>
      </c>
      <c r="E20" s="76">
        <v>14</v>
      </c>
      <c r="F20" s="77">
        <f>SUM(E20*12/100)</f>
        <v>1.68</v>
      </c>
      <c r="G20" s="77">
        <v>217.88</v>
      </c>
      <c r="H20" s="78">
        <f t="shared" si="0"/>
        <v>0.36603839999999999</v>
      </c>
      <c r="I20" s="13">
        <f>F20/12*G20</f>
        <v>30.503199999999996</v>
      </c>
      <c r="J20" s="25"/>
      <c r="K20" s="8"/>
      <c r="L20" s="8"/>
      <c r="M20" s="8"/>
    </row>
    <row r="21" spans="1:13" ht="15.75" customHeight="1">
      <c r="A21" s="32">
        <v>5</v>
      </c>
      <c r="B21" s="74" t="s">
        <v>104</v>
      </c>
      <c r="C21" s="75" t="s">
        <v>93</v>
      </c>
      <c r="D21" s="74" t="s">
        <v>30</v>
      </c>
      <c r="E21" s="76">
        <v>3.6</v>
      </c>
      <c r="F21" s="77">
        <f>SUM(E21*12/100)</f>
        <v>0.43200000000000005</v>
      </c>
      <c r="G21" s="77">
        <v>216.12</v>
      </c>
      <c r="H21" s="78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74" t="s">
        <v>105</v>
      </c>
      <c r="C22" s="75" t="s">
        <v>54</v>
      </c>
      <c r="D22" s="74" t="s">
        <v>102</v>
      </c>
      <c r="E22" s="76">
        <v>357</v>
      </c>
      <c r="F22" s="77">
        <f>SUM(E22/100)</f>
        <v>3.57</v>
      </c>
      <c r="G22" s="77">
        <v>269.26</v>
      </c>
      <c r="H22" s="78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4" t="s">
        <v>106</v>
      </c>
      <c r="C23" s="75" t="s">
        <v>54</v>
      </c>
      <c r="D23" s="74" t="s">
        <v>102</v>
      </c>
      <c r="E23" s="79">
        <v>48.3</v>
      </c>
      <c r="F23" s="77">
        <f>SUM(E23/100)</f>
        <v>0.48299999999999998</v>
      </c>
      <c r="G23" s="77">
        <v>44.29</v>
      </c>
      <c r="H23" s="78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74" t="s">
        <v>107</v>
      </c>
      <c r="C24" s="75" t="s">
        <v>54</v>
      </c>
      <c r="D24" s="74" t="s">
        <v>134</v>
      </c>
      <c r="E24" s="76">
        <v>20</v>
      </c>
      <c r="F24" s="77">
        <f>E24/100</f>
        <v>0.2</v>
      </c>
      <c r="G24" s="77">
        <v>389.72</v>
      </c>
      <c r="H24" s="78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74" t="s">
        <v>108</v>
      </c>
      <c r="C25" s="75" t="s">
        <v>54</v>
      </c>
      <c r="D25" s="74" t="s">
        <v>102</v>
      </c>
      <c r="E25" s="76">
        <v>8.5</v>
      </c>
      <c r="F25" s="77">
        <f>SUM(E25/100)</f>
        <v>8.5000000000000006E-2</v>
      </c>
      <c r="G25" s="77">
        <v>520.79999999999995</v>
      </c>
      <c r="H25" s="78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6</v>
      </c>
      <c r="B26" s="74" t="s">
        <v>66</v>
      </c>
      <c r="C26" s="75" t="s">
        <v>33</v>
      </c>
      <c r="D26" s="74" t="s">
        <v>192</v>
      </c>
      <c r="E26" s="76">
        <v>0.1</v>
      </c>
      <c r="F26" s="77">
        <f>SUM(E26*365)</f>
        <v>36.5</v>
      </c>
      <c r="G26" s="77">
        <v>147.03</v>
      </c>
      <c r="H26" s="78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7</v>
      </c>
      <c r="B27" s="82" t="s">
        <v>23</v>
      </c>
      <c r="C27" s="75" t="s">
        <v>24</v>
      </c>
      <c r="D27" s="74" t="s">
        <v>192</v>
      </c>
      <c r="E27" s="76">
        <v>3382.7</v>
      </c>
      <c r="F27" s="77">
        <f>SUM(E27*12)</f>
        <v>40592.399999999994</v>
      </c>
      <c r="G27" s="77">
        <v>4.42</v>
      </c>
      <c r="H27" s="78">
        <f>SUM(F27*G27/1000)</f>
        <v>179.41840799999997</v>
      </c>
      <c r="I27" s="13">
        <f>F27/12*G27</f>
        <v>14951.533999999998</v>
      </c>
      <c r="J27" s="26"/>
    </row>
    <row r="28" spans="1:13" ht="15.75" customHeight="1">
      <c r="A28" s="134" t="s">
        <v>90</v>
      </c>
      <c r="B28" s="134"/>
      <c r="C28" s="134"/>
      <c r="D28" s="134"/>
      <c r="E28" s="134"/>
      <c r="F28" s="134"/>
      <c r="G28" s="134"/>
      <c r="H28" s="134"/>
      <c r="I28" s="134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5"/>
      <c r="D29" s="74"/>
      <c r="E29" s="76"/>
      <c r="F29" s="77"/>
      <c r="G29" s="77"/>
      <c r="H29" s="78"/>
      <c r="I29" s="13"/>
      <c r="J29" s="25"/>
      <c r="K29" s="8"/>
      <c r="L29" s="8"/>
      <c r="M29" s="8"/>
    </row>
    <row r="30" spans="1:13" ht="15.75" customHeight="1">
      <c r="A30" s="32">
        <v>8</v>
      </c>
      <c r="B30" s="74" t="s">
        <v>112</v>
      </c>
      <c r="C30" s="75" t="s">
        <v>95</v>
      </c>
      <c r="D30" s="74" t="s">
        <v>207</v>
      </c>
      <c r="E30" s="77">
        <v>667.1</v>
      </c>
      <c r="F30" s="77">
        <f>SUM(E30*52/1000)</f>
        <v>34.689200000000007</v>
      </c>
      <c r="G30" s="77">
        <v>155.88999999999999</v>
      </c>
      <c r="H30" s="78">
        <f t="shared" ref="H30:H36" si="1">SUM(F30*G30/1000)</f>
        <v>5.4076993880000011</v>
      </c>
      <c r="I30" s="13">
        <f t="shared" ref="I30:I34" si="2">F30/6*G30</f>
        <v>901.28323133333345</v>
      </c>
      <c r="J30" s="25"/>
      <c r="K30" s="8"/>
      <c r="L30" s="8"/>
      <c r="M30" s="8"/>
    </row>
    <row r="31" spans="1:13" ht="31.5" customHeight="1">
      <c r="A31" s="32">
        <v>9</v>
      </c>
      <c r="B31" s="74" t="s">
        <v>126</v>
      </c>
      <c r="C31" s="75" t="s">
        <v>95</v>
      </c>
      <c r="D31" s="74" t="s">
        <v>208</v>
      </c>
      <c r="E31" s="77">
        <v>457.48</v>
      </c>
      <c r="F31" s="77">
        <f>SUM(E31*78/1000)</f>
        <v>35.683440000000004</v>
      </c>
      <c r="G31" s="77">
        <v>258.63</v>
      </c>
      <c r="H31" s="78">
        <f t="shared" si="1"/>
        <v>9.2288080872000009</v>
      </c>
      <c r="I31" s="13">
        <f t="shared" si="2"/>
        <v>1538.1346812000002</v>
      </c>
      <c r="J31" s="25"/>
      <c r="K31" s="8"/>
      <c r="L31" s="8"/>
      <c r="M31" s="8"/>
    </row>
    <row r="32" spans="1:13" ht="15.75" hidden="1" customHeight="1">
      <c r="A32" s="32"/>
      <c r="B32" s="74" t="s">
        <v>27</v>
      </c>
      <c r="C32" s="75" t="s">
        <v>95</v>
      </c>
      <c r="D32" s="74" t="s">
        <v>55</v>
      </c>
      <c r="E32" s="77">
        <v>667.1</v>
      </c>
      <c r="F32" s="77">
        <f>SUM(E32/1000)</f>
        <v>0.66710000000000003</v>
      </c>
      <c r="G32" s="77">
        <v>3020.33</v>
      </c>
      <c r="H32" s="78">
        <f t="shared" si="1"/>
        <v>2.0148621430000002</v>
      </c>
      <c r="I32" s="13">
        <f>F32*G32</f>
        <v>2014.8621430000001</v>
      </c>
      <c r="J32" s="25"/>
      <c r="K32" s="8"/>
      <c r="L32" s="8"/>
      <c r="M32" s="8"/>
    </row>
    <row r="33" spans="1:14" ht="15.75" customHeight="1">
      <c r="A33" s="32">
        <v>10</v>
      </c>
      <c r="B33" s="74" t="s">
        <v>131</v>
      </c>
      <c r="C33" s="75" t="s">
        <v>41</v>
      </c>
      <c r="D33" s="74" t="s">
        <v>65</v>
      </c>
      <c r="E33" s="77">
        <v>1</v>
      </c>
      <c r="F33" s="77">
        <v>1.55</v>
      </c>
      <c r="G33" s="77">
        <v>1302.02</v>
      </c>
      <c r="H33" s="78">
        <f>G33*F33/1000</f>
        <v>2.0181309999999999</v>
      </c>
      <c r="I33" s="13">
        <f t="shared" si="2"/>
        <v>336.35516666666672</v>
      </c>
      <c r="J33" s="25"/>
      <c r="K33" s="8"/>
      <c r="L33" s="8"/>
      <c r="M33" s="8"/>
    </row>
    <row r="34" spans="1:14" ht="15.75" customHeight="1">
      <c r="A34" s="32">
        <v>11</v>
      </c>
      <c r="B34" s="74" t="s">
        <v>111</v>
      </c>
      <c r="C34" s="75" t="s">
        <v>31</v>
      </c>
      <c r="D34" s="74" t="s">
        <v>65</v>
      </c>
      <c r="E34" s="81">
        <v>0.33333333333333331</v>
      </c>
      <c r="F34" s="77">
        <f>155/3</f>
        <v>51.666666666666664</v>
      </c>
      <c r="G34" s="77">
        <v>56.69</v>
      </c>
      <c r="H34" s="78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4" t="s">
        <v>67</v>
      </c>
      <c r="C35" s="75" t="s">
        <v>33</v>
      </c>
      <c r="D35" s="74" t="s">
        <v>69</v>
      </c>
      <c r="E35" s="76"/>
      <c r="F35" s="77">
        <v>3</v>
      </c>
      <c r="G35" s="77">
        <v>191.32</v>
      </c>
      <c r="H35" s="78">
        <f t="shared" si="1"/>
        <v>0.57396000000000003</v>
      </c>
      <c r="I35" s="13">
        <v>0</v>
      </c>
      <c r="J35" s="26"/>
    </row>
    <row r="36" spans="1:14" ht="15.75" hidden="1" customHeight="1">
      <c r="A36" s="32"/>
      <c r="B36" s="74" t="s">
        <v>68</v>
      </c>
      <c r="C36" s="75" t="s">
        <v>32</v>
      </c>
      <c r="D36" s="74" t="s">
        <v>69</v>
      </c>
      <c r="E36" s="76"/>
      <c r="F36" s="77">
        <v>2</v>
      </c>
      <c r="G36" s="77">
        <v>1136.33</v>
      </c>
      <c r="H36" s="78">
        <f t="shared" si="1"/>
        <v>2.2726599999999997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5"/>
      <c r="D37" s="74"/>
      <c r="E37" s="76"/>
      <c r="F37" s="77"/>
      <c r="G37" s="77"/>
      <c r="H37" s="78" t="s">
        <v>130</v>
      </c>
      <c r="I37" s="13"/>
      <c r="J37" s="26"/>
    </row>
    <row r="38" spans="1:14" ht="15.75" hidden="1" customHeight="1">
      <c r="A38" s="32">
        <v>8</v>
      </c>
      <c r="B38" s="74" t="s">
        <v>26</v>
      </c>
      <c r="C38" s="75" t="s">
        <v>32</v>
      </c>
      <c r="D38" s="74"/>
      <c r="E38" s="76"/>
      <c r="F38" s="77">
        <v>10</v>
      </c>
      <c r="G38" s="77">
        <v>1527.22</v>
      </c>
      <c r="H38" s="78">
        <f t="shared" ref="H38:H43" si="3">SUM(F38*G38/1000)</f>
        <v>15.272200000000002</v>
      </c>
      <c r="I38" s="13">
        <f t="shared" ref="I38:I43" si="4">F38/6*G38</f>
        <v>2545.3666666666668</v>
      </c>
      <c r="J38" s="26"/>
    </row>
    <row r="39" spans="1:14" ht="15.75" hidden="1" customHeight="1">
      <c r="A39" s="32">
        <v>9</v>
      </c>
      <c r="B39" s="74" t="s">
        <v>113</v>
      </c>
      <c r="C39" s="75" t="s">
        <v>29</v>
      </c>
      <c r="D39" s="74" t="s">
        <v>135</v>
      </c>
      <c r="E39" s="76">
        <v>457.48</v>
      </c>
      <c r="F39" s="77">
        <f>E39*20/1000</f>
        <v>9.1495999999999995</v>
      </c>
      <c r="G39" s="77">
        <v>2102.71</v>
      </c>
      <c r="H39" s="78">
        <f t="shared" si="3"/>
        <v>19.238955416</v>
      </c>
      <c r="I39" s="13">
        <f t="shared" si="4"/>
        <v>3206.492569333333</v>
      </c>
      <c r="J39" s="26"/>
      <c r="L39" s="19"/>
      <c r="M39" s="20"/>
      <c r="N39" s="21"/>
    </row>
    <row r="40" spans="1:14" ht="15.75" hidden="1" customHeight="1">
      <c r="A40" s="32">
        <v>10</v>
      </c>
      <c r="B40" s="74" t="s">
        <v>70</v>
      </c>
      <c r="C40" s="75" t="s">
        <v>29</v>
      </c>
      <c r="D40" s="74" t="s">
        <v>94</v>
      </c>
      <c r="E40" s="77">
        <v>107.36</v>
      </c>
      <c r="F40" s="77">
        <f>SUM(E40*155/1000)</f>
        <v>16.640799999999999</v>
      </c>
      <c r="G40" s="77">
        <v>350.75</v>
      </c>
      <c r="H40" s="78">
        <f t="shared" si="3"/>
        <v>5.8367605999999999</v>
      </c>
      <c r="I40" s="13">
        <f t="shared" si="4"/>
        <v>972.79343333333316</v>
      </c>
      <c r="J40" s="26"/>
      <c r="L40" s="19"/>
      <c r="M40" s="20"/>
      <c r="N40" s="21"/>
    </row>
    <row r="41" spans="1:14" ht="48" hidden="1" customHeight="1">
      <c r="A41" s="32">
        <v>11</v>
      </c>
      <c r="B41" s="74" t="s">
        <v>87</v>
      </c>
      <c r="C41" s="75" t="s">
        <v>95</v>
      </c>
      <c r="D41" s="74" t="s">
        <v>136</v>
      </c>
      <c r="E41" s="77">
        <v>24</v>
      </c>
      <c r="F41" s="77">
        <f>SUM(E41*50/1000)</f>
        <v>1.2</v>
      </c>
      <c r="G41" s="77">
        <v>5803.28</v>
      </c>
      <c r="H41" s="78">
        <f t="shared" si="3"/>
        <v>6.9639359999999995</v>
      </c>
      <c r="I41" s="13">
        <f t="shared" si="4"/>
        <v>1160.6559999999999</v>
      </c>
      <c r="J41" s="26"/>
      <c r="L41" s="19"/>
      <c r="M41" s="20"/>
      <c r="N41" s="21"/>
    </row>
    <row r="42" spans="1:14" ht="15.75" hidden="1" customHeight="1">
      <c r="A42" s="32">
        <v>12</v>
      </c>
      <c r="B42" s="74" t="s">
        <v>96</v>
      </c>
      <c r="C42" s="75" t="s">
        <v>95</v>
      </c>
      <c r="D42" s="74" t="s">
        <v>71</v>
      </c>
      <c r="E42" s="77">
        <v>123.36</v>
      </c>
      <c r="F42" s="77">
        <f>SUM(E42*45/1000)</f>
        <v>5.5511999999999997</v>
      </c>
      <c r="G42" s="77">
        <v>428.7</v>
      </c>
      <c r="H42" s="78">
        <f t="shared" si="3"/>
        <v>2.3797994399999998</v>
      </c>
      <c r="I42" s="13">
        <f t="shared" si="4"/>
        <v>396.63323999999994</v>
      </c>
      <c r="J42" s="26"/>
      <c r="L42" s="19"/>
      <c r="M42" s="20"/>
      <c r="N42" s="21"/>
    </row>
    <row r="43" spans="1:14" ht="15.75" hidden="1" customHeight="1">
      <c r="A43" s="32">
        <v>13</v>
      </c>
      <c r="B43" s="74" t="s">
        <v>72</v>
      </c>
      <c r="C43" s="75" t="s">
        <v>33</v>
      </c>
      <c r="D43" s="74"/>
      <c r="E43" s="76"/>
      <c r="F43" s="77">
        <v>0.9</v>
      </c>
      <c r="G43" s="77">
        <v>798</v>
      </c>
      <c r="H43" s="78">
        <f t="shared" si="3"/>
        <v>0.71820000000000006</v>
      </c>
      <c r="I43" s="13">
        <f t="shared" si="4"/>
        <v>119.69999999999999</v>
      </c>
      <c r="J43" s="26"/>
      <c r="L43" s="19"/>
      <c r="M43" s="20"/>
      <c r="N43" s="21"/>
    </row>
    <row r="44" spans="1:14" ht="15.75" customHeight="1">
      <c r="A44" s="135" t="s">
        <v>144</v>
      </c>
      <c r="B44" s="136"/>
      <c r="C44" s="136"/>
      <c r="D44" s="136"/>
      <c r="E44" s="136"/>
      <c r="F44" s="136"/>
      <c r="G44" s="136"/>
      <c r="H44" s="136"/>
      <c r="I44" s="137"/>
      <c r="J44" s="26"/>
      <c r="L44" s="19"/>
      <c r="M44" s="20"/>
      <c r="N44" s="21"/>
    </row>
    <row r="45" spans="1:14" ht="15.75" customHeight="1">
      <c r="A45" s="32">
        <v>12</v>
      </c>
      <c r="B45" s="74" t="s">
        <v>137</v>
      </c>
      <c r="C45" s="75" t="s">
        <v>95</v>
      </c>
      <c r="D45" s="74" t="s">
        <v>43</v>
      </c>
      <c r="E45" s="76">
        <v>1197.75</v>
      </c>
      <c r="F45" s="77">
        <f>SUM(E45*2/1000)</f>
        <v>2.3955000000000002</v>
      </c>
      <c r="G45" s="13">
        <v>809.74</v>
      </c>
      <c r="H45" s="78">
        <f t="shared" ref="H45:H53" si="5">SUM(F45*G45/1000)</f>
        <v>1.9397321700000003</v>
      </c>
      <c r="I45" s="13">
        <f t="shared" ref="I45:I48" si="6">F45/2*G45</f>
        <v>969.86608500000011</v>
      </c>
      <c r="J45" s="26"/>
      <c r="L45" s="19"/>
      <c r="M45" s="20"/>
      <c r="N45" s="21"/>
    </row>
    <row r="46" spans="1:14" ht="15.75" customHeight="1">
      <c r="A46" s="32">
        <v>13</v>
      </c>
      <c r="B46" s="74" t="s">
        <v>36</v>
      </c>
      <c r="C46" s="75" t="s">
        <v>95</v>
      </c>
      <c r="D46" s="74" t="s">
        <v>43</v>
      </c>
      <c r="E46" s="76">
        <v>52</v>
      </c>
      <c r="F46" s="77">
        <f>E46*2/1000</f>
        <v>0.104</v>
      </c>
      <c r="G46" s="13">
        <v>457.4</v>
      </c>
      <c r="H46" s="78">
        <f t="shared" si="5"/>
        <v>4.7569599999999997E-2</v>
      </c>
      <c r="I46" s="13">
        <f t="shared" si="6"/>
        <v>23.784799999999997</v>
      </c>
      <c r="J46" s="26"/>
      <c r="L46" s="19"/>
      <c r="M46" s="20"/>
      <c r="N46" s="21"/>
    </row>
    <row r="47" spans="1:14" ht="15.75" customHeight="1">
      <c r="A47" s="32">
        <v>14</v>
      </c>
      <c r="B47" s="74" t="s">
        <v>37</v>
      </c>
      <c r="C47" s="75" t="s">
        <v>95</v>
      </c>
      <c r="D47" s="74" t="s">
        <v>43</v>
      </c>
      <c r="E47" s="76">
        <v>1056.5999999999999</v>
      </c>
      <c r="F47" s="77">
        <f>SUM(E47*2/1000)</f>
        <v>2.1132</v>
      </c>
      <c r="G47" s="13">
        <v>579.48</v>
      </c>
      <c r="H47" s="78">
        <f t="shared" si="5"/>
        <v>1.224557136</v>
      </c>
      <c r="I47" s="13">
        <f t="shared" si="6"/>
        <v>612.27856800000006</v>
      </c>
      <c r="J47" s="26"/>
      <c r="L47" s="19"/>
      <c r="M47" s="20"/>
      <c r="N47" s="21"/>
    </row>
    <row r="48" spans="1:14" ht="15.75" customHeight="1">
      <c r="A48" s="32">
        <v>15</v>
      </c>
      <c r="B48" s="74" t="s">
        <v>38</v>
      </c>
      <c r="C48" s="75" t="s">
        <v>95</v>
      </c>
      <c r="D48" s="74" t="s">
        <v>43</v>
      </c>
      <c r="E48" s="76">
        <v>2582</v>
      </c>
      <c r="F48" s="77">
        <f>SUM(E48*2/1000)</f>
        <v>5.1639999999999997</v>
      </c>
      <c r="G48" s="13">
        <v>606.77</v>
      </c>
      <c r="H48" s="78">
        <f t="shared" si="5"/>
        <v>3.1333602799999998</v>
      </c>
      <c r="I48" s="13">
        <f t="shared" si="6"/>
        <v>1566.6801399999999</v>
      </c>
      <c r="J48" s="26"/>
      <c r="L48" s="19"/>
      <c r="M48" s="20"/>
      <c r="N48" s="21"/>
    </row>
    <row r="49" spans="1:22" ht="15.75" customHeight="1">
      <c r="A49" s="32">
        <v>16</v>
      </c>
      <c r="B49" s="74" t="s">
        <v>34</v>
      </c>
      <c r="C49" s="75" t="s">
        <v>35</v>
      </c>
      <c r="D49" s="74" t="s">
        <v>43</v>
      </c>
      <c r="E49" s="76">
        <v>1676.85</v>
      </c>
      <c r="F49" s="77">
        <f>SUM(E49*2/100)</f>
        <v>33.536999999999999</v>
      </c>
      <c r="G49" s="13">
        <v>72.81</v>
      </c>
      <c r="H49" s="78">
        <f t="shared" si="5"/>
        <v>2.44182897</v>
      </c>
      <c r="I49" s="13">
        <f>F49/2*G49</f>
        <v>1220.914485</v>
      </c>
      <c r="J49" s="26"/>
      <c r="L49" s="19"/>
      <c r="M49" s="20"/>
      <c r="N49" s="21"/>
    </row>
    <row r="50" spans="1:22" ht="15.75" customHeight="1">
      <c r="A50" s="32">
        <v>17</v>
      </c>
      <c r="B50" s="74" t="s">
        <v>58</v>
      </c>
      <c r="C50" s="75" t="s">
        <v>95</v>
      </c>
      <c r="D50" s="74" t="s">
        <v>176</v>
      </c>
      <c r="E50" s="76">
        <v>1916.4</v>
      </c>
      <c r="F50" s="77">
        <f>SUM(E50*5/1000)</f>
        <v>9.5820000000000007</v>
      </c>
      <c r="G50" s="13">
        <v>1213.55</v>
      </c>
      <c r="H50" s="78">
        <f t="shared" si="5"/>
        <v>11.628236100000001</v>
      </c>
      <c r="I50" s="13">
        <f>F50/5*G50</f>
        <v>2325.6472199999998</v>
      </c>
      <c r="J50" s="26"/>
      <c r="L50" s="19"/>
      <c r="M50" s="20"/>
      <c r="N50" s="21"/>
    </row>
    <row r="51" spans="1:22" ht="31.5" customHeight="1">
      <c r="A51" s="32">
        <v>18</v>
      </c>
      <c r="B51" s="74" t="s">
        <v>97</v>
      </c>
      <c r="C51" s="75" t="s">
        <v>95</v>
      </c>
      <c r="D51" s="74" t="s">
        <v>43</v>
      </c>
      <c r="E51" s="76">
        <v>1916.4</v>
      </c>
      <c r="F51" s="77">
        <f>SUM(E51*2/1000)</f>
        <v>3.8328000000000002</v>
      </c>
      <c r="G51" s="13">
        <v>1213.55</v>
      </c>
      <c r="H51" s="78">
        <f t="shared" si="5"/>
        <v>4.65129444</v>
      </c>
      <c r="I51" s="13">
        <f t="shared" ref="I51:I53" si="7">F51/2*G51</f>
        <v>2325.6472199999998</v>
      </c>
      <c r="J51" s="26"/>
      <c r="L51" s="19"/>
      <c r="M51" s="20"/>
      <c r="N51" s="21"/>
    </row>
    <row r="52" spans="1:22" ht="31.5" customHeight="1">
      <c r="A52" s="32">
        <v>19</v>
      </c>
      <c r="B52" s="74" t="s">
        <v>98</v>
      </c>
      <c r="C52" s="75" t="s">
        <v>39</v>
      </c>
      <c r="D52" s="74" t="s">
        <v>43</v>
      </c>
      <c r="E52" s="76">
        <v>20</v>
      </c>
      <c r="F52" s="77">
        <f>SUM(E52*2/100)</f>
        <v>0.4</v>
      </c>
      <c r="G52" s="13">
        <v>2730.49</v>
      </c>
      <c r="H52" s="78">
        <f t="shared" si="5"/>
        <v>1.0921959999999999</v>
      </c>
      <c r="I52" s="13">
        <f t="shared" si="7"/>
        <v>546.09799999999996</v>
      </c>
      <c r="J52" s="26"/>
      <c r="L52" s="19"/>
      <c r="M52" s="20"/>
      <c r="N52" s="21"/>
    </row>
    <row r="53" spans="1:22" ht="15.75" customHeight="1">
      <c r="A53" s="32">
        <v>20</v>
      </c>
      <c r="B53" s="74" t="s">
        <v>40</v>
      </c>
      <c r="C53" s="75" t="s">
        <v>41</v>
      </c>
      <c r="D53" s="74" t="s">
        <v>43</v>
      </c>
      <c r="E53" s="76">
        <v>1</v>
      </c>
      <c r="F53" s="77">
        <v>0.02</v>
      </c>
      <c r="G53" s="13">
        <v>5652.13</v>
      </c>
      <c r="H53" s="78">
        <f t="shared" si="5"/>
        <v>0.11304260000000001</v>
      </c>
      <c r="I53" s="13">
        <f t="shared" si="7"/>
        <v>56.521300000000004</v>
      </c>
      <c r="J53" s="26"/>
      <c r="L53" s="19"/>
      <c r="M53" s="20"/>
      <c r="N53" s="21"/>
    </row>
    <row r="54" spans="1:22" ht="15.75" customHeight="1">
      <c r="A54" s="135" t="s">
        <v>145</v>
      </c>
      <c r="B54" s="136"/>
      <c r="C54" s="136"/>
      <c r="D54" s="136"/>
      <c r="E54" s="136"/>
      <c r="F54" s="136"/>
      <c r="G54" s="136"/>
      <c r="H54" s="136"/>
      <c r="I54" s="137"/>
      <c r="J54" s="26"/>
      <c r="L54" s="19"/>
      <c r="M54" s="20"/>
      <c r="N54" s="21"/>
    </row>
    <row r="55" spans="1:22" ht="15.75" hidden="1" customHeight="1">
      <c r="A55" s="32"/>
      <c r="B55" s="100" t="s">
        <v>44</v>
      </c>
      <c r="C55" s="75"/>
      <c r="D55" s="74"/>
      <c r="E55" s="76"/>
      <c r="F55" s="77"/>
      <c r="G55" s="77"/>
      <c r="H55" s="78"/>
      <c r="I55" s="13"/>
      <c r="J55" s="26"/>
      <c r="L55" s="19"/>
      <c r="M55" s="20"/>
      <c r="N55" s="21"/>
    </row>
    <row r="56" spans="1:22" ht="31.5" hidden="1" customHeight="1">
      <c r="A56" s="32">
        <v>16</v>
      </c>
      <c r="B56" s="74" t="s">
        <v>129</v>
      </c>
      <c r="C56" s="75" t="s">
        <v>93</v>
      </c>
      <c r="D56" s="74" t="s">
        <v>115</v>
      </c>
      <c r="E56" s="76">
        <v>131.77500000000001</v>
      </c>
      <c r="F56" s="77">
        <f>SUM(E56*6/100)</f>
        <v>7.9065000000000012</v>
      </c>
      <c r="G56" s="13">
        <v>1547.28</v>
      </c>
      <c r="H56" s="78">
        <f>SUM(F56*G56/1000)</f>
        <v>12.233569320000003</v>
      </c>
      <c r="I56" s="13">
        <f>F56/6*G56</f>
        <v>2038.9282200000002</v>
      </c>
      <c r="J56" s="26"/>
      <c r="L56" s="19"/>
      <c r="M56" s="20"/>
      <c r="N56" s="21"/>
    </row>
    <row r="57" spans="1:22" ht="15.75" customHeight="1">
      <c r="A57" s="32"/>
      <c r="B57" s="101" t="s">
        <v>45</v>
      </c>
      <c r="C57" s="83"/>
      <c r="D57" s="84"/>
      <c r="E57" s="85"/>
      <c r="F57" s="87"/>
      <c r="G57" s="13"/>
      <c r="H57" s="88"/>
      <c r="I57" s="13"/>
      <c r="J57" s="26"/>
      <c r="L57" s="19"/>
      <c r="M57" s="20"/>
      <c r="N57" s="21"/>
    </row>
    <row r="58" spans="1:22" ht="15.75" hidden="1" customHeight="1">
      <c r="A58" s="32"/>
      <c r="B58" s="84" t="s">
        <v>138</v>
      </c>
      <c r="C58" s="83" t="s">
        <v>54</v>
      </c>
      <c r="D58" s="84" t="s">
        <v>55</v>
      </c>
      <c r="E58" s="85">
        <v>890</v>
      </c>
      <c r="F58" s="87">
        <v>8.9</v>
      </c>
      <c r="G58" s="13">
        <v>793.61</v>
      </c>
      <c r="H58" s="88">
        <f>F58*G58/1000</f>
        <v>7.0631290000000009</v>
      </c>
      <c r="I58" s="13">
        <v>0</v>
      </c>
      <c r="J58" s="26"/>
      <c r="L58" s="19"/>
    </row>
    <row r="59" spans="1:22" ht="15.75" hidden="1" customHeight="1">
      <c r="A59" s="32"/>
      <c r="B59" s="84" t="s">
        <v>139</v>
      </c>
      <c r="C59" s="83" t="s">
        <v>54</v>
      </c>
      <c r="D59" s="84" t="s">
        <v>55</v>
      </c>
      <c r="E59" s="85">
        <v>890</v>
      </c>
      <c r="F59" s="87">
        <v>8.9</v>
      </c>
      <c r="G59" s="13">
        <v>793.61</v>
      </c>
      <c r="H59" s="88">
        <f>F59*G59/1000</f>
        <v>7.0631290000000009</v>
      </c>
      <c r="I59" s="13">
        <v>0</v>
      </c>
    </row>
    <row r="60" spans="1:22" ht="15.75" customHeight="1">
      <c r="A60" s="32">
        <v>21</v>
      </c>
      <c r="B60" s="84" t="s">
        <v>127</v>
      </c>
      <c r="C60" s="83" t="s">
        <v>25</v>
      </c>
      <c r="D60" s="84" t="s">
        <v>30</v>
      </c>
      <c r="E60" s="85">
        <v>158.19999999999999</v>
      </c>
      <c r="F60" s="87">
        <f>E60*12</f>
        <v>1898.3999999999999</v>
      </c>
      <c r="G60" s="94">
        <v>2.6</v>
      </c>
      <c r="H60" s="88">
        <f>F60*G60/1000</f>
        <v>4.9358399999999998</v>
      </c>
      <c r="I60" s="13">
        <f>F60/12*G60</f>
        <v>411.32</v>
      </c>
    </row>
    <row r="61" spans="1:22" ht="15.75" customHeight="1">
      <c r="A61" s="32"/>
      <c r="B61" s="101" t="s">
        <v>46</v>
      </c>
      <c r="C61" s="83"/>
      <c r="D61" s="84"/>
      <c r="E61" s="85"/>
      <c r="F61" s="86"/>
      <c r="G61" s="86"/>
      <c r="H61" s="87" t="s">
        <v>130</v>
      </c>
      <c r="I61" s="13"/>
    </row>
    <row r="62" spans="1:22" ht="15.75" customHeight="1">
      <c r="A62" s="32">
        <v>22</v>
      </c>
      <c r="B62" s="14" t="s">
        <v>47</v>
      </c>
      <c r="C62" s="16" t="s">
        <v>114</v>
      </c>
      <c r="D62" s="14" t="s">
        <v>151</v>
      </c>
      <c r="E62" s="18">
        <v>15</v>
      </c>
      <c r="F62" s="77">
        <v>15</v>
      </c>
      <c r="G62" s="13">
        <v>222.4</v>
      </c>
      <c r="H62" s="89">
        <f t="shared" ref="H62:H75" si="8">SUM(F62*G62/1000)</f>
        <v>3.3359999999999999</v>
      </c>
      <c r="I62" s="13">
        <f>G62*3</f>
        <v>667.2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2"/>
      <c r="B63" s="14" t="s">
        <v>48</v>
      </c>
      <c r="C63" s="16" t="s">
        <v>114</v>
      </c>
      <c r="D63" s="14" t="s">
        <v>151</v>
      </c>
      <c r="E63" s="18">
        <v>8</v>
      </c>
      <c r="F63" s="77">
        <v>8</v>
      </c>
      <c r="G63" s="13">
        <v>76.25</v>
      </c>
      <c r="H63" s="89">
        <f t="shared" si="8"/>
        <v>0.61</v>
      </c>
      <c r="I63" s="13">
        <v>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14" t="s">
        <v>49</v>
      </c>
      <c r="C64" s="16" t="s">
        <v>116</v>
      </c>
      <c r="D64" s="14" t="s">
        <v>55</v>
      </c>
      <c r="E64" s="76">
        <v>14220</v>
      </c>
      <c r="F64" s="13">
        <f>SUM(E64/100)</f>
        <v>142.19999999999999</v>
      </c>
      <c r="G64" s="13">
        <v>212.15</v>
      </c>
      <c r="H64" s="89">
        <f t="shared" si="8"/>
        <v>30.167729999999999</v>
      </c>
      <c r="I64" s="13">
        <f>F64*G64</f>
        <v>30167.73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/>
      <c r="B65" s="14" t="s">
        <v>50</v>
      </c>
      <c r="C65" s="16" t="s">
        <v>117</v>
      </c>
      <c r="D65" s="14"/>
      <c r="E65" s="76">
        <v>14220</v>
      </c>
      <c r="F65" s="13">
        <f>SUM(E65/1000)</f>
        <v>14.22</v>
      </c>
      <c r="G65" s="13">
        <v>165.21</v>
      </c>
      <c r="H65" s="89">
        <f t="shared" si="8"/>
        <v>2.3492861999999999</v>
      </c>
      <c r="I65" s="13">
        <f t="shared" ref="I65:I69" si="9">F65*G65</f>
        <v>2349.2862</v>
      </c>
      <c r="J65" s="5"/>
      <c r="K65" s="5"/>
      <c r="L65" s="5"/>
      <c r="M65" s="5"/>
      <c r="N65" s="5"/>
      <c r="O65" s="5"/>
      <c r="P65" s="5"/>
      <c r="Q65" s="5"/>
      <c r="R65" s="138"/>
      <c r="S65" s="138"/>
      <c r="T65" s="138"/>
      <c r="U65" s="138"/>
    </row>
    <row r="66" spans="1:21" ht="15.75" hidden="1" customHeight="1">
      <c r="A66" s="32"/>
      <c r="B66" s="14" t="s">
        <v>51</v>
      </c>
      <c r="C66" s="16" t="s">
        <v>79</v>
      </c>
      <c r="D66" s="14" t="s">
        <v>55</v>
      </c>
      <c r="E66" s="76">
        <v>2260</v>
      </c>
      <c r="F66" s="13">
        <f>SUM(E66/100)</f>
        <v>22.6</v>
      </c>
      <c r="G66" s="13">
        <v>2074.63</v>
      </c>
      <c r="H66" s="89">
        <f t="shared" si="8"/>
        <v>46.886638000000005</v>
      </c>
      <c r="I66" s="13">
        <f t="shared" si="9"/>
        <v>46886.638000000006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90" t="s">
        <v>118</v>
      </c>
      <c r="C67" s="16" t="s">
        <v>33</v>
      </c>
      <c r="D67" s="14"/>
      <c r="E67" s="76">
        <v>11</v>
      </c>
      <c r="F67" s="13">
        <f>SUM(E67)</f>
        <v>11</v>
      </c>
      <c r="G67" s="13">
        <v>45.32</v>
      </c>
      <c r="H67" s="89">
        <f t="shared" si="8"/>
        <v>0.49851999999999996</v>
      </c>
      <c r="I67" s="13">
        <f t="shared" si="9"/>
        <v>498.52</v>
      </c>
    </row>
    <row r="68" spans="1:21" ht="15.75" hidden="1" customHeight="1">
      <c r="A68" s="32"/>
      <c r="B68" s="90" t="s">
        <v>119</v>
      </c>
      <c r="C68" s="16" t="s">
        <v>33</v>
      </c>
      <c r="D68" s="14"/>
      <c r="E68" s="76">
        <v>11</v>
      </c>
      <c r="F68" s="13">
        <f>SUM(E68)</f>
        <v>11</v>
      </c>
      <c r="G68" s="13">
        <v>42.28</v>
      </c>
      <c r="H68" s="89">
        <f t="shared" si="8"/>
        <v>0.46508000000000005</v>
      </c>
      <c r="I68" s="13">
        <f t="shared" si="9"/>
        <v>465.08000000000004</v>
      </c>
    </row>
    <row r="69" spans="1:21" ht="15.75" customHeight="1">
      <c r="A69" s="32">
        <v>23</v>
      </c>
      <c r="B69" s="14" t="s">
        <v>59</v>
      </c>
      <c r="C69" s="16" t="s">
        <v>60</v>
      </c>
      <c r="D69" s="14" t="s">
        <v>55</v>
      </c>
      <c r="E69" s="18">
        <v>8</v>
      </c>
      <c r="F69" s="77">
        <v>8</v>
      </c>
      <c r="G69" s="13">
        <v>49.88</v>
      </c>
      <c r="H69" s="89">
        <f t="shared" si="8"/>
        <v>0.39904000000000001</v>
      </c>
      <c r="I69" s="13">
        <f t="shared" si="9"/>
        <v>399.04</v>
      </c>
    </row>
    <row r="70" spans="1:21" ht="15.75" hidden="1" customHeight="1">
      <c r="A70" s="32"/>
      <c r="B70" s="62" t="s">
        <v>74</v>
      </c>
      <c r="C70" s="16"/>
      <c r="D70" s="14"/>
      <c r="E70" s="18"/>
      <c r="F70" s="13"/>
      <c r="G70" s="13"/>
      <c r="H70" s="89" t="s">
        <v>130</v>
      </c>
      <c r="I70" s="13"/>
    </row>
    <row r="71" spans="1:21" ht="15.75" hidden="1" customHeight="1">
      <c r="A71" s="32"/>
      <c r="B71" s="14" t="s">
        <v>75</v>
      </c>
      <c r="C71" s="16" t="s">
        <v>77</v>
      </c>
      <c r="D71" s="14"/>
      <c r="E71" s="18">
        <v>2</v>
      </c>
      <c r="F71" s="13">
        <v>0.2</v>
      </c>
      <c r="G71" s="13">
        <v>501.62</v>
      </c>
      <c r="H71" s="89">
        <f t="shared" si="8"/>
        <v>0.10032400000000001</v>
      </c>
      <c r="I71" s="13">
        <v>0</v>
      </c>
    </row>
    <row r="72" spans="1:21" ht="15.75" hidden="1" customHeight="1">
      <c r="A72" s="32"/>
      <c r="B72" s="14" t="s">
        <v>76</v>
      </c>
      <c r="C72" s="16" t="s">
        <v>31</v>
      </c>
      <c r="D72" s="14"/>
      <c r="E72" s="18">
        <v>1</v>
      </c>
      <c r="F72" s="66">
        <v>1</v>
      </c>
      <c r="G72" s="13">
        <v>852.99</v>
      </c>
      <c r="H72" s="89">
        <f>F72*G72/1000</f>
        <v>0.85299000000000003</v>
      </c>
      <c r="I72" s="13">
        <v>0</v>
      </c>
    </row>
    <row r="73" spans="1:21" ht="15.75" hidden="1" customHeight="1">
      <c r="A73" s="32"/>
      <c r="B73" s="14" t="s">
        <v>121</v>
      </c>
      <c r="C73" s="16" t="s">
        <v>31</v>
      </c>
      <c r="D73" s="14"/>
      <c r="E73" s="18">
        <v>1</v>
      </c>
      <c r="F73" s="13">
        <v>1</v>
      </c>
      <c r="G73" s="13">
        <v>358.51</v>
      </c>
      <c r="H73" s="89">
        <f>G73*F73/1000</f>
        <v>0.35851</v>
      </c>
      <c r="I73" s="13">
        <v>0</v>
      </c>
    </row>
    <row r="74" spans="1:21" ht="15.75" hidden="1" customHeight="1">
      <c r="A74" s="32"/>
      <c r="B74" s="92" t="s">
        <v>78</v>
      </c>
      <c r="C74" s="16"/>
      <c r="D74" s="14"/>
      <c r="E74" s="18"/>
      <c r="F74" s="13"/>
      <c r="G74" s="13" t="s">
        <v>130</v>
      </c>
      <c r="H74" s="89" t="s">
        <v>130</v>
      </c>
      <c r="I74" s="13"/>
    </row>
    <row r="75" spans="1:21" ht="15.75" hidden="1" customHeight="1">
      <c r="A75" s="32"/>
      <c r="B75" s="46" t="s">
        <v>128</v>
      </c>
      <c r="C75" s="16" t="s">
        <v>79</v>
      </c>
      <c r="D75" s="14"/>
      <c r="E75" s="18"/>
      <c r="F75" s="13">
        <v>0.1</v>
      </c>
      <c r="G75" s="13">
        <v>2759.44</v>
      </c>
      <c r="H75" s="89">
        <f t="shared" si="8"/>
        <v>0.27594400000000002</v>
      </c>
      <c r="I75" s="13">
        <v>0</v>
      </c>
    </row>
    <row r="76" spans="1:21" ht="15.75" hidden="1" customHeight="1">
      <c r="A76" s="32"/>
      <c r="B76" s="104" t="s">
        <v>99</v>
      </c>
      <c r="C76" s="104"/>
      <c r="D76" s="104"/>
      <c r="E76" s="104"/>
      <c r="F76" s="104"/>
      <c r="G76" s="80"/>
      <c r="H76" s="93">
        <f>SUM(H56:H75)</f>
        <v>117.59572952000001</v>
      </c>
      <c r="I76" s="80"/>
    </row>
    <row r="77" spans="1:21" ht="15.75" hidden="1" customHeight="1">
      <c r="A77" s="32"/>
      <c r="B77" s="102" t="s">
        <v>120</v>
      </c>
      <c r="C77" s="23"/>
      <c r="D77" s="22"/>
      <c r="E77" s="67"/>
      <c r="F77" s="103">
        <v>1</v>
      </c>
      <c r="G77" s="13">
        <v>10966.5</v>
      </c>
      <c r="H77" s="89">
        <f>G77*F77/1000</f>
        <v>10.9665</v>
      </c>
      <c r="I77" s="13">
        <v>0</v>
      </c>
    </row>
    <row r="78" spans="1:21" ht="15.75" customHeight="1">
      <c r="A78" s="139" t="s">
        <v>146</v>
      </c>
      <c r="B78" s="140"/>
      <c r="C78" s="140"/>
      <c r="D78" s="140"/>
      <c r="E78" s="140"/>
      <c r="F78" s="140"/>
      <c r="G78" s="140"/>
      <c r="H78" s="140"/>
      <c r="I78" s="141"/>
    </row>
    <row r="79" spans="1:21" ht="15.75" customHeight="1">
      <c r="A79" s="32">
        <v>24</v>
      </c>
      <c r="B79" s="74" t="s">
        <v>122</v>
      </c>
      <c r="C79" s="16" t="s">
        <v>56</v>
      </c>
      <c r="D79" s="65" t="s">
        <v>57</v>
      </c>
      <c r="E79" s="13">
        <v>3382.7</v>
      </c>
      <c r="F79" s="13">
        <f>SUM(E79*12)</f>
        <v>40592.399999999994</v>
      </c>
      <c r="G79" s="13">
        <v>2.1</v>
      </c>
      <c r="H79" s="89">
        <f>SUM(F79*G79/1000)</f>
        <v>85.244039999999998</v>
      </c>
      <c r="I79" s="13">
        <f>F79/12*G79</f>
        <v>7103.6699999999992</v>
      </c>
    </row>
    <row r="80" spans="1:21" ht="31.5" customHeight="1">
      <c r="A80" s="32">
        <v>25</v>
      </c>
      <c r="B80" s="14" t="s">
        <v>80</v>
      </c>
      <c r="C80" s="16"/>
      <c r="D80" s="65" t="s">
        <v>57</v>
      </c>
      <c r="E80" s="76">
        <f>E79</f>
        <v>3382.7</v>
      </c>
      <c r="F80" s="13">
        <f>E80*12</f>
        <v>40592.399999999994</v>
      </c>
      <c r="G80" s="13">
        <v>1.63</v>
      </c>
      <c r="H80" s="89">
        <f>F80*G80/1000</f>
        <v>66.165611999999982</v>
      </c>
      <c r="I80" s="13">
        <f>F80/12*G80</f>
        <v>5513.8009999999986</v>
      </c>
    </row>
    <row r="81" spans="1:9" ht="15.75" customHeight="1">
      <c r="A81" s="32"/>
      <c r="B81" s="39" t="s">
        <v>83</v>
      </c>
      <c r="C81" s="92"/>
      <c r="D81" s="91"/>
      <c r="E81" s="80"/>
      <c r="F81" s="80"/>
      <c r="G81" s="80"/>
      <c r="H81" s="93">
        <f>H80</f>
        <v>66.165611999999982</v>
      </c>
      <c r="I81" s="80">
        <f>I16+I17+I18+I20+I21+I26+I27+I30+I31+I33+I34+I45+I46+I47+I48+I49+I50+I51+I52+I53+I60+I62+I69+I79+I80</f>
        <v>51290.594356088892</v>
      </c>
    </row>
    <row r="82" spans="1:9" ht="15.75" customHeight="1">
      <c r="A82" s="126" t="s">
        <v>62</v>
      </c>
      <c r="B82" s="127"/>
      <c r="C82" s="127"/>
      <c r="D82" s="127"/>
      <c r="E82" s="127"/>
      <c r="F82" s="127"/>
      <c r="G82" s="127"/>
      <c r="H82" s="127"/>
      <c r="I82" s="128"/>
    </row>
    <row r="83" spans="1:9" ht="15.75" customHeight="1">
      <c r="A83" s="32">
        <v>26</v>
      </c>
      <c r="B83" s="51" t="s">
        <v>133</v>
      </c>
      <c r="C83" s="73" t="s">
        <v>114</v>
      </c>
      <c r="D83" s="84"/>
      <c r="E83" s="85"/>
      <c r="F83" s="86">
        <v>732</v>
      </c>
      <c r="G83" s="95">
        <v>53.42</v>
      </c>
      <c r="H83" s="87">
        <f>SUM(F83*G83/1000)</f>
        <v>39.103439999999999</v>
      </c>
      <c r="I83" s="95">
        <f>G83*61</f>
        <v>3258.62</v>
      </c>
    </row>
    <row r="84" spans="1:9" ht="15.75" customHeight="1">
      <c r="A84" s="32"/>
      <c r="B84" s="44" t="s">
        <v>52</v>
      </c>
      <c r="C84" s="40"/>
      <c r="D84" s="47"/>
      <c r="E84" s="40">
        <v>1</v>
      </c>
      <c r="F84" s="40"/>
      <c r="G84" s="40"/>
      <c r="H84" s="40"/>
      <c r="I84" s="34">
        <f>SUM(I83:I83)</f>
        <v>3258.62</v>
      </c>
    </row>
    <row r="85" spans="1:9" ht="15.75" customHeight="1">
      <c r="A85" s="32"/>
      <c r="B85" s="46" t="s">
        <v>81</v>
      </c>
      <c r="C85" s="15"/>
      <c r="D85" s="15"/>
      <c r="E85" s="41"/>
      <c r="F85" s="41"/>
      <c r="G85" s="42"/>
      <c r="H85" s="42"/>
      <c r="I85" s="17">
        <v>0</v>
      </c>
    </row>
    <row r="86" spans="1:9" ht="15.75" customHeight="1">
      <c r="A86" s="48"/>
      <c r="B86" s="45" t="s">
        <v>195</v>
      </c>
      <c r="C86" s="35"/>
      <c r="D86" s="35"/>
      <c r="E86" s="35"/>
      <c r="F86" s="35"/>
      <c r="G86" s="35"/>
      <c r="H86" s="35"/>
      <c r="I86" s="43">
        <f>I81+I84</f>
        <v>54549.214356088894</v>
      </c>
    </row>
    <row r="87" spans="1:9" ht="15.75" customHeight="1">
      <c r="A87" s="142" t="s">
        <v>224</v>
      </c>
      <c r="B87" s="142"/>
      <c r="C87" s="142"/>
      <c r="D87" s="142"/>
      <c r="E87" s="142"/>
      <c r="F87" s="142"/>
      <c r="G87" s="142"/>
      <c r="H87" s="142"/>
      <c r="I87" s="142"/>
    </row>
    <row r="88" spans="1:9" ht="15.75" customHeight="1">
      <c r="A88" s="64"/>
      <c r="B88" s="143" t="s">
        <v>225</v>
      </c>
      <c r="C88" s="143"/>
      <c r="D88" s="143"/>
      <c r="E88" s="143"/>
      <c r="F88" s="143"/>
      <c r="G88" s="143"/>
      <c r="H88" s="70"/>
      <c r="I88" s="3"/>
    </row>
    <row r="89" spans="1:9">
      <c r="A89" s="49"/>
      <c r="B89" s="144" t="s">
        <v>6</v>
      </c>
      <c r="C89" s="144"/>
      <c r="D89" s="144"/>
      <c r="E89" s="144"/>
      <c r="F89" s="144"/>
      <c r="G89" s="144"/>
      <c r="H89" s="27"/>
      <c r="I89" s="50"/>
    </row>
    <row r="90" spans="1:9" ht="15.75" customHeight="1">
      <c r="A90" s="56"/>
      <c r="B90" s="56"/>
      <c r="C90" s="56"/>
      <c r="D90" s="56"/>
      <c r="E90" s="56"/>
      <c r="F90" s="56"/>
      <c r="G90" s="56"/>
      <c r="H90" s="56"/>
      <c r="I90" s="56"/>
    </row>
    <row r="91" spans="1:9" ht="15.75" customHeight="1">
      <c r="A91" s="145" t="s">
        <v>7</v>
      </c>
      <c r="B91" s="145"/>
      <c r="C91" s="145"/>
      <c r="D91" s="145"/>
      <c r="E91" s="145"/>
      <c r="F91" s="145"/>
      <c r="G91" s="145"/>
      <c r="H91" s="145"/>
      <c r="I91" s="145"/>
    </row>
    <row r="92" spans="1:9" ht="15.75" customHeight="1">
      <c r="A92" s="145" t="s">
        <v>8</v>
      </c>
      <c r="B92" s="145"/>
      <c r="C92" s="145"/>
      <c r="D92" s="145"/>
      <c r="E92" s="145"/>
      <c r="F92" s="145"/>
      <c r="G92" s="145"/>
      <c r="H92" s="145"/>
      <c r="I92" s="145"/>
    </row>
    <row r="93" spans="1:9" ht="15.75" customHeight="1">
      <c r="A93" s="146" t="s">
        <v>63</v>
      </c>
      <c r="B93" s="146"/>
      <c r="C93" s="146"/>
      <c r="D93" s="146"/>
      <c r="E93" s="146"/>
      <c r="F93" s="146"/>
      <c r="G93" s="146"/>
      <c r="H93" s="146"/>
      <c r="I93" s="146"/>
    </row>
    <row r="94" spans="1:9" ht="15.75" customHeight="1">
      <c r="A94" s="11"/>
    </row>
    <row r="95" spans="1:9" ht="15.75" customHeight="1">
      <c r="A95" s="147" t="s">
        <v>9</v>
      </c>
      <c r="B95" s="147"/>
      <c r="C95" s="147"/>
      <c r="D95" s="147"/>
      <c r="E95" s="147"/>
      <c r="F95" s="147"/>
      <c r="G95" s="147"/>
      <c r="H95" s="147"/>
      <c r="I95" s="147"/>
    </row>
    <row r="96" spans="1:9" ht="15.75" customHeight="1">
      <c r="A96" s="4"/>
    </row>
    <row r="97" spans="1:9" ht="15.75" customHeight="1">
      <c r="B97" s="61" t="s">
        <v>10</v>
      </c>
      <c r="C97" s="148" t="s">
        <v>147</v>
      </c>
      <c r="D97" s="148"/>
      <c r="E97" s="148"/>
      <c r="F97" s="68"/>
      <c r="I97" s="59"/>
    </row>
    <row r="98" spans="1:9" ht="15.75" customHeight="1">
      <c r="A98" s="60"/>
      <c r="C98" s="144" t="s">
        <v>11</v>
      </c>
      <c r="D98" s="144"/>
      <c r="E98" s="144"/>
      <c r="F98" s="27"/>
      <c r="I98" s="58" t="s">
        <v>12</v>
      </c>
    </row>
    <row r="99" spans="1:9" ht="15.75" customHeight="1">
      <c r="A99" s="28"/>
      <c r="C99" s="12"/>
      <c r="D99" s="12"/>
      <c r="G99" s="12"/>
      <c r="H99" s="12"/>
    </row>
    <row r="100" spans="1:9" ht="15.75">
      <c r="B100" s="61" t="s">
        <v>13</v>
      </c>
      <c r="C100" s="149"/>
      <c r="D100" s="149"/>
      <c r="E100" s="149"/>
      <c r="F100" s="69"/>
      <c r="I100" s="59"/>
    </row>
    <row r="101" spans="1:9">
      <c r="A101" s="60"/>
      <c r="C101" s="138" t="s">
        <v>11</v>
      </c>
      <c r="D101" s="138"/>
      <c r="E101" s="138"/>
      <c r="F101" s="60"/>
      <c r="I101" s="58" t="s">
        <v>12</v>
      </c>
    </row>
    <row r="102" spans="1:9" ht="15.75" customHeight="1">
      <c r="A102" s="4" t="s">
        <v>14</v>
      </c>
    </row>
    <row r="103" spans="1:9" ht="15.75" customHeight="1">
      <c r="A103" s="150" t="s">
        <v>15</v>
      </c>
      <c r="B103" s="150"/>
      <c r="C103" s="150"/>
      <c r="D103" s="150"/>
      <c r="E103" s="150"/>
      <c r="F103" s="150"/>
      <c r="G103" s="150"/>
      <c r="H103" s="150"/>
      <c r="I103" s="150"/>
    </row>
    <row r="104" spans="1:9" ht="45" customHeight="1">
      <c r="A104" s="151" t="s">
        <v>16</v>
      </c>
      <c r="B104" s="151"/>
      <c r="C104" s="151"/>
      <c r="D104" s="151"/>
      <c r="E104" s="151"/>
      <c r="F104" s="151"/>
      <c r="G104" s="151"/>
      <c r="H104" s="151"/>
      <c r="I104" s="151"/>
    </row>
    <row r="105" spans="1:9" ht="30" customHeight="1">
      <c r="A105" s="151" t="s">
        <v>17</v>
      </c>
      <c r="B105" s="151"/>
      <c r="C105" s="151"/>
      <c r="D105" s="151"/>
      <c r="E105" s="151"/>
      <c r="F105" s="151"/>
      <c r="G105" s="151"/>
      <c r="H105" s="151"/>
      <c r="I105" s="151"/>
    </row>
    <row r="106" spans="1:9" ht="30" customHeight="1">
      <c r="A106" s="151" t="s">
        <v>21</v>
      </c>
      <c r="B106" s="151"/>
      <c r="C106" s="151"/>
      <c r="D106" s="151"/>
      <c r="E106" s="151"/>
      <c r="F106" s="151"/>
      <c r="G106" s="151"/>
      <c r="H106" s="151"/>
      <c r="I106" s="151"/>
    </row>
    <row r="107" spans="1:9" ht="15" customHeight="1">
      <c r="A107" s="151" t="s">
        <v>20</v>
      </c>
      <c r="B107" s="151"/>
      <c r="C107" s="151"/>
      <c r="D107" s="151"/>
      <c r="E107" s="151"/>
      <c r="F107" s="151"/>
      <c r="G107" s="151"/>
      <c r="H107" s="151"/>
      <c r="I107" s="151"/>
    </row>
  </sheetData>
  <autoFilter ref="I12:I60"/>
  <mergeCells count="29"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  <mergeCell ref="A93:I93"/>
    <mergeCell ref="A15:I15"/>
    <mergeCell ref="A28:I28"/>
    <mergeCell ref="A44:I44"/>
    <mergeCell ref="A54:I54"/>
    <mergeCell ref="A87:I87"/>
    <mergeCell ref="B88:G88"/>
    <mergeCell ref="B89:G89"/>
    <mergeCell ref="A91:I91"/>
    <mergeCell ref="A92:I92"/>
    <mergeCell ref="A82:I82"/>
    <mergeCell ref="R65:U65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2017-12-21T11:51:47Z</cp:lastPrinted>
  <dcterms:created xsi:type="dcterms:W3CDTF">2016-03-25T08:33:47Z</dcterms:created>
  <dcterms:modified xsi:type="dcterms:W3CDTF">2018-04-18T08:34:08Z</dcterms:modified>
</cp:coreProperties>
</file>