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0" yWindow="75" windowWidth="15480" windowHeight="8055" activeTab="11"/>
  </bookViews>
  <sheets>
    <sheet name="01.17" sheetId="17" r:id="rId1"/>
    <sheet name="02.17" sheetId="27" r:id="rId2"/>
    <sheet name="03.17" sheetId="28" r:id="rId3"/>
    <sheet name="04.17" sheetId="29" r:id="rId4"/>
    <sheet name="05.17" sheetId="30" r:id="rId5"/>
    <sheet name="06.17" sheetId="31" r:id="rId6"/>
    <sheet name="07.17" sheetId="32" r:id="rId7"/>
    <sheet name="08.17" sheetId="33" r:id="rId8"/>
    <sheet name="09.17" sheetId="34" r:id="rId9"/>
    <sheet name="10.17" sheetId="35" r:id="rId10"/>
    <sheet name="11.17" sheetId="36" r:id="rId11"/>
    <sheet name="12.17" sheetId="37" r:id="rId12"/>
  </sheets>
  <definedNames>
    <definedName name="_xlnm._FilterDatabase" localSheetId="0" hidden="1">'01.17'!$I$12:$I$62</definedName>
    <definedName name="_xlnm._FilterDatabase" localSheetId="1" hidden="1">'02.17'!$I$12:$I$62</definedName>
    <definedName name="_xlnm._FilterDatabase" localSheetId="2" hidden="1">'03.17'!$I$12:$I$62</definedName>
    <definedName name="_xlnm._FilterDatabase" localSheetId="3" hidden="1">'04.17'!$I$12:$I$62</definedName>
    <definedName name="_xlnm._FilterDatabase" localSheetId="4" hidden="1">'05.17'!$I$12:$I$62</definedName>
    <definedName name="_xlnm._FilterDatabase" localSheetId="5" hidden="1">'06.17'!$I$12:$I$62</definedName>
    <definedName name="_xlnm._FilterDatabase" localSheetId="6" hidden="1">'07.17'!$I$12:$I$62</definedName>
    <definedName name="_xlnm._FilterDatabase" localSheetId="7" hidden="1">'08.17'!$I$12:$I$62</definedName>
    <definedName name="_xlnm._FilterDatabase" localSheetId="8" hidden="1">'09.17'!$I$12:$I$62</definedName>
    <definedName name="_xlnm._FilterDatabase" localSheetId="9" hidden="1">'10.17'!$I$12:$I$65</definedName>
    <definedName name="_xlnm._FilterDatabase" localSheetId="10" hidden="1">'11.17'!$I$12:$I$65</definedName>
    <definedName name="_xlnm._FilterDatabase" localSheetId="11" hidden="1">'12.17'!$I$12:$I$65</definedName>
    <definedName name="_xlnm.Print_Area" localSheetId="0">'01.17'!$A$1:$I$116</definedName>
    <definedName name="_xlnm.Print_Area" localSheetId="1">'02.17'!$A$1:$I$120</definedName>
    <definedName name="_xlnm.Print_Area" localSheetId="2">'03.17'!$A$1:$I$114</definedName>
    <definedName name="_xlnm.Print_Area" localSheetId="3">'04.17'!$A$1:$I$111</definedName>
    <definedName name="_xlnm.Print_Area" localSheetId="4">'05.17'!$A$1:$I$117</definedName>
    <definedName name="_xlnm.Print_Area" localSheetId="5">'06.17'!$A$1:$I$120</definedName>
    <definedName name="_xlnm.Print_Area" localSheetId="6">'07.17'!$A$1:$I$112</definedName>
    <definedName name="_xlnm.Print_Area" localSheetId="7">'08.17'!$A$1:$I$113</definedName>
    <definedName name="_xlnm.Print_Area" localSheetId="8">'09.17'!$A$1:$I$119</definedName>
    <definedName name="_xlnm.Print_Area" localSheetId="9">'10.17'!$A$1:$I$119</definedName>
    <definedName name="_xlnm.Print_Area" localSheetId="10">'11.17'!$A$1:$I$118</definedName>
    <definedName name="_xlnm.Print_Area" localSheetId="11">'12.17'!$A$1:$I$116</definedName>
  </definedNames>
  <calcPr calcId="124519"/>
</workbook>
</file>

<file path=xl/calcChain.xml><?xml version="1.0" encoding="utf-8"?>
<calcChain xmlns="http://schemas.openxmlformats.org/spreadsheetml/2006/main">
  <c r="I92" i="37"/>
  <c r="F92"/>
  <c r="H92" s="1"/>
  <c r="I93"/>
  <c r="I87"/>
  <c r="I87" i="36"/>
  <c r="I92" i="34" l="1"/>
  <c r="I93"/>
  <c r="I94"/>
  <c r="H94"/>
  <c r="I96" i="31"/>
  <c r="F96"/>
  <c r="H96" s="1"/>
  <c r="F43" i="29"/>
  <c r="H43" s="1"/>
  <c r="I43" i="28"/>
  <c r="H43"/>
  <c r="F43"/>
  <c r="I85" i="27"/>
  <c r="I85" i="17"/>
  <c r="I43" i="29" l="1"/>
  <c r="I90" i="37" l="1"/>
  <c r="I91"/>
  <c r="H91"/>
  <c r="H90"/>
  <c r="I89"/>
  <c r="H89"/>
  <c r="E86"/>
  <c r="F86" s="1"/>
  <c r="F85"/>
  <c r="I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F63"/>
  <c r="I63" s="1"/>
  <c r="F62"/>
  <c r="H62" s="1"/>
  <c r="H60"/>
  <c r="F59"/>
  <c r="I59" s="1"/>
  <c r="H58"/>
  <c r="F57"/>
  <c r="I57" s="1"/>
  <c r="H56"/>
  <c r="F56"/>
  <c r="I56" s="1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5" i="36"/>
  <c r="I94"/>
  <c r="I93"/>
  <c r="I92"/>
  <c r="I91"/>
  <c r="H94"/>
  <c r="H93"/>
  <c r="F92"/>
  <c r="H92" s="1"/>
  <c r="H91"/>
  <c r="H90"/>
  <c r="I89"/>
  <c r="H89"/>
  <c r="I90"/>
  <c r="E86"/>
  <c r="F86" s="1"/>
  <c r="F85"/>
  <c r="H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F63"/>
  <c r="H63" s="1"/>
  <c r="F62"/>
  <c r="H62" s="1"/>
  <c r="H60"/>
  <c r="F59"/>
  <c r="H59" s="1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E33"/>
  <c r="F32"/>
  <c r="I32" s="1"/>
  <c r="F31"/>
  <c r="H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95" i="35"/>
  <c r="I94"/>
  <c r="I93"/>
  <c r="I91"/>
  <c r="I90"/>
  <c r="I89"/>
  <c r="H95"/>
  <c r="H94"/>
  <c r="H93"/>
  <c r="H92"/>
  <c r="H91"/>
  <c r="H90"/>
  <c r="H89"/>
  <c r="I83"/>
  <c r="I51"/>
  <c r="I42"/>
  <c r="I37"/>
  <c r="E86"/>
  <c r="F86" s="1"/>
  <c r="H86" s="1"/>
  <c r="F85"/>
  <c r="H85" s="1"/>
  <c r="H83"/>
  <c r="H81"/>
  <c r="H79"/>
  <c r="F78"/>
  <c r="H78" s="1"/>
  <c r="H77"/>
  <c r="F76"/>
  <c r="H76" s="1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H59" s="1"/>
  <c r="H58"/>
  <c r="F57"/>
  <c r="H57" s="1"/>
  <c r="F56"/>
  <c r="H56" s="1"/>
  <c r="F53"/>
  <c r="H53" s="1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H41" s="1"/>
  <c r="F40"/>
  <c r="H40" s="1"/>
  <c r="F39"/>
  <c r="H39" s="1"/>
  <c r="F38"/>
  <c r="H38" s="1"/>
  <c r="H37"/>
  <c r="F26"/>
  <c r="H26" s="1"/>
  <c r="H35"/>
  <c r="H34"/>
  <c r="F25"/>
  <c r="H25" s="1"/>
  <c r="H33"/>
  <c r="F33"/>
  <c r="I33" s="1"/>
  <c r="E33"/>
  <c r="F32"/>
  <c r="H32" s="1"/>
  <c r="F31"/>
  <c r="H31" s="1"/>
  <c r="F30"/>
  <c r="H30" s="1"/>
  <c r="F29"/>
  <c r="H29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H25" i="37" l="1"/>
  <c r="H29"/>
  <c r="H32"/>
  <c r="H49"/>
  <c r="H47"/>
  <c r="H52"/>
  <c r="I18"/>
  <c r="H18"/>
  <c r="I86"/>
  <c r="H86"/>
  <c r="H87" s="1"/>
  <c r="I16"/>
  <c r="H17"/>
  <c r="H26"/>
  <c r="H30"/>
  <c r="H38"/>
  <c r="I39"/>
  <c r="H40"/>
  <c r="I41"/>
  <c r="H44"/>
  <c r="I45"/>
  <c r="H46"/>
  <c r="H48"/>
  <c r="H50"/>
  <c r="H53"/>
  <c r="H57"/>
  <c r="H59"/>
  <c r="H63"/>
  <c r="H85"/>
  <c r="H56" i="36"/>
  <c r="H47"/>
  <c r="H52"/>
  <c r="H45"/>
  <c r="H49"/>
  <c r="H86"/>
  <c r="H87" s="1"/>
  <c r="I86"/>
  <c r="H18"/>
  <c r="I18"/>
  <c r="H16"/>
  <c r="I17"/>
  <c r="H25"/>
  <c r="I26"/>
  <c r="H29"/>
  <c r="I30"/>
  <c r="H32"/>
  <c r="I38"/>
  <c r="H39"/>
  <c r="I40"/>
  <c r="H41"/>
  <c r="I44"/>
  <c r="I46"/>
  <c r="I48"/>
  <c r="I50"/>
  <c r="I53"/>
  <c r="I57"/>
  <c r="I59"/>
  <c r="I63"/>
  <c r="I85"/>
  <c r="I85" i="35"/>
  <c r="I63"/>
  <c r="I74"/>
  <c r="I56"/>
  <c r="I57"/>
  <c r="I59"/>
  <c r="I49"/>
  <c r="I46"/>
  <c r="I48"/>
  <c r="I53"/>
  <c r="I44"/>
  <c r="I50"/>
  <c r="I47"/>
  <c r="I45"/>
  <c r="I52"/>
  <c r="I40"/>
  <c r="I38"/>
  <c r="I41"/>
  <c r="I39"/>
  <c r="I26"/>
  <c r="I25"/>
  <c r="I29"/>
  <c r="I32"/>
  <c r="I30"/>
  <c r="I17"/>
  <c r="I18"/>
  <c r="I95" i="37" l="1"/>
  <c r="I97" i="36"/>
  <c r="I92" i="35" l="1"/>
  <c r="I96"/>
  <c r="I80"/>
  <c r="I16"/>
  <c r="I96" i="34"/>
  <c r="I95"/>
  <c r="I90"/>
  <c r="I91"/>
  <c r="H95"/>
  <c r="F95"/>
  <c r="H93"/>
  <c r="F92"/>
  <c r="H92" s="1"/>
  <c r="H91"/>
  <c r="H90"/>
  <c r="H89"/>
  <c r="I88"/>
  <c r="H88"/>
  <c r="I87"/>
  <c r="H87"/>
  <c r="I85"/>
  <c r="I77"/>
  <c r="I73"/>
  <c r="I66"/>
  <c r="I89"/>
  <c r="F84"/>
  <c r="I84" s="1"/>
  <c r="E84"/>
  <c r="F83"/>
  <c r="I83" s="1"/>
  <c r="I81"/>
  <c r="H81"/>
  <c r="H79"/>
  <c r="H77"/>
  <c r="H76"/>
  <c r="H75"/>
  <c r="H73"/>
  <c r="F72"/>
  <c r="H72" s="1"/>
  <c r="F71"/>
  <c r="I71" s="1"/>
  <c r="F70"/>
  <c r="H70" s="1"/>
  <c r="F69"/>
  <c r="I69" s="1"/>
  <c r="F68"/>
  <c r="H68" s="1"/>
  <c r="H67"/>
  <c r="H66"/>
  <c r="F64"/>
  <c r="I64" s="1"/>
  <c r="H63"/>
  <c r="F61"/>
  <c r="I61" s="1"/>
  <c r="H60"/>
  <c r="F59"/>
  <c r="I59" s="1"/>
  <c r="F58"/>
  <c r="H58" s="1"/>
  <c r="I55"/>
  <c r="F55"/>
  <c r="H55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0" i="33"/>
  <c r="I89"/>
  <c r="I88"/>
  <c r="H89"/>
  <c r="G88"/>
  <c r="H88" s="1"/>
  <c r="H87"/>
  <c r="I87"/>
  <c r="F84"/>
  <c r="I84" s="1"/>
  <c r="E84"/>
  <c r="F83"/>
  <c r="I83" s="1"/>
  <c r="I81"/>
  <c r="H81"/>
  <c r="H79"/>
  <c r="H77"/>
  <c r="H76"/>
  <c r="H75"/>
  <c r="H73"/>
  <c r="F72"/>
  <c r="H72" s="1"/>
  <c r="F71"/>
  <c r="I71" s="1"/>
  <c r="F70"/>
  <c r="H70" s="1"/>
  <c r="F69"/>
  <c r="I69" s="1"/>
  <c r="F68"/>
  <c r="H68" s="1"/>
  <c r="H67"/>
  <c r="H66"/>
  <c r="F64"/>
  <c r="I64" s="1"/>
  <c r="H63"/>
  <c r="F61"/>
  <c r="I61" s="1"/>
  <c r="H60"/>
  <c r="F59"/>
  <c r="I59" s="1"/>
  <c r="F58"/>
  <c r="H58" s="1"/>
  <c r="I55"/>
  <c r="F55"/>
  <c r="H55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32"/>
  <c r="H88"/>
  <c r="F88"/>
  <c r="I87"/>
  <c r="H87"/>
  <c r="I89"/>
  <c r="E84"/>
  <c r="F84" s="1"/>
  <c r="F83"/>
  <c r="H83" s="1"/>
  <c r="I81"/>
  <c r="H81"/>
  <c r="H79"/>
  <c r="H77"/>
  <c r="H76"/>
  <c r="H75"/>
  <c r="H73"/>
  <c r="F72"/>
  <c r="I72" s="1"/>
  <c r="F71"/>
  <c r="H71" s="1"/>
  <c r="F70"/>
  <c r="I70" s="1"/>
  <c r="F69"/>
  <c r="H69" s="1"/>
  <c r="F68"/>
  <c r="I68" s="1"/>
  <c r="H67"/>
  <c r="H66"/>
  <c r="F64"/>
  <c r="H64" s="1"/>
  <c r="H63"/>
  <c r="F61"/>
  <c r="H61" s="1"/>
  <c r="H60"/>
  <c r="F59"/>
  <c r="H59" s="1"/>
  <c r="F58"/>
  <c r="I58" s="1"/>
  <c r="I55"/>
  <c r="F55"/>
  <c r="H55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5" i="31"/>
  <c r="I94"/>
  <c r="I93"/>
  <c r="I97" s="1"/>
  <c r="H95"/>
  <c r="H94"/>
  <c r="H93"/>
  <c r="I92"/>
  <c r="I91"/>
  <c r="H92"/>
  <c r="H91"/>
  <c r="I89"/>
  <c r="I88"/>
  <c r="I87"/>
  <c r="H90"/>
  <c r="H89"/>
  <c r="H88"/>
  <c r="H87"/>
  <c r="I85"/>
  <c r="I90"/>
  <c r="E84"/>
  <c r="F84" s="1"/>
  <c r="F83"/>
  <c r="I83" s="1"/>
  <c r="I81"/>
  <c r="H81"/>
  <c r="H79"/>
  <c r="H77"/>
  <c r="H76"/>
  <c r="H75"/>
  <c r="H73"/>
  <c r="F72"/>
  <c r="H72" s="1"/>
  <c r="F71"/>
  <c r="I71" s="1"/>
  <c r="F70"/>
  <c r="H70" s="1"/>
  <c r="F69"/>
  <c r="I69" s="1"/>
  <c r="F68"/>
  <c r="H68" s="1"/>
  <c r="H67"/>
  <c r="H66"/>
  <c r="F64"/>
  <c r="I64" s="1"/>
  <c r="H63"/>
  <c r="F61"/>
  <c r="I61" s="1"/>
  <c r="H60"/>
  <c r="F59"/>
  <c r="I59" s="1"/>
  <c r="F58"/>
  <c r="H58" s="1"/>
  <c r="I55"/>
  <c r="F55"/>
  <c r="H55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4" i="30"/>
  <c r="I93"/>
  <c r="I92"/>
  <c r="I91"/>
  <c r="I90"/>
  <c r="I89"/>
  <c r="I88"/>
  <c r="H93"/>
  <c r="H92"/>
  <c r="H91"/>
  <c r="H90"/>
  <c r="H89"/>
  <c r="H88"/>
  <c r="I87"/>
  <c r="I69"/>
  <c r="I70"/>
  <c r="I71"/>
  <c r="I72"/>
  <c r="I68"/>
  <c r="I46"/>
  <c r="I47"/>
  <c r="I48"/>
  <c r="I49"/>
  <c r="I23"/>
  <c r="I24"/>
  <c r="I22"/>
  <c r="I20"/>
  <c r="I21"/>
  <c r="I85" s="1"/>
  <c r="I19"/>
  <c r="F87"/>
  <c r="H87" s="1"/>
  <c r="E84"/>
  <c r="F84" s="1"/>
  <c r="F83"/>
  <c r="I83" s="1"/>
  <c r="I81"/>
  <c r="H81"/>
  <c r="H79"/>
  <c r="H77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H60"/>
  <c r="F59"/>
  <c r="H59" s="1"/>
  <c r="F58"/>
  <c r="I58" s="1"/>
  <c r="I55"/>
  <c r="F55"/>
  <c r="H55" s="1"/>
  <c r="I54"/>
  <c r="F54"/>
  <c r="H54" s="1"/>
  <c r="I53"/>
  <c r="H53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29"/>
  <c r="I88" s="1"/>
  <c r="F87"/>
  <c r="H87" s="1"/>
  <c r="E84"/>
  <c r="F84" s="1"/>
  <c r="H83"/>
  <c r="F83"/>
  <c r="I83" s="1"/>
  <c r="I81"/>
  <c r="H81"/>
  <c r="H79"/>
  <c r="H77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H60"/>
  <c r="F59"/>
  <c r="H59" s="1"/>
  <c r="H58"/>
  <c r="F58"/>
  <c r="I58" s="1"/>
  <c r="I55"/>
  <c r="F55"/>
  <c r="H55" s="1"/>
  <c r="I54"/>
  <c r="F54"/>
  <c r="H54" s="1"/>
  <c r="I53"/>
  <c r="H53"/>
  <c r="F52"/>
  <c r="H52" s="1"/>
  <c r="H51"/>
  <c r="F51"/>
  <c r="I51" s="1"/>
  <c r="F50"/>
  <c r="H50" s="1"/>
  <c r="F49"/>
  <c r="H49" s="1"/>
  <c r="F48"/>
  <c r="H48" s="1"/>
  <c r="F47"/>
  <c r="H47" s="1"/>
  <c r="F46"/>
  <c r="H46" s="1"/>
  <c r="I44"/>
  <c r="H44"/>
  <c r="F42"/>
  <c r="H42" s="1"/>
  <c r="F41"/>
  <c r="I41" s="1"/>
  <c r="H40"/>
  <c r="H39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1" i="28"/>
  <c r="I90"/>
  <c r="I89"/>
  <c r="H90"/>
  <c r="H89"/>
  <c r="I88"/>
  <c r="H88"/>
  <c r="I87"/>
  <c r="F87"/>
  <c r="H87" s="1"/>
  <c r="I81"/>
  <c r="I53"/>
  <c r="E84"/>
  <c r="F84" s="1"/>
  <c r="F83"/>
  <c r="H83" s="1"/>
  <c r="H81"/>
  <c r="H79"/>
  <c r="H77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H60"/>
  <c r="F59"/>
  <c r="H59" s="1"/>
  <c r="F58"/>
  <c r="I58" s="1"/>
  <c r="I55"/>
  <c r="F55"/>
  <c r="H55" s="1"/>
  <c r="I54"/>
  <c r="H54"/>
  <c r="F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95" i="27"/>
  <c r="I96"/>
  <c r="I93"/>
  <c r="I92"/>
  <c r="I91"/>
  <c r="I90"/>
  <c r="I89"/>
  <c r="I88"/>
  <c r="I87"/>
  <c r="H96"/>
  <c r="H95"/>
  <c r="H94"/>
  <c r="H93"/>
  <c r="H92"/>
  <c r="H91"/>
  <c r="H90"/>
  <c r="H89"/>
  <c r="H88"/>
  <c r="H87"/>
  <c r="I94"/>
  <c r="E84"/>
  <c r="F84" s="1"/>
  <c r="F83"/>
  <c r="H83" s="1"/>
  <c r="H81"/>
  <c r="H79"/>
  <c r="H77"/>
  <c r="H76"/>
  <c r="H75"/>
  <c r="H73"/>
  <c r="H72"/>
  <c r="F72"/>
  <c r="H71"/>
  <c r="F71"/>
  <c r="H70"/>
  <c r="F70"/>
  <c r="H69"/>
  <c r="F69"/>
  <c r="H68"/>
  <c r="F68"/>
  <c r="H67"/>
  <c r="H66"/>
  <c r="F64"/>
  <c r="H64" s="1"/>
  <c r="H63"/>
  <c r="F61"/>
  <c r="H61" s="1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92" i="17"/>
  <c r="H92"/>
  <c r="I91"/>
  <c r="H91"/>
  <c r="I90"/>
  <c r="H90"/>
  <c r="F89"/>
  <c r="H89" s="1"/>
  <c r="I88"/>
  <c r="F88"/>
  <c r="H88" s="1"/>
  <c r="I87"/>
  <c r="H87"/>
  <c r="H81"/>
  <c r="H79"/>
  <c r="H77"/>
  <c r="H76"/>
  <c r="H75"/>
  <c r="H73"/>
  <c r="F72"/>
  <c r="H72" s="1"/>
  <c r="F71"/>
  <c r="H71" s="1"/>
  <c r="F70"/>
  <c r="H70" s="1"/>
  <c r="F69"/>
  <c r="H69" s="1"/>
  <c r="F68"/>
  <c r="H68" s="1"/>
  <c r="H67"/>
  <c r="H66"/>
  <c r="F61"/>
  <c r="H61" s="1"/>
  <c r="H60"/>
  <c r="F59"/>
  <c r="H59" s="1"/>
  <c r="F58"/>
  <c r="I58" s="1"/>
  <c r="I55"/>
  <c r="F55"/>
  <c r="H55" s="1"/>
  <c r="I54"/>
  <c r="H54"/>
  <c r="F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I32"/>
  <c r="H33"/>
  <c r="F33"/>
  <c r="I33" s="1"/>
  <c r="H32"/>
  <c r="F31"/>
  <c r="H31" s="1"/>
  <c r="F30"/>
  <c r="H30" s="1"/>
  <c r="F29"/>
  <c r="H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87" i="35" l="1"/>
  <c r="I86"/>
  <c r="I87" s="1"/>
  <c r="H71" i="34"/>
  <c r="H18"/>
  <c r="I18"/>
  <c r="H16"/>
  <c r="I17"/>
  <c r="I98" s="1"/>
  <c r="H19"/>
  <c r="I20"/>
  <c r="H21"/>
  <c r="I22"/>
  <c r="H23"/>
  <c r="I24"/>
  <c r="H25"/>
  <c r="I26"/>
  <c r="H29"/>
  <c r="I30"/>
  <c r="H31"/>
  <c r="H38"/>
  <c r="I39"/>
  <c r="I41"/>
  <c r="H42"/>
  <c r="I43"/>
  <c r="H46"/>
  <c r="I47"/>
  <c r="H48"/>
  <c r="I49"/>
  <c r="H50"/>
  <c r="I51"/>
  <c r="H52"/>
  <c r="I58"/>
  <c r="H59"/>
  <c r="H61"/>
  <c r="H64"/>
  <c r="I68"/>
  <c r="H69"/>
  <c r="I70"/>
  <c r="I72"/>
  <c r="H83"/>
  <c r="H84"/>
  <c r="H85" s="1"/>
  <c r="H18" i="33"/>
  <c r="I18"/>
  <c r="H16"/>
  <c r="I17"/>
  <c r="I85" s="1"/>
  <c r="I92" s="1"/>
  <c r="H19"/>
  <c r="I20"/>
  <c r="H21"/>
  <c r="I22"/>
  <c r="H23"/>
  <c r="I24"/>
  <c r="H25"/>
  <c r="I26"/>
  <c r="H29"/>
  <c r="I30"/>
  <c r="H31"/>
  <c r="H38"/>
  <c r="I39"/>
  <c r="I41"/>
  <c r="H42"/>
  <c r="I43"/>
  <c r="H46"/>
  <c r="I47"/>
  <c r="H48"/>
  <c r="I49"/>
  <c r="H50"/>
  <c r="I51"/>
  <c r="H52"/>
  <c r="I58"/>
  <c r="H59"/>
  <c r="H80" s="1"/>
  <c r="H61"/>
  <c r="H64"/>
  <c r="I68"/>
  <c r="H69"/>
  <c r="I70"/>
  <c r="H71"/>
  <c r="I72"/>
  <c r="H83"/>
  <c r="H84"/>
  <c r="H85" s="1"/>
  <c r="I18" i="32"/>
  <c r="H18"/>
  <c r="H84"/>
  <c r="H85" s="1"/>
  <c r="I84"/>
  <c r="I16"/>
  <c r="H17"/>
  <c r="I19"/>
  <c r="H20"/>
  <c r="I21"/>
  <c r="H22"/>
  <c r="I23"/>
  <c r="H24"/>
  <c r="I25"/>
  <c r="H26"/>
  <c r="I29"/>
  <c r="H30"/>
  <c r="I31"/>
  <c r="I38"/>
  <c r="H39"/>
  <c r="H41"/>
  <c r="I42"/>
  <c r="H43"/>
  <c r="I46"/>
  <c r="H47"/>
  <c r="I48"/>
  <c r="H49"/>
  <c r="I50"/>
  <c r="H51"/>
  <c r="I52"/>
  <c r="H58"/>
  <c r="I59"/>
  <c r="I61"/>
  <c r="I64"/>
  <c r="H68"/>
  <c r="I69"/>
  <c r="H70"/>
  <c r="I71"/>
  <c r="H72"/>
  <c r="I83"/>
  <c r="H18" i="31"/>
  <c r="I18"/>
  <c r="I84"/>
  <c r="H84"/>
  <c r="H85" s="1"/>
  <c r="H16"/>
  <c r="I17"/>
  <c r="H19"/>
  <c r="I20"/>
  <c r="H21"/>
  <c r="I22"/>
  <c r="H23"/>
  <c r="I24"/>
  <c r="H25"/>
  <c r="I26"/>
  <c r="H29"/>
  <c r="I30"/>
  <c r="H31"/>
  <c r="H38"/>
  <c r="I39"/>
  <c r="I41"/>
  <c r="H42"/>
  <c r="I43"/>
  <c r="H46"/>
  <c r="I47"/>
  <c r="H48"/>
  <c r="I49"/>
  <c r="H50"/>
  <c r="I51"/>
  <c r="H52"/>
  <c r="I58"/>
  <c r="H59"/>
  <c r="H61"/>
  <c r="H64"/>
  <c r="I68"/>
  <c r="H69"/>
  <c r="I70"/>
  <c r="H71"/>
  <c r="I72"/>
  <c r="H83"/>
  <c r="I18" i="30"/>
  <c r="H18"/>
  <c r="I84"/>
  <c r="H84"/>
  <c r="H85" s="1"/>
  <c r="I16"/>
  <c r="H17"/>
  <c r="I25"/>
  <c r="H26"/>
  <c r="I29"/>
  <c r="H30"/>
  <c r="I31"/>
  <c r="I38"/>
  <c r="H39"/>
  <c r="H41"/>
  <c r="I42"/>
  <c r="H43"/>
  <c r="I50"/>
  <c r="H51"/>
  <c r="I52"/>
  <c r="H58"/>
  <c r="H80" s="1"/>
  <c r="I59"/>
  <c r="I61"/>
  <c r="I64"/>
  <c r="H83"/>
  <c r="H17" i="29"/>
  <c r="H26"/>
  <c r="H41"/>
  <c r="H30"/>
  <c r="I18"/>
  <c r="H18"/>
  <c r="I84"/>
  <c r="H84"/>
  <c r="H85" s="1"/>
  <c r="H80"/>
  <c r="I16"/>
  <c r="I25"/>
  <c r="I29"/>
  <c r="I31"/>
  <c r="I38"/>
  <c r="I42"/>
  <c r="I50"/>
  <c r="I52"/>
  <c r="I59"/>
  <c r="I61"/>
  <c r="I64"/>
  <c r="I51" i="28"/>
  <c r="I52"/>
  <c r="H58"/>
  <c r="H50"/>
  <c r="H18"/>
  <c r="I18"/>
  <c r="H84"/>
  <c r="H85" s="1"/>
  <c r="I84"/>
  <c r="H80"/>
  <c r="H16"/>
  <c r="I17"/>
  <c r="H25"/>
  <c r="I26"/>
  <c r="H29"/>
  <c r="I30"/>
  <c r="H31"/>
  <c r="H38"/>
  <c r="I39"/>
  <c r="I41"/>
  <c r="H42"/>
  <c r="I59"/>
  <c r="I61"/>
  <c r="I64"/>
  <c r="I83"/>
  <c r="I97" i="27"/>
  <c r="H84"/>
  <c r="H85" s="1"/>
  <c r="I84"/>
  <c r="H18"/>
  <c r="I18"/>
  <c r="H16"/>
  <c r="I17"/>
  <c r="H25"/>
  <c r="I26"/>
  <c r="H29"/>
  <c r="I30"/>
  <c r="H31"/>
  <c r="H38"/>
  <c r="I39"/>
  <c r="I41"/>
  <c r="H42"/>
  <c r="I43"/>
  <c r="H50"/>
  <c r="H58"/>
  <c r="H80" s="1"/>
  <c r="I59"/>
  <c r="I61"/>
  <c r="I64"/>
  <c r="I83"/>
  <c r="I89" i="17"/>
  <c r="H17"/>
  <c r="H50"/>
  <c r="H42"/>
  <c r="H58"/>
  <c r="I59"/>
  <c r="I61"/>
  <c r="H38"/>
  <c r="I39"/>
  <c r="I41"/>
  <c r="I43"/>
  <c r="I29"/>
  <c r="I31"/>
  <c r="I30"/>
  <c r="I26"/>
  <c r="I25"/>
  <c r="H18"/>
  <c r="I18"/>
  <c r="H16"/>
  <c r="I99" i="27" l="1"/>
  <c r="I98" i="35"/>
  <c r="H80" i="34"/>
  <c r="I85" i="32"/>
  <c r="I91" s="1"/>
  <c r="H80"/>
  <c r="H80" i="31"/>
  <c r="I99"/>
  <c r="I96" i="30"/>
  <c r="I85" i="29"/>
  <c r="I90" s="1"/>
  <c r="I85" i="28"/>
  <c r="I93" s="1"/>
  <c r="I93" i="17" l="1"/>
  <c r="E84"/>
  <c r="F83"/>
  <c r="I83" s="1"/>
  <c r="F64"/>
  <c r="H64" s="1"/>
  <c r="H63"/>
  <c r="H35"/>
  <c r="H34"/>
  <c r="H83" l="1"/>
  <c r="H80"/>
  <c r="I64"/>
  <c r="F84"/>
  <c r="H84" l="1"/>
  <c r="H85" s="1"/>
  <c r="I84"/>
  <c r="I95" l="1"/>
</calcChain>
</file>

<file path=xl/sharedStrings.xml><?xml version="1.0" encoding="utf-8"?>
<sst xmlns="http://schemas.openxmlformats.org/spreadsheetml/2006/main" count="2763" uniqueCount="267">
  <si>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</si>
  <si>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</si>
  <si>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</si>
  <si>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</si>
  <si>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</si>
  <si>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</si>
  <si>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</si>
  <si>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</si>
  <si>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</si>
  <si>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</si>
  <si>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</si>
  <si>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</si>
  <si>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</si>
  <si>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</si>
  <si>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</si>
  <si>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</si>
  <si>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</si>
  <si>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</si>
  <si>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</si>
  <si>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</si>
  <si>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</si>
  <si>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</si>
  <si>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</si>
  <si>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</si>
  <si>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</si>
  <si>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</si>
  <si>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</si>
  <si>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</si>
  <si>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</si>
  <si>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</si>
  <si>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</si>
  <si>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</si>
  <si>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</si>
  <si>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</si>
  <si>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</si>
  <si>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</si>
  <si>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</si>
  <si>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</si>
  <si>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</si>
  <si>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</si>
  <si>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</si>
  <si>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</si>
  <si>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</si>
  <si>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</si>
  <si>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</si>
  <si>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</si>
  <si>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</si>
  <si>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</si>
  <si>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</si>
  <si>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</si>
  <si>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</si>
  <si>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</si>
  <si>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</si>
  <si>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</si>
  <si>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</si>
  <si>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</si>
  <si>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</si>
  <si>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</si>
  <si>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</si>
  <si>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</si>
  <si>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</si>
  <si>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</si>
  <si>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</si>
  <si>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</si>
  <si>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</si>
  <si>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</si>
  <si>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</si>
  <si>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</si>
  <si>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</si>
  <si>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</si>
  <si>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</si>
  <si>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</si>
  <si>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</si>
  <si>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</si>
  <si>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</si>
  <si>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</si>
  <si>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</si>
  <si>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</si>
  <si>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</si>
  <si>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</si>
  <si>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</si>
  <si>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</si>
  <si>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</si>
  <si>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</si>
  <si>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</si>
  <si>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</si>
  <si>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</si>
  <si>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 xml:space="preserve">ежедневно 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</si>
  <si>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</si>
  <si>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</si>
  <si>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</si>
  <si>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</si>
  <si>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</si>
  <si>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Сдвигание снега в дни снегопада (проезд)</t>
  </si>
  <si>
    <t>Очистка оголовков дымоходов и вентканалов от наледи и снега</t>
  </si>
  <si>
    <t xml:space="preserve">2 раза в месяц  </t>
  </si>
  <si>
    <t>шт</t>
  </si>
  <si>
    <t>Внеплановая проверка дымоходов</t>
  </si>
  <si>
    <t>Дератизация</t>
  </si>
  <si>
    <t>3м</t>
  </si>
  <si>
    <t>10 м2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</si>
  <si>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</si>
  <si>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</si>
  <si>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</si>
  <si>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</si>
  <si>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</si>
  <si>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</si>
  <si>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</si>
  <si>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</si>
  <si>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</si>
  <si>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</si>
  <si>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</si>
  <si>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</si>
  <si>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</si>
  <si>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</si>
  <si>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</si>
  <si>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</si>
  <si>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</si>
  <si>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</si>
  <si>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</si>
  <si>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</si>
  <si>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</si>
  <si>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</si>
  <si>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</si>
  <si>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</si>
  <si>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</si>
  <si>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</si>
  <si>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</si>
  <si>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</si>
  <si>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</si>
  <si>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 xml:space="preserve">6 раз за сезон </t>
  </si>
  <si>
    <t>Очистка внутреннего водостока</t>
  </si>
  <si>
    <t>водосток</t>
  </si>
  <si>
    <t>Очистка водостоков от наледи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</si>
  <si>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</si>
  <si>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</si>
  <si>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</si>
  <si>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</si>
  <si>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</si>
  <si>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</si>
  <si>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Замена ламп ДРЛ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</si>
  <si>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</si>
  <si>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</si>
  <si>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ул.Космонавтов пгт.Ярега
</t>
  </si>
  <si>
    <t>Очистка края кровли от слежавшегося снега со сбрасыванием сосулек (10% от S кровли и козырьки)</t>
  </si>
  <si>
    <t>Устройство хомута диаметром до 50 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</si>
  <si>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</si>
  <si>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</si>
  <si>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№1</t>
  </si>
  <si>
    <t xml:space="preserve"> </t>
  </si>
  <si>
    <t>Очистка  от мусора</t>
  </si>
  <si>
    <t>Ремонт и регулировка доводчика (без стоимости доводчика)</t>
  </si>
  <si>
    <t>1шт.</t>
  </si>
  <si>
    <t>Смена трубопроводов на полипропиленовые трубы PN25 диаметром 25 мм</t>
  </si>
  <si>
    <t>1 шт</t>
  </si>
  <si>
    <t xml:space="preserve">Смена сгонов у трубопроводов диаметром до 20 мм </t>
  </si>
  <si>
    <t>1 сгон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</si>
  <si>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</si>
  <si>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Переход чугун-пластик Ду 110 с манжетой</t>
  </si>
  <si>
    <t xml:space="preserve">Герметизация стыков трубопроводов    </t>
  </si>
  <si>
    <t>1 место</t>
  </si>
  <si>
    <t>Работа автовышки</t>
  </si>
  <si>
    <t>маш/час</t>
  </si>
  <si>
    <t>Переход 110×50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</si>
  <si>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</si>
  <si>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</si>
  <si>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</si>
  <si>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</si>
  <si>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</si>
  <si>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</si>
  <si>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</si>
  <si>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</si>
  <si>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</si>
  <si>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</si>
  <si>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</si>
  <si>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</si>
  <si>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</si>
  <si>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</si>
  <si>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</si>
  <si>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</si>
  <si>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09.12.2013г.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</si>
  <si>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 xml:space="preserve">24 раза в год </t>
  </si>
  <si>
    <t>104 раза в год</t>
  </si>
  <si>
    <t>156 раз в год</t>
  </si>
  <si>
    <t>5 раз в год</t>
  </si>
  <si>
    <t>Прочистка засоров канализации</t>
  </si>
  <si>
    <t>Очистка фановых труб от наледи</t>
  </si>
  <si>
    <t>Смена светильников с лампами накаливания</t>
  </si>
  <si>
    <t>Итого затраты за месяц</t>
  </si>
  <si>
    <t>за период с 01.02.2017 г. по 28.02.2017 г.</t>
  </si>
  <si>
    <t>Смена полиэтиленовых канализационных труб 110×1000 мм</t>
  </si>
  <si>
    <t>Ревизия 110</t>
  </si>
  <si>
    <t>Муфта 110</t>
  </si>
  <si>
    <t>Патрубок компенсацинный ПП Ду 110</t>
  </si>
  <si>
    <t>Тройник 110×110/87°</t>
  </si>
  <si>
    <t>за период с 01.03.2017 г. по 31.03.2017 г.</t>
  </si>
  <si>
    <t>Смена трубопроводов на полипропиленовые трубы PN25 диаметром 20 мм</t>
  </si>
  <si>
    <t>Смена дверных приборов - пружины</t>
  </si>
  <si>
    <t>2. Всего за период с 01.03.2017 по 31.03.2017 выполнено работ (оказано услуг) на общую сумму: 111980,76 руб.</t>
  </si>
  <si>
    <t>(сто одиннадцать тысяч девятьсот восемьдесят рублей 76 копеек)</t>
  </si>
  <si>
    <t>за период с 01.04.2017 г. по 30.04.2017 г.</t>
  </si>
  <si>
    <t>2. Всего за период с 01.04.2017 по 30.04.2017 выполнено работ (оказано услуг) на общую сумму: 69287,23 руб.</t>
  </si>
  <si>
    <t>(шестьдесят девять тысяч двести восемьдесят семь рублей 23 копейки)</t>
  </si>
  <si>
    <t>за период с 01.05.2017 г. по 31.05.2017 г.</t>
  </si>
  <si>
    <t>Дезинфекция подвала</t>
  </si>
  <si>
    <t>Работа автопогрузика</t>
  </si>
  <si>
    <t>2. Всего за период с 01.05.2017 по 31.05.2017 выполнено работ (оказано услуг) на общую сумму: 191391,09 руб.</t>
  </si>
  <si>
    <t>(сто девяносто одна тысяча триста девяносто один рубль 09 копеек)</t>
  </si>
  <si>
    <t>за период с 01.06.2017 г. по 30.06.2017 г.</t>
  </si>
  <si>
    <t>Смена полиэтиленовых канализационных труб 110×2000 мм</t>
  </si>
  <si>
    <t>Отвод 110*90°</t>
  </si>
  <si>
    <t>Манжета 100</t>
  </si>
  <si>
    <t>за период с 01.07.2017 г. по 31.07.2017 г.</t>
  </si>
  <si>
    <t>Простая масляная окраска ранее окрашенных входных металлических дверей (I-VI под.)</t>
  </si>
  <si>
    <t>2. Всего за период с 01.07.2017 по 31.07.2017 выполнено работ (оказано услуг) на общую сумму: 59432,39 руб.</t>
  </si>
  <si>
    <t>(пятьдесят девять тысяч четыреста тридцать два рубля 39 копеек)</t>
  </si>
  <si>
    <t>за период с 01.08.2017 г. по 31.08.2017 г.</t>
  </si>
  <si>
    <t>Смена задвижек диаметром до 100 мм</t>
  </si>
  <si>
    <t>2. Всего за период с 01.08.2017 по 31.08.2017 выполнено работ (оказано услуг) на общую сумму: 60322,73 руб.</t>
  </si>
  <si>
    <t>(шестьдесят тысяч триста двадцать два рубля 73 копейки)</t>
  </si>
  <si>
    <t>за период с 01.09.2017 г. по 30.09.2017 г.</t>
  </si>
  <si>
    <t>Смена радиаторов отопительных стальных (7-секционных)</t>
  </si>
  <si>
    <t>Смена обделок из листовой стали, примыканий к фановым трубам</t>
  </si>
  <si>
    <t>10 м</t>
  </si>
  <si>
    <t>за период с 01.10.2017 г. по 31.10.2017 г.</t>
  </si>
  <si>
    <t>52 раза за сезон</t>
  </si>
  <si>
    <t>48 раз</t>
  </si>
  <si>
    <t>182 раза</t>
  </si>
  <si>
    <t>Сдвигание снега в дни снегопада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</si>
  <si>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</si>
  <si>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</si>
  <si>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</si>
  <si>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</t>
  </si>
  <si>
    <t>Стоимость светодиодного светильника</t>
  </si>
  <si>
    <t>руб.</t>
  </si>
  <si>
    <t>II. Уборка земельного участка</t>
  </si>
  <si>
    <t>по  необходимости</t>
  </si>
  <si>
    <t>Смена ламп ДРЛ</t>
  </si>
  <si>
    <t>Дезинсекция</t>
  </si>
  <si>
    <t>2. Всего за период с 01.10.2017 по 31.10.2017 выполнено работ (оказано услуг) на общую сумму: 70724,73 руб.</t>
  </si>
  <si>
    <t>(семьдесят тысяч семьсот двадцать четыре рубля 73 копейки)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</si>
  <si>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</si>
  <si>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№11</t>
  </si>
  <si>
    <t>Ремонт и регулировка доводчика (со стоимостью доводчика)</t>
  </si>
  <si>
    <t>Внеплановая проверка вентканалов</t>
  </si>
  <si>
    <t>Устройство козырьков и входных площадок (IV, Vпод.)</t>
  </si>
  <si>
    <t>руб</t>
  </si>
  <si>
    <t>АКТ №12</t>
  </si>
  <si>
    <t>за период с 01.12.2017 г. по 31.12.2017 г.</t>
  </si>
  <si>
    <t>за период с 01.11.2017 г. по 30.11.2017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</si>
  <si>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д.8</t>
    </r>
  </si>
  <si>
    <t>2. Всего за период с 01.01.2017 по 31.01.2017 выполнено работ (оказано услуг) на общую сумму: 93685,04 руб.</t>
  </si>
  <si>
    <t>(девяносто три тысячи шестьсот восемьдесят пять рублей 04 копейки)</t>
  </si>
  <si>
    <t>2. Всего за период с 01.02.2017 по 28.02.2017 выполнено работ (оказано услуг) на общую сумму: 67884,58 руб.</t>
  </si>
  <si>
    <t>(шестьдесят семь тысяч восемьсот восемьдесят четыре рубля 58 копеек)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</si>
  <si>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</si>
  <si>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</si>
  <si>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77459,03 руб.</t>
  </si>
  <si>
    <t>(семьдесят семь тысяч четыреста пятьдесят девять рублей 03 копейки)</t>
  </si>
  <si>
    <t>Герметизация стыков фоновой трубы</t>
  </si>
  <si>
    <t>2. Всего за период с 01.09.2017 по 30.09.2017 выполнено работ (оказано услуг) на общую сумму: 119502,54 руб.</t>
  </si>
  <si>
    <t>(сто девятнадцать тысяч пятьсот два рубля 54 копейки)</t>
  </si>
  <si>
    <t>2. Всего за период с 01.11.2017 по 30.11.2017 выполнено работ (оказано услуг) на общую сумму: 191822,81 руб.</t>
  </si>
  <si>
    <t>(сто девяносто одна тысяча восемьсот двадцать два рубля 81 копейка)</t>
  </si>
  <si>
    <t>Сверхнормативы по ОДП за 2 полугодие</t>
  </si>
  <si>
    <t>2. Всего за период с 01.12.2017 по 31.12.2017 выполнено работ (оказано услуг) на общую сумму: 84269,02 руб.</t>
  </si>
  <si>
    <t>(восемьдесят четыре тысячи двести шестьдесят девять рублей 02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</si>
</sst>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1" fillId="0" borderId="0" xfId="0" applyFont="1" applyFill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/>
    </xf>
    <xf numFmtId="4" fontId="11" fillId="0" borderId="22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2" fontId="11" fillId="0" borderId="11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148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179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26">
        <v>42766</v>
      </c>
      <c r="J6" s="2"/>
      <c r="K6" s="2"/>
      <c r="L6" s="2"/>
      <c r="M6" s="2"/>
    </row>
    <row r="7" spans="1:13" ht="15.75">
      <c r="B7" s="46"/>
      <c r="C7" s="46"/>
      <c r="D7" s="4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8.2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/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v>0</v>
      </c>
      <c r="J19" s="59"/>
    </row>
    <row r="20" spans="1:10" s="58" customFormat="1" ht="15.75" hidden="1" customHeight="1">
      <c r="A20" s="25"/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v>0</v>
      </c>
      <c r="J20" s="59"/>
    </row>
    <row r="21" spans="1:10" s="58" customFormat="1" ht="15.75" hidden="1" customHeight="1">
      <c r="A21" s="25"/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v>0</v>
      </c>
      <c r="J21" s="59"/>
    </row>
    <row r="22" spans="1:10" s="58" customFormat="1" ht="15.75" hidden="1" customHeight="1">
      <c r="A22" s="25"/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v>0</v>
      </c>
      <c r="J22" s="59"/>
    </row>
    <row r="23" spans="1:10" s="58" customFormat="1" ht="15.75" hidden="1" customHeight="1">
      <c r="A23" s="25"/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v>0</v>
      </c>
      <c r="J23" s="59"/>
    </row>
    <row r="24" spans="1:10" s="58" customFormat="1" ht="15.75" hidden="1" customHeight="1">
      <c r="A24" s="25"/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v>0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1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1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hidden="1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hidden="1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2">SUM(F29*G29/1000)</f>
        <v>9.6733725659999994</v>
      </c>
      <c r="I29" s="12">
        <f>F29/6*G29</f>
        <v>1612.2287609999998</v>
      </c>
      <c r="J29" s="59"/>
    </row>
    <row r="30" spans="1:10" s="58" customFormat="1" ht="31.5" hidden="1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2"/>
        <v>1.9199711232000003</v>
      </c>
      <c r="I30" s="12">
        <f t="shared" ref="I30:I33" si="3">F30/6*G30</f>
        <v>319.99518720000003</v>
      </c>
      <c r="J30" s="59"/>
    </row>
    <row r="31" spans="1:10" s="58" customFormat="1" ht="15.75" hidden="1" customHeight="1">
      <c r="A31" s="25"/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2"/>
        <v>3.6041344370999995</v>
      </c>
      <c r="I31" s="12">
        <f>F31*G31</f>
        <v>3604.1344370999996</v>
      </c>
      <c r="J31" s="59"/>
    </row>
    <row r="32" spans="1:10" s="58" customFormat="1" ht="15.75" hidden="1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3"/>
        <v>2157.3829999999998</v>
      </c>
      <c r="J32" s="59"/>
    </row>
    <row r="33" spans="1:14" s="58" customFormat="1" ht="15.75" hidden="1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3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4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4"/>
        <v>2.2726599999999997</v>
      </c>
      <c r="I35" s="12">
        <v>0</v>
      </c>
      <c r="J35" s="59"/>
    </row>
    <row r="36" spans="1:14" s="58" customFormat="1" ht="15.75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5">SUM(F37*G37/1000)</f>
        <v>13.060799999999999</v>
      </c>
      <c r="I37" s="12">
        <f>F37/6*G37</f>
        <v>2176.7999999999997</v>
      </c>
      <c r="J37" s="59"/>
    </row>
    <row r="38" spans="1:14" s="58" customFormat="1" ht="15.75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5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5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5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customHeight="1">
      <c r="A44" s="25">
        <v>11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5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/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6">SUM(F46*G46/1000)</f>
        <v>1.8752264999999999</v>
      </c>
      <c r="I46" s="12">
        <v>0</v>
      </c>
      <c r="J46" s="59"/>
      <c r="L46" s="18"/>
      <c r="M46" s="19"/>
      <c r="N46" s="28"/>
    </row>
    <row r="47" spans="1:14" s="58" customFormat="1" ht="15.75" hidden="1" customHeight="1">
      <c r="A47" s="25"/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6"/>
        <v>0.16353744000000001</v>
      </c>
      <c r="I47" s="12">
        <v>0</v>
      </c>
      <c r="J47" s="59"/>
      <c r="L47" s="18"/>
      <c r="M47" s="19"/>
      <c r="N47" s="28"/>
    </row>
    <row r="48" spans="1:14" s="58" customFormat="1" ht="15.75" hidden="1" customHeight="1">
      <c r="A48" s="25"/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6"/>
        <v>5.2632047223999994</v>
      </c>
      <c r="I48" s="12">
        <v>0</v>
      </c>
      <c r="J48" s="59"/>
      <c r="L48" s="18"/>
      <c r="M48" s="19"/>
      <c r="N48" s="28"/>
    </row>
    <row r="49" spans="1:22" s="58" customFormat="1" ht="15.75" hidden="1" customHeight="1">
      <c r="A49" s="25"/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6"/>
        <v>2.8068728447999995</v>
      </c>
      <c r="I49" s="12">
        <v>0</v>
      </c>
      <c r="J49" s="59"/>
      <c r="L49" s="18"/>
      <c r="M49" s="19"/>
      <c r="N49" s="28"/>
    </row>
    <row r="50" spans="1:22" s="58" customFormat="1" ht="15.75" customHeight="1">
      <c r="A50" s="25">
        <v>12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6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/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6"/>
        <v>2.6399648</v>
      </c>
      <c r="I51" s="12">
        <v>0</v>
      </c>
      <c r="J51" s="59"/>
      <c r="L51" s="18"/>
      <c r="M51" s="19"/>
      <c r="N51" s="28"/>
    </row>
    <row r="52" spans="1:22" s="58" customFormat="1" ht="31.5" hidden="1" customHeight="1">
      <c r="A52" s="25"/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6"/>
        <v>1.7513339999999997</v>
      </c>
      <c r="I52" s="12">
        <v>0</v>
      </c>
      <c r="J52" s="59"/>
      <c r="L52" s="18"/>
      <c r="M52" s="19"/>
      <c r="N52" s="28"/>
    </row>
    <row r="53" spans="1:22" s="58" customFormat="1" ht="15.75" hidden="1" customHeight="1">
      <c r="A53" s="25"/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6"/>
        <v>0.12084260000000001</v>
      </c>
      <c r="I53" s="12">
        <v>0</v>
      </c>
      <c r="J53" s="59"/>
      <c r="L53" s="18"/>
      <c r="M53" s="19"/>
      <c r="N53" s="28"/>
    </row>
    <row r="54" spans="1:22" s="58" customFormat="1" ht="15.75" customHeight="1">
      <c r="A54" s="25">
        <v>13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6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customHeight="1">
      <c r="A55" s="25">
        <v>14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6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166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customHeight="1">
      <c r="A58" s="25">
        <v>15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customHeight="1">
      <c r="A59" s="25">
        <v>16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customHeight="1">
      <c r="A61" s="25">
        <v>17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18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7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7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/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7"/>
        <v>32.5375613</v>
      </c>
      <c r="I68" s="12">
        <v>0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/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7"/>
        <v>2.5338236700000003</v>
      </c>
      <c r="I69" s="12">
        <v>0</v>
      </c>
    </row>
    <row r="70" spans="1:21" s="58" customFormat="1" ht="15.75" hidden="1" customHeight="1">
      <c r="A70" s="25"/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7"/>
        <v>49.766983200000013</v>
      </c>
      <c r="I70" s="12">
        <v>0</v>
      </c>
    </row>
    <row r="71" spans="1:21" s="58" customFormat="1" ht="15.75" hidden="1" customHeight="1">
      <c r="A71" s="25"/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7"/>
        <v>0.53252160000000004</v>
      </c>
      <c r="I71" s="12">
        <v>0</v>
      </c>
    </row>
    <row r="72" spans="1:21" s="58" customFormat="1" ht="15.75" hidden="1" customHeight="1">
      <c r="A72" s="25"/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7"/>
        <v>0.49682880000000007</v>
      </c>
      <c r="I72" s="12">
        <v>0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7"/>
        <v>0.2666</v>
      </c>
      <c r="I73" s="12">
        <v>0</v>
      </c>
    </row>
    <row r="74" spans="1:21" s="58" customFormat="1" ht="15.75" hidden="1" customHeight="1">
      <c r="A74" s="25"/>
      <c r="B74" s="52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8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9">SUM(F79*G79/1000)</f>
        <v>2.94984</v>
      </c>
      <c r="I79" s="12">
        <v>0</v>
      </c>
    </row>
    <row r="80" spans="1:21" s="58" customFormat="1" ht="15.75" hidden="1" customHeight="1">
      <c r="A80" s="25"/>
      <c r="B80" s="52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/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v>0</v>
      </c>
    </row>
    <row r="82" spans="1:9" s="58" customFormat="1" ht="15.75" customHeight="1">
      <c r="A82" s="173" t="s">
        <v>167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19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20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I16+I17+I18+I25+I26+I37+I38+I39+I41+I42+I44+I50+I54+I55+I58+I59+I61+I64+I83+I84</f>
        <v>90910.16028578335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21</v>
      </c>
      <c r="B87" s="42" t="s">
        <v>145</v>
      </c>
      <c r="C87" s="43" t="s">
        <v>85</v>
      </c>
      <c r="D87" s="13"/>
      <c r="E87" s="17"/>
      <c r="F87" s="12">
        <v>2</v>
      </c>
      <c r="G87" s="12">
        <v>195.85</v>
      </c>
      <c r="H87" s="78">
        <f t="shared" ref="H87:H91" si="10">G87*F87/1000</f>
        <v>0.39169999999999999</v>
      </c>
      <c r="I87" s="85">
        <f>G87*2</f>
        <v>391.7</v>
      </c>
    </row>
    <row r="88" spans="1:9" s="58" customFormat="1" ht="15.75" customHeight="1">
      <c r="A88" s="25">
        <v>22</v>
      </c>
      <c r="B88" s="119" t="s">
        <v>185</v>
      </c>
      <c r="C88" s="86" t="s">
        <v>99</v>
      </c>
      <c r="D88" s="13"/>
      <c r="E88" s="17"/>
      <c r="F88" s="12">
        <f>(3+15+15+3+15)/3</f>
        <v>17</v>
      </c>
      <c r="G88" s="12">
        <v>1120.8900000000001</v>
      </c>
      <c r="H88" s="78">
        <f t="shared" si="10"/>
        <v>19.055130000000002</v>
      </c>
      <c r="I88" s="85">
        <f>G88</f>
        <v>1120.8900000000001</v>
      </c>
    </row>
    <row r="89" spans="1:9" s="58" customFormat="1" ht="15.75" customHeight="1">
      <c r="A89" s="25">
        <v>23</v>
      </c>
      <c r="B89" s="61" t="s">
        <v>186</v>
      </c>
      <c r="C89" s="62" t="s">
        <v>103</v>
      </c>
      <c r="D89" s="39"/>
      <c r="E89" s="12"/>
      <c r="F89" s="12">
        <f>2/100</f>
        <v>0.02</v>
      </c>
      <c r="G89" s="12">
        <v>2029.3</v>
      </c>
      <c r="H89" s="12">
        <f t="shared" si="10"/>
        <v>4.0585999999999997E-2</v>
      </c>
      <c r="I89" s="85">
        <f>G89*F89</f>
        <v>40.585999999999999</v>
      </c>
    </row>
    <row r="90" spans="1:9" s="58" customFormat="1" ht="15.75" customHeight="1">
      <c r="A90" s="25">
        <v>24</v>
      </c>
      <c r="B90" s="42" t="s">
        <v>187</v>
      </c>
      <c r="C90" s="43" t="s">
        <v>96</v>
      </c>
      <c r="D90" s="39"/>
      <c r="E90" s="12"/>
      <c r="F90" s="12">
        <v>1</v>
      </c>
      <c r="G90" s="12">
        <v>1102.53</v>
      </c>
      <c r="H90" s="12">
        <f t="shared" si="10"/>
        <v>1.10253</v>
      </c>
      <c r="I90" s="85">
        <f>G90</f>
        <v>1102.53</v>
      </c>
    </row>
    <row r="91" spans="1:9" s="58" customFormat="1" ht="31.5" customHeight="1">
      <c r="A91" s="25">
        <v>25</v>
      </c>
      <c r="B91" s="42" t="s">
        <v>83</v>
      </c>
      <c r="C91" s="43" t="s">
        <v>37</v>
      </c>
      <c r="D91" s="13"/>
      <c r="E91" s="17"/>
      <c r="F91" s="12">
        <v>0.02</v>
      </c>
      <c r="G91" s="12">
        <v>3581.13</v>
      </c>
      <c r="H91" s="78">
        <f t="shared" si="10"/>
        <v>7.1622600000000008E-2</v>
      </c>
      <c r="I91" s="85">
        <f>G91*0.01</f>
        <v>35.811300000000003</v>
      </c>
    </row>
    <row r="92" spans="1:9" s="58" customFormat="1" ht="31.5" customHeight="1">
      <c r="A92" s="25">
        <v>26</v>
      </c>
      <c r="B92" s="42" t="s">
        <v>79</v>
      </c>
      <c r="C92" s="43" t="s">
        <v>96</v>
      </c>
      <c r="D92" s="13"/>
      <c r="E92" s="17"/>
      <c r="F92" s="12">
        <v>3</v>
      </c>
      <c r="G92" s="12">
        <v>83.36</v>
      </c>
      <c r="H92" s="78">
        <f>G92*F92/1000</f>
        <v>0.25007999999999997</v>
      </c>
      <c r="I92" s="85">
        <f>G92</f>
        <v>83.36</v>
      </c>
    </row>
    <row r="93" spans="1:9" ht="15.75" customHeight="1">
      <c r="A93" s="25"/>
      <c r="B93" s="87" t="s">
        <v>50</v>
      </c>
      <c r="C93" s="34"/>
      <c r="D93" s="40"/>
      <c r="E93" s="34">
        <v>1</v>
      </c>
      <c r="F93" s="34"/>
      <c r="G93" s="34"/>
      <c r="H93" s="34"/>
      <c r="I93" s="29">
        <f>SUM(I87:I92)</f>
        <v>2774.8773000000001</v>
      </c>
    </row>
    <row r="94" spans="1:9" ht="15.75" customHeight="1">
      <c r="A94" s="25"/>
      <c r="B94" s="39" t="s">
        <v>78</v>
      </c>
      <c r="C94" s="14"/>
      <c r="D94" s="14"/>
      <c r="E94" s="35"/>
      <c r="F94" s="35"/>
      <c r="G94" s="36"/>
      <c r="H94" s="36"/>
      <c r="I94" s="16">
        <v>0</v>
      </c>
    </row>
    <row r="95" spans="1:9" ht="15.75" customHeight="1">
      <c r="A95" s="41"/>
      <c r="B95" s="38" t="s">
        <v>188</v>
      </c>
      <c r="C95" s="30"/>
      <c r="D95" s="30"/>
      <c r="E95" s="30"/>
      <c r="F95" s="30"/>
      <c r="G95" s="30"/>
      <c r="H95" s="30"/>
      <c r="I95" s="37">
        <f>I85+I93</f>
        <v>93685.037585783342</v>
      </c>
    </row>
    <row r="96" spans="1:9" ht="15.75">
      <c r="A96" s="187" t="s">
        <v>251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>
      <c r="A97" s="47"/>
      <c r="B97" s="181" t="s">
        <v>252</v>
      </c>
      <c r="C97" s="181"/>
      <c r="D97" s="181"/>
      <c r="E97" s="181"/>
      <c r="F97" s="181"/>
      <c r="G97" s="181"/>
      <c r="H97" s="57"/>
      <c r="I97" s="3"/>
    </row>
    <row r="98" spans="1:9">
      <c r="A98" s="50"/>
      <c r="B98" s="177" t="s">
        <v>6</v>
      </c>
      <c r="C98" s="177"/>
      <c r="D98" s="177"/>
      <c r="E98" s="177"/>
      <c r="F98" s="177"/>
      <c r="G98" s="177"/>
      <c r="H98" s="20"/>
      <c r="I98" s="5"/>
    </row>
    <row r="99" spans="1:9" ht="8.2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182" t="s">
        <v>7</v>
      </c>
      <c r="B100" s="182"/>
      <c r="C100" s="182"/>
      <c r="D100" s="182"/>
      <c r="E100" s="182"/>
      <c r="F100" s="182"/>
      <c r="G100" s="182"/>
      <c r="H100" s="182"/>
      <c r="I100" s="182"/>
    </row>
    <row r="101" spans="1:9" ht="15.75">
      <c r="A101" s="182" t="s">
        <v>8</v>
      </c>
      <c r="B101" s="182"/>
      <c r="C101" s="182"/>
      <c r="D101" s="182"/>
      <c r="E101" s="182"/>
      <c r="F101" s="182"/>
      <c r="G101" s="182"/>
      <c r="H101" s="182"/>
      <c r="I101" s="182"/>
    </row>
    <row r="102" spans="1:9" ht="15.75">
      <c r="A102" s="183" t="s">
        <v>60</v>
      </c>
      <c r="B102" s="183"/>
      <c r="C102" s="183"/>
      <c r="D102" s="183"/>
      <c r="E102" s="183"/>
      <c r="F102" s="183"/>
      <c r="G102" s="183"/>
      <c r="H102" s="183"/>
      <c r="I102" s="183"/>
    </row>
    <row r="103" spans="1:9" ht="8.25" customHeight="1">
      <c r="A103" s="10"/>
    </row>
    <row r="104" spans="1:9" ht="15.75">
      <c r="A104" s="184" t="s">
        <v>9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4"/>
    </row>
    <row r="106" spans="1:9" ht="15.75">
      <c r="B106" s="46" t="s">
        <v>10</v>
      </c>
      <c r="C106" s="176" t="s">
        <v>92</v>
      </c>
      <c r="D106" s="176"/>
      <c r="E106" s="176"/>
      <c r="F106" s="55"/>
      <c r="I106" s="49"/>
    </row>
    <row r="107" spans="1:9">
      <c r="A107" s="50"/>
      <c r="C107" s="177" t="s">
        <v>11</v>
      </c>
      <c r="D107" s="177"/>
      <c r="E107" s="177"/>
      <c r="F107" s="20"/>
      <c r="I107" s="48" t="s">
        <v>12</v>
      </c>
    </row>
    <row r="108" spans="1:9" ht="15.75">
      <c r="A108" s="21"/>
      <c r="C108" s="11"/>
      <c r="D108" s="11"/>
      <c r="G108" s="11"/>
      <c r="H108" s="11"/>
    </row>
    <row r="109" spans="1:9" ht="15.75">
      <c r="B109" s="46" t="s">
        <v>13</v>
      </c>
      <c r="C109" s="178"/>
      <c r="D109" s="178"/>
      <c r="E109" s="178"/>
      <c r="F109" s="56"/>
      <c r="I109" s="49"/>
    </row>
    <row r="110" spans="1:9">
      <c r="A110" s="50"/>
      <c r="C110" s="179" t="s">
        <v>11</v>
      </c>
      <c r="D110" s="179"/>
      <c r="E110" s="179"/>
      <c r="F110" s="50"/>
      <c r="I110" s="48" t="s">
        <v>12</v>
      </c>
    </row>
    <row r="111" spans="1:9" ht="15.75">
      <c r="A111" s="4" t="s">
        <v>14</v>
      </c>
    </row>
    <row r="112" spans="1:9">
      <c r="A112" s="180" t="s">
        <v>15</v>
      </c>
      <c r="B112" s="180"/>
      <c r="C112" s="180"/>
      <c r="D112" s="180"/>
      <c r="E112" s="180"/>
      <c r="F112" s="180"/>
      <c r="G112" s="180"/>
      <c r="H112" s="180"/>
      <c r="I112" s="180"/>
    </row>
    <row r="113" spans="1:9" ht="45" customHeight="1">
      <c r="A113" s="169" t="s">
        <v>16</v>
      </c>
      <c r="B113" s="169"/>
      <c r="C113" s="169"/>
      <c r="D113" s="169"/>
      <c r="E113" s="169"/>
      <c r="F113" s="169"/>
      <c r="G113" s="169"/>
      <c r="H113" s="169"/>
      <c r="I113" s="169"/>
    </row>
    <row r="114" spans="1:9" ht="30" customHeight="1">
      <c r="A114" s="169" t="s">
        <v>17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30" customHeight="1">
      <c r="A115" s="169" t="s">
        <v>21</v>
      </c>
      <c r="B115" s="169"/>
      <c r="C115" s="169"/>
      <c r="D115" s="169"/>
      <c r="E115" s="169"/>
      <c r="F115" s="169"/>
      <c r="G115" s="169"/>
      <c r="H115" s="169"/>
      <c r="I115" s="169"/>
    </row>
    <row r="116" spans="1:9" ht="15" customHeight="1">
      <c r="A116" s="169" t="s">
        <v>20</v>
      </c>
      <c r="B116" s="169"/>
      <c r="C116" s="169"/>
      <c r="D116" s="169"/>
      <c r="E116" s="169"/>
      <c r="F116" s="169"/>
      <c r="G116" s="169"/>
      <c r="H116" s="169"/>
      <c r="I116" s="169"/>
    </row>
  </sheetData>
  <autoFilter ref="I12:I62"/>
  <mergeCells count="29">
    <mergeCell ref="A14:I14"/>
    <mergeCell ref="A3:I3"/>
    <mergeCell ref="A4:I4"/>
    <mergeCell ref="A5:I5"/>
    <mergeCell ref="A8:I8"/>
    <mergeCell ref="A10:I10"/>
    <mergeCell ref="A102:I102"/>
    <mergeCell ref="A104:I104"/>
    <mergeCell ref="A15:I15"/>
    <mergeCell ref="A27:I27"/>
    <mergeCell ref="R67:U67"/>
    <mergeCell ref="A96:I96"/>
    <mergeCell ref="A86:I86"/>
    <mergeCell ref="A114:I114"/>
    <mergeCell ref="A115:I115"/>
    <mergeCell ref="A116:I116"/>
    <mergeCell ref="A45:I45"/>
    <mergeCell ref="A56:I56"/>
    <mergeCell ref="A82:I82"/>
    <mergeCell ref="C106:E106"/>
    <mergeCell ref="C107:E107"/>
    <mergeCell ref="C109:E109"/>
    <mergeCell ref="C110:E110"/>
    <mergeCell ref="A112:I112"/>
    <mergeCell ref="A113:I113"/>
    <mergeCell ref="B97:G97"/>
    <mergeCell ref="B98:G98"/>
    <mergeCell ref="A100:I100"/>
    <mergeCell ref="A101:I10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178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224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43039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241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.7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129" t="s">
        <v>90</v>
      </c>
      <c r="C16" s="130" t="s">
        <v>103</v>
      </c>
      <c r="D16" s="129" t="s">
        <v>183</v>
      </c>
      <c r="E16" s="131">
        <v>95.04</v>
      </c>
      <c r="F16" s="132">
        <f>SUM(E16*156/100)</f>
        <v>148.26240000000001</v>
      </c>
      <c r="G16" s="132">
        <v>230</v>
      </c>
      <c r="H16" s="133">
        <f t="shared" ref="H16:H24" si="0">SUM(F16*G16/1000)</f>
        <v>34.100352000000008</v>
      </c>
      <c r="I16" s="12">
        <f>F16/12*G16</f>
        <v>2841.6960000000004</v>
      </c>
    </row>
    <row r="17" spans="1:10" s="58" customFormat="1" ht="15.75" customHeight="1">
      <c r="A17" s="25">
        <v>2</v>
      </c>
      <c r="B17" s="129" t="s">
        <v>101</v>
      </c>
      <c r="C17" s="130" t="s">
        <v>103</v>
      </c>
      <c r="D17" s="129" t="s">
        <v>182</v>
      </c>
      <c r="E17" s="131">
        <v>380.16</v>
      </c>
      <c r="F17" s="132">
        <f>SUM(E17*104/100)</f>
        <v>395.3664</v>
      </c>
      <c r="G17" s="132">
        <v>230</v>
      </c>
      <c r="H17" s="133">
        <f t="shared" si="0"/>
        <v>90.934271999999993</v>
      </c>
      <c r="I17" s="12">
        <f t="shared" ref="I17:I18" si="1">F17/12*G17</f>
        <v>7577.8560000000007</v>
      </c>
      <c r="J17" s="59"/>
    </row>
    <row r="18" spans="1:10" s="58" customFormat="1" ht="15.75" customHeight="1">
      <c r="A18" s="25">
        <v>3</v>
      </c>
      <c r="B18" s="129" t="s">
        <v>102</v>
      </c>
      <c r="C18" s="130" t="s">
        <v>103</v>
      </c>
      <c r="D18" s="129" t="s">
        <v>181</v>
      </c>
      <c r="E18" s="131">
        <f>SUM(E16+E17)</f>
        <v>475.20000000000005</v>
      </c>
      <c r="F18" s="132">
        <f>SUM(E18*24/100)</f>
        <v>114.04800000000002</v>
      </c>
      <c r="G18" s="132">
        <v>661.67</v>
      </c>
      <c r="H18" s="133">
        <f t="shared" si="0"/>
        <v>75.462140160000004</v>
      </c>
      <c r="I18" s="12">
        <f t="shared" si="1"/>
        <v>6288.5116800000005</v>
      </c>
      <c r="J18" s="59"/>
    </row>
    <row r="19" spans="1:10" s="58" customFormat="1" ht="15.75" hidden="1" customHeight="1">
      <c r="A19" s="25">
        <v>4</v>
      </c>
      <c r="B19" s="129" t="s">
        <v>104</v>
      </c>
      <c r="C19" s="130" t="s">
        <v>105</v>
      </c>
      <c r="D19" s="129" t="s">
        <v>106</v>
      </c>
      <c r="E19" s="131">
        <v>57.6</v>
      </c>
      <c r="F19" s="132">
        <f>SUM(E19/10)</f>
        <v>5.76</v>
      </c>
      <c r="G19" s="132">
        <v>223.17</v>
      </c>
      <c r="H19" s="133">
        <f t="shared" si="0"/>
        <v>1.2854591999999998</v>
      </c>
      <c r="I19" s="12">
        <v>0</v>
      </c>
      <c r="J19" s="59"/>
    </row>
    <row r="20" spans="1:10" s="58" customFormat="1" ht="15.75" hidden="1" customHeight="1">
      <c r="A20" s="25">
        <v>5</v>
      </c>
      <c r="B20" s="129" t="s">
        <v>107</v>
      </c>
      <c r="C20" s="130" t="s">
        <v>103</v>
      </c>
      <c r="D20" s="129" t="s">
        <v>41</v>
      </c>
      <c r="E20" s="131">
        <v>43.2</v>
      </c>
      <c r="F20" s="132">
        <f>SUM(E20*2/100)</f>
        <v>0.8640000000000001</v>
      </c>
      <c r="G20" s="132">
        <v>285.76</v>
      </c>
      <c r="H20" s="133">
        <f t="shared" si="0"/>
        <v>0.24689664000000003</v>
      </c>
      <c r="I20" s="12">
        <v>0</v>
      </c>
      <c r="J20" s="59"/>
    </row>
    <row r="21" spans="1:10" s="58" customFormat="1" ht="15.75" hidden="1" customHeight="1">
      <c r="A21" s="25">
        <v>6</v>
      </c>
      <c r="B21" s="129" t="s">
        <v>108</v>
      </c>
      <c r="C21" s="130" t="s">
        <v>103</v>
      </c>
      <c r="D21" s="129" t="s">
        <v>41</v>
      </c>
      <c r="E21" s="131">
        <v>10.08</v>
      </c>
      <c r="F21" s="132">
        <f>SUM(E21*2/100)</f>
        <v>0.2016</v>
      </c>
      <c r="G21" s="132">
        <v>283.44</v>
      </c>
      <c r="H21" s="133">
        <f t="shared" si="0"/>
        <v>5.7141503999999996E-2</v>
      </c>
      <c r="I21" s="12">
        <v>0</v>
      </c>
      <c r="J21" s="59"/>
    </row>
    <row r="22" spans="1:10" s="58" customFormat="1" ht="15.75" hidden="1" customHeight="1">
      <c r="A22" s="25">
        <v>7</v>
      </c>
      <c r="B22" s="129" t="s">
        <v>109</v>
      </c>
      <c r="C22" s="130" t="s">
        <v>51</v>
      </c>
      <c r="D22" s="129" t="s">
        <v>106</v>
      </c>
      <c r="E22" s="131">
        <v>642.6</v>
      </c>
      <c r="F22" s="132">
        <f>SUM(E22/100)</f>
        <v>6.4260000000000002</v>
      </c>
      <c r="G22" s="132">
        <v>353.14</v>
      </c>
      <c r="H22" s="133">
        <f t="shared" si="0"/>
        <v>2.2692776399999999</v>
      </c>
      <c r="I22" s="12">
        <v>0</v>
      </c>
      <c r="J22" s="59"/>
    </row>
    <row r="23" spans="1:10" s="58" customFormat="1" ht="15.75" hidden="1" customHeight="1">
      <c r="A23" s="25">
        <v>8</v>
      </c>
      <c r="B23" s="129" t="s">
        <v>110</v>
      </c>
      <c r="C23" s="130" t="s">
        <v>51</v>
      </c>
      <c r="D23" s="129" t="s">
        <v>106</v>
      </c>
      <c r="E23" s="134">
        <v>35.28</v>
      </c>
      <c r="F23" s="132">
        <f>SUM(E23/100)</f>
        <v>0.3528</v>
      </c>
      <c r="G23" s="132">
        <v>58.08</v>
      </c>
      <c r="H23" s="133">
        <f t="shared" si="0"/>
        <v>2.0490623999999999E-2</v>
      </c>
      <c r="I23" s="12">
        <v>0</v>
      </c>
      <c r="J23" s="59"/>
    </row>
    <row r="24" spans="1:10" s="58" customFormat="1" ht="15.75" hidden="1" customHeight="1">
      <c r="A24" s="25">
        <v>9</v>
      </c>
      <c r="B24" s="129" t="s">
        <v>111</v>
      </c>
      <c r="C24" s="130" t="s">
        <v>51</v>
      </c>
      <c r="D24" s="129" t="s">
        <v>106</v>
      </c>
      <c r="E24" s="131">
        <v>28.8</v>
      </c>
      <c r="F24" s="132">
        <f>SUM(E24/100)</f>
        <v>0.28800000000000003</v>
      </c>
      <c r="G24" s="132">
        <v>683.05</v>
      </c>
      <c r="H24" s="133">
        <f t="shared" si="0"/>
        <v>0.19671840000000002</v>
      </c>
      <c r="I24" s="12">
        <v>0</v>
      </c>
      <c r="J24" s="59"/>
    </row>
    <row r="25" spans="1:10" s="58" customFormat="1" ht="15.75" customHeight="1">
      <c r="A25" s="25">
        <v>4</v>
      </c>
      <c r="B25" s="129" t="s">
        <v>63</v>
      </c>
      <c r="C25" s="130" t="s">
        <v>33</v>
      </c>
      <c r="D25" s="129" t="s">
        <v>227</v>
      </c>
      <c r="E25" s="136">
        <v>0.1</v>
      </c>
      <c r="F25" s="132">
        <f>SUM(E25*182)</f>
        <v>18.2</v>
      </c>
      <c r="G25" s="132">
        <v>264.85000000000002</v>
      </c>
      <c r="H25" s="133">
        <f>SUM(F25*G25/1000)</f>
        <v>4.8202700000000007</v>
      </c>
      <c r="I25" s="12">
        <f>F25/12*G25</f>
        <v>401.68916666666667</v>
      </c>
      <c r="J25" s="59"/>
    </row>
    <row r="26" spans="1:10" s="58" customFormat="1" ht="15.75" customHeight="1">
      <c r="A26" s="25">
        <v>5</v>
      </c>
      <c r="B26" s="137" t="s">
        <v>23</v>
      </c>
      <c r="C26" s="130" t="s">
        <v>24</v>
      </c>
      <c r="D26" s="137" t="s">
        <v>149</v>
      </c>
      <c r="E26" s="131">
        <v>3931</v>
      </c>
      <c r="F26" s="132">
        <f>SUM(E26*12)</f>
        <v>47172</v>
      </c>
      <c r="G26" s="132">
        <v>3.64</v>
      </c>
      <c r="H26" s="133">
        <f>SUM(F26*G26/1000)</f>
        <v>171.70608000000001</v>
      </c>
      <c r="I26" s="12">
        <f>F26/12*G26</f>
        <v>14308.84</v>
      </c>
      <c r="J26" s="59"/>
    </row>
    <row r="27" spans="1:10" s="58" customFormat="1" ht="15.75" customHeight="1">
      <c r="A27" s="170" t="s">
        <v>235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customHeight="1">
      <c r="A28" s="25"/>
      <c r="B28" s="163" t="s">
        <v>28</v>
      </c>
      <c r="C28" s="130"/>
      <c r="D28" s="129"/>
      <c r="E28" s="131"/>
      <c r="F28" s="132"/>
      <c r="G28" s="132"/>
      <c r="H28" s="133"/>
      <c r="I28" s="12"/>
      <c r="J28" s="59"/>
    </row>
    <row r="29" spans="1:10" s="58" customFormat="1" ht="15.75" customHeight="1">
      <c r="A29" s="25">
        <v>6</v>
      </c>
      <c r="B29" s="129" t="s">
        <v>112</v>
      </c>
      <c r="C29" s="130" t="s">
        <v>113</v>
      </c>
      <c r="D29" s="129" t="s">
        <v>114</v>
      </c>
      <c r="E29" s="132">
        <v>271.95</v>
      </c>
      <c r="F29" s="132">
        <f>SUM(E29*52/1000)</f>
        <v>14.141399999999999</v>
      </c>
      <c r="G29" s="132">
        <v>204.44</v>
      </c>
      <c r="H29" s="133">
        <f t="shared" ref="H29:H35" si="2">SUM(F29*G29/1000)</f>
        <v>2.8910678159999996</v>
      </c>
      <c r="I29" s="12">
        <f>F29/6*G29</f>
        <v>481.84463599999998</v>
      </c>
      <c r="J29" s="59"/>
    </row>
    <row r="30" spans="1:10" s="58" customFormat="1" ht="15.75" customHeight="1">
      <c r="A30" s="25">
        <v>7</v>
      </c>
      <c r="B30" s="129" t="s">
        <v>164</v>
      </c>
      <c r="C30" s="130" t="s">
        <v>113</v>
      </c>
      <c r="D30" s="129" t="s">
        <v>225</v>
      </c>
      <c r="E30" s="132">
        <v>83.7</v>
      </c>
      <c r="F30" s="132">
        <f>SUM(E30*52/1000)</f>
        <v>4.3524000000000003</v>
      </c>
      <c r="G30" s="132">
        <v>339.21</v>
      </c>
      <c r="H30" s="133">
        <f t="shared" si="2"/>
        <v>1.4763776040000001</v>
      </c>
      <c r="I30" s="12">
        <f t="shared" ref="I30:I42" si="3">F30/6*G30</f>
        <v>246.06293400000001</v>
      </c>
      <c r="J30" s="59"/>
    </row>
    <row r="31" spans="1:10" s="58" customFormat="1" ht="15.75" hidden="1" customHeight="1">
      <c r="A31" s="25">
        <v>5</v>
      </c>
      <c r="B31" s="129" t="s">
        <v>27</v>
      </c>
      <c r="C31" s="130" t="s">
        <v>113</v>
      </c>
      <c r="D31" s="129" t="s">
        <v>52</v>
      </c>
      <c r="E31" s="132">
        <v>271.95</v>
      </c>
      <c r="F31" s="132">
        <f>SUM(E31/1000)</f>
        <v>0.27194999999999997</v>
      </c>
      <c r="G31" s="132">
        <v>3961.23</v>
      </c>
      <c r="H31" s="133">
        <f t="shared" si="2"/>
        <v>1.0772564984999999</v>
      </c>
      <c r="I31" s="12">
        <v>0</v>
      </c>
      <c r="J31" s="59"/>
    </row>
    <row r="32" spans="1:10" s="58" customFormat="1" ht="15.75" customHeight="1">
      <c r="A32" s="25">
        <v>8</v>
      </c>
      <c r="B32" s="129" t="s">
        <v>116</v>
      </c>
      <c r="C32" s="130" t="s">
        <v>39</v>
      </c>
      <c r="D32" s="129" t="s">
        <v>226</v>
      </c>
      <c r="E32" s="132">
        <v>6</v>
      </c>
      <c r="F32" s="132">
        <f>SUM(E32*48/100)</f>
        <v>2.88</v>
      </c>
      <c r="G32" s="132">
        <v>1707.63</v>
      </c>
      <c r="H32" s="133">
        <f>G32*F32/1000</f>
        <v>4.9179744000000003</v>
      </c>
      <c r="I32" s="12">
        <f t="shared" si="3"/>
        <v>819.66240000000005</v>
      </c>
      <c r="J32" s="59"/>
    </row>
    <row r="33" spans="1:14" s="58" customFormat="1" ht="15.75" customHeight="1">
      <c r="A33" s="25">
        <v>9</v>
      </c>
      <c r="B33" s="129" t="s">
        <v>117</v>
      </c>
      <c r="C33" s="130" t="s">
        <v>31</v>
      </c>
      <c r="D33" s="129" t="s">
        <v>62</v>
      </c>
      <c r="E33" s="135">
        <f>1/3</f>
        <v>0.33333333333333331</v>
      </c>
      <c r="F33" s="132">
        <f>155/3</f>
        <v>51.666666666666664</v>
      </c>
      <c r="G33" s="132">
        <v>74.349999999999994</v>
      </c>
      <c r="H33" s="133">
        <f>SUM(G33*155/3/1000)</f>
        <v>3.8414166666666665</v>
      </c>
      <c r="I33" s="12">
        <f t="shared" si="3"/>
        <v>640.23611111111109</v>
      </c>
      <c r="J33" s="59"/>
    </row>
    <row r="34" spans="1:14" s="58" customFormat="1" ht="15.75" hidden="1" customHeight="1">
      <c r="A34" s="25">
        <v>6</v>
      </c>
      <c r="B34" s="129" t="s">
        <v>64</v>
      </c>
      <c r="C34" s="130" t="s">
        <v>33</v>
      </c>
      <c r="D34" s="129" t="s">
        <v>66</v>
      </c>
      <c r="E34" s="131"/>
      <c r="F34" s="132">
        <v>2</v>
      </c>
      <c r="G34" s="132">
        <v>250.92</v>
      </c>
      <c r="H34" s="133">
        <f t="shared" si="2"/>
        <v>0.50183999999999995</v>
      </c>
      <c r="I34" s="12">
        <v>0</v>
      </c>
      <c r="J34" s="59"/>
    </row>
    <row r="35" spans="1:14" s="58" customFormat="1" ht="15.75" hidden="1" customHeight="1">
      <c r="A35" s="25">
        <v>7</v>
      </c>
      <c r="B35" s="129" t="s">
        <v>65</v>
      </c>
      <c r="C35" s="130" t="s">
        <v>32</v>
      </c>
      <c r="D35" s="129" t="s">
        <v>66</v>
      </c>
      <c r="E35" s="131"/>
      <c r="F35" s="132">
        <v>1</v>
      </c>
      <c r="G35" s="132">
        <v>1490.33</v>
      </c>
      <c r="H35" s="133">
        <f t="shared" si="2"/>
        <v>1.4903299999999999</v>
      </c>
      <c r="I35" s="12">
        <v>0</v>
      </c>
      <c r="J35" s="59"/>
    </row>
    <row r="36" spans="1:14" s="58" customFormat="1" ht="15.75" hidden="1" customHeight="1">
      <c r="A36" s="25"/>
      <c r="B36" s="162" t="s">
        <v>5</v>
      </c>
      <c r="C36" s="130"/>
      <c r="D36" s="129"/>
      <c r="E36" s="131"/>
      <c r="F36" s="132"/>
      <c r="G36" s="132"/>
      <c r="H36" s="133" t="s">
        <v>149</v>
      </c>
      <c r="I36" s="12"/>
      <c r="J36" s="59"/>
    </row>
    <row r="37" spans="1:14" s="58" customFormat="1" ht="15.75" hidden="1" customHeight="1">
      <c r="A37" s="25">
        <v>6</v>
      </c>
      <c r="B37" s="138" t="s">
        <v>26</v>
      </c>
      <c r="C37" s="130" t="s">
        <v>32</v>
      </c>
      <c r="D37" s="129"/>
      <c r="E37" s="131"/>
      <c r="F37" s="132">
        <v>5</v>
      </c>
      <c r="G37" s="132">
        <v>2003</v>
      </c>
      <c r="H37" s="133">
        <f t="shared" ref="H37:H42" si="4">SUM(F37*G37/1000)</f>
        <v>10.015000000000001</v>
      </c>
      <c r="I37" s="12">
        <f t="shared" si="3"/>
        <v>1669.1666666666667</v>
      </c>
      <c r="J37" s="59"/>
    </row>
    <row r="38" spans="1:14" s="58" customFormat="1" ht="15.75" hidden="1" customHeight="1">
      <c r="A38" s="25">
        <v>7</v>
      </c>
      <c r="B38" s="138" t="s">
        <v>228</v>
      </c>
      <c r="C38" s="139" t="s">
        <v>29</v>
      </c>
      <c r="D38" s="129" t="s">
        <v>120</v>
      </c>
      <c r="E38" s="131">
        <v>83.7</v>
      </c>
      <c r="F38" s="140">
        <f>E38*30/1000</f>
        <v>2.5110000000000001</v>
      </c>
      <c r="G38" s="132">
        <v>2757.78</v>
      </c>
      <c r="H38" s="133">
        <f t="shared" si="4"/>
        <v>6.9247855800000009</v>
      </c>
      <c r="I38" s="12">
        <f t="shared" si="3"/>
        <v>1154.1309300000003</v>
      </c>
      <c r="J38" s="59"/>
    </row>
    <row r="39" spans="1:14" s="58" customFormat="1" ht="15.75" hidden="1" customHeight="1">
      <c r="A39" s="25">
        <v>8</v>
      </c>
      <c r="B39" s="129" t="s">
        <v>67</v>
      </c>
      <c r="C39" s="130" t="s">
        <v>29</v>
      </c>
      <c r="D39" s="129" t="s">
        <v>123</v>
      </c>
      <c r="E39" s="132">
        <v>83.7</v>
      </c>
      <c r="F39" s="140">
        <f>SUM(E39*155/1000)</f>
        <v>12.9735</v>
      </c>
      <c r="G39" s="132">
        <v>460.02</v>
      </c>
      <c r="H39" s="133">
        <f t="shared" si="4"/>
        <v>5.9680694699999997</v>
      </c>
      <c r="I39" s="12">
        <f t="shared" si="3"/>
        <v>994.67824499999983</v>
      </c>
      <c r="J39" s="59"/>
    </row>
    <row r="40" spans="1:14" s="58" customFormat="1" ht="47.25" hidden="1" customHeight="1">
      <c r="A40" s="25">
        <v>9</v>
      </c>
      <c r="B40" s="129" t="s">
        <v>84</v>
      </c>
      <c r="C40" s="130" t="s">
        <v>113</v>
      </c>
      <c r="D40" s="129" t="s">
        <v>120</v>
      </c>
      <c r="E40" s="132">
        <v>83.7</v>
      </c>
      <c r="F40" s="140">
        <f>SUM(E40*30/1000)</f>
        <v>2.5110000000000001</v>
      </c>
      <c r="G40" s="132">
        <v>7611.16</v>
      </c>
      <c r="H40" s="133">
        <f t="shared" si="4"/>
        <v>19.111622760000003</v>
      </c>
      <c r="I40" s="12">
        <f t="shared" si="3"/>
        <v>3185.2704600000002</v>
      </c>
      <c r="J40" s="59"/>
    </row>
    <row r="41" spans="1:14" s="58" customFormat="1" ht="15.75" hidden="1" customHeight="1">
      <c r="A41" s="25">
        <v>10</v>
      </c>
      <c r="B41" s="129" t="s">
        <v>125</v>
      </c>
      <c r="C41" s="130" t="s">
        <v>113</v>
      </c>
      <c r="D41" s="129" t="s">
        <v>124</v>
      </c>
      <c r="E41" s="132">
        <v>83.7</v>
      </c>
      <c r="F41" s="140">
        <f>SUM(E41*24/1000)</f>
        <v>2.0088000000000004</v>
      </c>
      <c r="G41" s="132">
        <v>562.25</v>
      </c>
      <c r="H41" s="133">
        <f t="shared" si="4"/>
        <v>1.1294478000000001</v>
      </c>
      <c r="I41" s="12">
        <f t="shared" si="3"/>
        <v>188.24130000000002</v>
      </c>
      <c r="J41" s="59"/>
    </row>
    <row r="42" spans="1:14" s="58" customFormat="1" ht="15.75" hidden="1" customHeight="1">
      <c r="A42" s="25">
        <v>11</v>
      </c>
      <c r="B42" s="138" t="s">
        <v>69</v>
      </c>
      <c r="C42" s="139" t="s">
        <v>33</v>
      </c>
      <c r="D42" s="138"/>
      <c r="E42" s="136"/>
      <c r="F42" s="140">
        <v>0.9</v>
      </c>
      <c r="G42" s="140">
        <v>974.83</v>
      </c>
      <c r="H42" s="133">
        <f t="shared" si="4"/>
        <v>0.8773470000000001</v>
      </c>
      <c r="I42" s="12">
        <f t="shared" si="3"/>
        <v>146.22450000000001</v>
      </c>
      <c r="J42" s="59"/>
    </row>
    <row r="43" spans="1:14" s="58" customFormat="1" ht="15.75" hidden="1" customHeight="1">
      <c r="A43" s="170" t="s">
        <v>165</v>
      </c>
      <c r="B43" s="171"/>
      <c r="C43" s="171"/>
      <c r="D43" s="171"/>
      <c r="E43" s="171"/>
      <c r="F43" s="171"/>
      <c r="G43" s="171"/>
      <c r="H43" s="171"/>
      <c r="I43" s="172"/>
      <c r="J43" s="59"/>
    </row>
    <row r="44" spans="1:14" s="58" customFormat="1" ht="15.75" hidden="1" customHeight="1">
      <c r="A44" s="25">
        <v>8</v>
      </c>
      <c r="B44" s="129" t="s">
        <v>126</v>
      </c>
      <c r="C44" s="130" t="s">
        <v>113</v>
      </c>
      <c r="D44" s="129" t="s">
        <v>41</v>
      </c>
      <c r="E44" s="131">
        <v>1032.5</v>
      </c>
      <c r="F44" s="132">
        <f>SUM(E44*2/1000)</f>
        <v>2.0649999999999999</v>
      </c>
      <c r="G44" s="31">
        <v>1114.1300000000001</v>
      </c>
      <c r="H44" s="133">
        <f t="shared" ref="H44:H53" si="5">SUM(F44*G44/1000)</f>
        <v>2.3006784500000004</v>
      </c>
      <c r="I44" s="12">
        <f>F44/2*G44</f>
        <v>1150.3392250000002</v>
      </c>
      <c r="J44" s="59"/>
    </row>
    <row r="45" spans="1:14" s="58" customFormat="1" ht="15.75" hidden="1" customHeight="1">
      <c r="A45" s="25"/>
      <c r="B45" s="129" t="s">
        <v>34</v>
      </c>
      <c r="C45" s="130" t="s">
        <v>113</v>
      </c>
      <c r="D45" s="129" t="s">
        <v>41</v>
      </c>
      <c r="E45" s="131">
        <v>132</v>
      </c>
      <c r="F45" s="132">
        <f>E45*2/1000</f>
        <v>0.26400000000000001</v>
      </c>
      <c r="G45" s="31">
        <v>4419.05</v>
      </c>
      <c r="H45" s="133">
        <f t="shared" si="5"/>
        <v>1.1666292</v>
      </c>
      <c r="I45" s="12">
        <f t="shared" ref="I45:I51" si="6">F45/2*G45</f>
        <v>583.31460000000004</v>
      </c>
      <c r="J45" s="59"/>
      <c r="L45" s="18"/>
      <c r="M45" s="19"/>
      <c r="N45" s="28"/>
    </row>
    <row r="46" spans="1:14" s="58" customFormat="1" ht="15.75" hidden="1" customHeight="1">
      <c r="A46" s="25">
        <v>9</v>
      </c>
      <c r="B46" s="129" t="s">
        <v>35</v>
      </c>
      <c r="C46" s="130" t="s">
        <v>113</v>
      </c>
      <c r="D46" s="129" t="s">
        <v>41</v>
      </c>
      <c r="E46" s="131">
        <v>4248.22</v>
      </c>
      <c r="F46" s="132">
        <f>SUM(E46*2/1000)</f>
        <v>8.4964399999999998</v>
      </c>
      <c r="G46" s="31">
        <v>1803.69</v>
      </c>
      <c r="H46" s="133">
        <f t="shared" si="5"/>
        <v>15.3249438636</v>
      </c>
      <c r="I46" s="12">
        <f t="shared" si="6"/>
        <v>7662.4719317999998</v>
      </c>
      <c r="J46" s="59"/>
      <c r="L46" s="18"/>
      <c r="M46" s="19"/>
      <c r="N46" s="28"/>
    </row>
    <row r="47" spans="1:14" s="58" customFormat="1" ht="15.75" hidden="1" customHeight="1">
      <c r="A47" s="25">
        <v>10</v>
      </c>
      <c r="B47" s="129" t="s">
        <v>36</v>
      </c>
      <c r="C47" s="130" t="s">
        <v>113</v>
      </c>
      <c r="D47" s="129" t="s">
        <v>41</v>
      </c>
      <c r="E47" s="131">
        <v>2163.66</v>
      </c>
      <c r="F47" s="132">
        <f>SUM(E47*2/1000)</f>
        <v>4.3273199999999994</v>
      </c>
      <c r="G47" s="31">
        <v>1243.43</v>
      </c>
      <c r="H47" s="133">
        <f t="shared" si="5"/>
        <v>5.3807195075999994</v>
      </c>
      <c r="I47" s="12">
        <f t="shared" si="6"/>
        <v>2690.3597537999999</v>
      </c>
      <c r="J47" s="59"/>
      <c r="L47" s="18"/>
      <c r="M47" s="19"/>
      <c r="N47" s="28"/>
    </row>
    <row r="48" spans="1:14" s="58" customFormat="1" ht="15.75" hidden="1" customHeight="1">
      <c r="A48" s="25">
        <v>11</v>
      </c>
      <c r="B48" s="129" t="s">
        <v>55</v>
      </c>
      <c r="C48" s="130" t="s">
        <v>113</v>
      </c>
      <c r="D48" s="129" t="s">
        <v>184</v>
      </c>
      <c r="E48" s="131">
        <v>3931</v>
      </c>
      <c r="F48" s="132">
        <f>SUM(E48*5/1000)</f>
        <v>19.655000000000001</v>
      </c>
      <c r="G48" s="31">
        <v>1083.69</v>
      </c>
      <c r="H48" s="133">
        <f t="shared" si="5"/>
        <v>21.29992695</v>
      </c>
      <c r="I48" s="12">
        <f>F48/5*G48</f>
        <v>4259.9853899999998</v>
      </c>
      <c r="J48" s="59"/>
      <c r="L48" s="18"/>
      <c r="M48" s="19"/>
      <c r="N48" s="28"/>
    </row>
    <row r="49" spans="1:14" s="58" customFormat="1" ht="31.5" hidden="1" customHeight="1">
      <c r="A49" s="25">
        <v>12</v>
      </c>
      <c r="B49" s="129" t="s">
        <v>127</v>
      </c>
      <c r="C49" s="130" t="s">
        <v>113</v>
      </c>
      <c r="D49" s="129" t="s">
        <v>41</v>
      </c>
      <c r="E49" s="131">
        <v>3931</v>
      </c>
      <c r="F49" s="132">
        <f>SUM(E49*2/1000)</f>
        <v>7.8620000000000001</v>
      </c>
      <c r="G49" s="31">
        <v>1591.6</v>
      </c>
      <c r="H49" s="133">
        <f t="shared" si="5"/>
        <v>12.5131592</v>
      </c>
      <c r="I49" s="12">
        <f t="shared" si="6"/>
        <v>6256.5796</v>
      </c>
      <c r="J49" s="59"/>
      <c r="L49" s="18"/>
      <c r="M49" s="19"/>
      <c r="N49" s="28"/>
    </row>
    <row r="50" spans="1:14" s="58" customFormat="1" ht="31.5" hidden="1" customHeight="1">
      <c r="A50" s="25">
        <v>12</v>
      </c>
      <c r="B50" s="129" t="s">
        <v>128</v>
      </c>
      <c r="C50" s="130" t="s">
        <v>37</v>
      </c>
      <c r="D50" s="129" t="s">
        <v>41</v>
      </c>
      <c r="E50" s="131">
        <v>30</v>
      </c>
      <c r="F50" s="132">
        <f>SUM(E50*2/100)</f>
        <v>0.6</v>
      </c>
      <c r="G50" s="31">
        <v>4058.32</v>
      </c>
      <c r="H50" s="133">
        <f t="shared" si="5"/>
        <v>2.4349920000000003</v>
      </c>
      <c r="I50" s="12">
        <f t="shared" si="6"/>
        <v>1217.4960000000001</v>
      </c>
      <c r="J50" s="59"/>
      <c r="L50" s="18"/>
      <c r="M50" s="19"/>
      <c r="N50" s="28"/>
    </row>
    <row r="51" spans="1:14" s="58" customFormat="1" ht="15.75" hidden="1" customHeight="1">
      <c r="A51" s="25">
        <v>13</v>
      </c>
      <c r="B51" s="129" t="s">
        <v>38</v>
      </c>
      <c r="C51" s="130" t="s">
        <v>39</v>
      </c>
      <c r="D51" s="129" t="s">
        <v>41</v>
      </c>
      <c r="E51" s="131">
        <v>1</v>
      </c>
      <c r="F51" s="132">
        <v>0.02</v>
      </c>
      <c r="G51" s="31">
        <v>7412.92</v>
      </c>
      <c r="H51" s="133">
        <f t="shared" si="5"/>
        <v>0.14825839999999998</v>
      </c>
      <c r="I51" s="12">
        <f t="shared" si="6"/>
        <v>74.129199999999997</v>
      </c>
      <c r="J51" s="59"/>
      <c r="L51" s="18"/>
      <c r="M51" s="19"/>
      <c r="N51" s="28"/>
    </row>
    <row r="52" spans="1:14" s="58" customFormat="1" ht="15.75" hidden="1" customHeight="1">
      <c r="A52" s="25">
        <v>14</v>
      </c>
      <c r="B52" s="129" t="s">
        <v>129</v>
      </c>
      <c r="C52" s="130" t="s">
        <v>96</v>
      </c>
      <c r="D52" s="129" t="s">
        <v>70</v>
      </c>
      <c r="E52" s="131">
        <v>90</v>
      </c>
      <c r="F52" s="132">
        <f>E52*3</f>
        <v>270</v>
      </c>
      <c r="G52" s="31">
        <v>185.08</v>
      </c>
      <c r="H52" s="133">
        <f t="shared" si="5"/>
        <v>49.971600000000009</v>
      </c>
      <c r="I52" s="12">
        <f>F52/3*G52</f>
        <v>16657.2</v>
      </c>
      <c r="J52" s="59"/>
      <c r="L52" s="18"/>
      <c r="M52" s="19"/>
      <c r="N52" s="28"/>
    </row>
    <row r="53" spans="1:14" s="58" customFormat="1" ht="15.75" hidden="1" customHeight="1">
      <c r="A53" s="25">
        <v>15</v>
      </c>
      <c r="B53" s="129" t="s">
        <v>40</v>
      </c>
      <c r="C53" s="130" t="s">
        <v>96</v>
      </c>
      <c r="D53" s="129" t="s">
        <v>70</v>
      </c>
      <c r="E53" s="131">
        <v>180</v>
      </c>
      <c r="F53" s="132">
        <f>SUM(E53)*3</f>
        <v>540</v>
      </c>
      <c r="G53" s="141">
        <v>86.15</v>
      </c>
      <c r="H53" s="133">
        <f t="shared" si="5"/>
        <v>46.521000000000001</v>
      </c>
      <c r="I53" s="12">
        <f>F53/3*G53</f>
        <v>15507.000000000002</v>
      </c>
      <c r="J53" s="59"/>
      <c r="L53" s="18"/>
      <c r="M53" s="19"/>
      <c r="N53" s="28"/>
    </row>
    <row r="54" spans="1:14" s="58" customFormat="1" ht="15.75" customHeight="1">
      <c r="A54" s="170" t="s">
        <v>173</v>
      </c>
      <c r="B54" s="171"/>
      <c r="C54" s="171"/>
      <c r="D54" s="171"/>
      <c r="E54" s="171"/>
      <c r="F54" s="171"/>
      <c r="G54" s="171"/>
      <c r="H54" s="171"/>
      <c r="I54" s="172"/>
      <c r="J54" s="59"/>
      <c r="L54" s="18"/>
      <c r="M54" s="19"/>
      <c r="N54" s="28"/>
    </row>
    <row r="55" spans="1:14" s="58" customFormat="1" ht="15.75" hidden="1" customHeight="1">
      <c r="A55" s="25"/>
      <c r="B55" s="163" t="s">
        <v>42</v>
      </c>
      <c r="C55" s="130"/>
      <c r="D55" s="129"/>
      <c r="E55" s="131"/>
      <c r="F55" s="132"/>
      <c r="G55" s="132"/>
      <c r="H55" s="133"/>
      <c r="I55" s="12"/>
      <c r="J55" s="59"/>
      <c r="L55" s="18"/>
      <c r="M55" s="19"/>
      <c r="N55" s="28"/>
    </row>
    <row r="56" spans="1:14" s="58" customFormat="1" ht="31.5" hidden="1" customHeight="1">
      <c r="A56" s="25">
        <v>18</v>
      </c>
      <c r="B56" s="129" t="s">
        <v>144</v>
      </c>
      <c r="C56" s="130" t="s">
        <v>103</v>
      </c>
      <c r="D56" s="129" t="s">
        <v>130</v>
      </c>
      <c r="E56" s="131">
        <v>30.6</v>
      </c>
      <c r="F56" s="132">
        <f>SUM(E56*6/100)</f>
        <v>1.8360000000000003</v>
      </c>
      <c r="G56" s="31">
        <v>2029.3</v>
      </c>
      <c r="H56" s="133">
        <f>SUM(F56*G56/1000)</f>
        <v>3.7257948000000005</v>
      </c>
      <c r="I56" s="12">
        <f>F56/6*G56</f>
        <v>620.96580000000006</v>
      </c>
      <c r="J56" s="59"/>
      <c r="L56" s="18"/>
      <c r="M56" s="19"/>
      <c r="N56" s="28"/>
    </row>
    <row r="57" spans="1:14" s="58" customFormat="1" ht="31.5" hidden="1" customHeight="1">
      <c r="A57" s="25">
        <v>19</v>
      </c>
      <c r="B57" s="129" t="s">
        <v>94</v>
      </c>
      <c r="C57" s="130" t="s">
        <v>103</v>
      </c>
      <c r="D57" s="129" t="s">
        <v>95</v>
      </c>
      <c r="E57" s="131">
        <v>39.69</v>
      </c>
      <c r="F57" s="132">
        <f>SUM(E57*12/100)</f>
        <v>4.7627999999999995</v>
      </c>
      <c r="G57" s="31">
        <v>2029.3</v>
      </c>
      <c r="H57" s="133">
        <f>SUM(F57*G57/1000)</f>
        <v>9.6651500399999986</v>
      </c>
      <c r="I57" s="12">
        <f t="shared" ref="I57:I59" si="7">F57/6*G57</f>
        <v>1610.8583399999998</v>
      </c>
      <c r="J57" s="59"/>
      <c r="L57" s="18"/>
      <c r="M57" s="19"/>
      <c r="N57" s="28"/>
    </row>
    <row r="58" spans="1:14" s="58" customFormat="1" ht="15.75" hidden="1" customHeight="1">
      <c r="A58" s="25">
        <v>20</v>
      </c>
      <c r="B58" s="142" t="s">
        <v>131</v>
      </c>
      <c r="C58" s="143" t="s">
        <v>132</v>
      </c>
      <c r="D58" s="142" t="s">
        <v>41</v>
      </c>
      <c r="E58" s="144">
        <v>8</v>
      </c>
      <c r="F58" s="145">
        <v>16</v>
      </c>
      <c r="G58" s="31">
        <v>237.1</v>
      </c>
      <c r="H58" s="133">
        <f>SUM(F58*G58/1000)</f>
        <v>3.7936000000000001</v>
      </c>
      <c r="I58" s="12">
        <v>0</v>
      </c>
      <c r="J58" s="59"/>
      <c r="L58" s="18"/>
      <c r="M58" s="19"/>
      <c r="N58" s="28"/>
    </row>
    <row r="59" spans="1:14" s="58" customFormat="1" ht="15.75" hidden="1" customHeight="1">
      <c r="A59" s="25">
        <v>21</v>
      </c>
      <c r="B59" s="129" t="s">
        <v>133</v>
      </c>
      <c r="C59" s="130" t="s">
        <v>103</v>
      </c>
      <c r="D59" s="129" t="s">
        <v>130</v>
      </c>
      <c r="E59" s="131">
        <v>41.73</v>
      </c>
      <c r="F59" s="132">
        <f>SUM(E59*6/100)</f>
        <v>2.5038</v>
      </c>
      <c r="G59" s="31">
        <v>2029.3</v>
      </c>
      <c r="H59" s="133">
        <f>SUM(F59*G59/1000)</f>
        <v>5.08096134</v>
      </c>
      <c r="I59" s="12">
        <f t="shared" si="7"/>
        <v>846.82688999999993</v>
      </c>
      <c r="J59" s="59"/>
      <c r="L59" s="18"/>
      <c r="M59" s="19"/>
      <c r="N59" s="28"/>
    </row>
    <row r="60" spans="1:14" s="58" customFormat="1" ht="15.75" hidden="1" customHeight="1">
      <c r="A60" s="25"/>
      <c r="B60" s="142" t="s">
        <v>161</v>
      </c>
      <c r="C60" s="143" t="s">
        <v>32</v>
      </c>
      <c r="D60" s="142" t="s">
        <v>66</v>
      </c>
      <c r="E60" s="144"/>
      <c r="F60" s="145">
        <v>4</v>
      </c>
      <c r="G60" s="31">
        <v>1582.05</v>
      </c>
      <c r="H60" s="133">
        <f>SUM(F60*G60/1000)</f>
        <v>6.3281999999999998</v>
      </c>
      <c r="I60" s="12">
        <v>0</v>
      </c>
      <c r="J60" s="59"/>
      <c r="L60" s="18"/>
      <c r="M60" s="19"/>
      <c r="N60" s="28"/>
    </row>
    <row r="61" spans="1:14" s="58" customFormat="1" ht="15.75" customHeight="1">
      <c r="A61" s="25"/>
      <c r="B61" s="164" t="s">
        <v>43</v>
      </c>
      <c r="C61" s="143"/>
      <c r="D61" s="142"/>
      <c r="E61" s="144"/>
      <c r="F61" s="145"/>
      <c r="G61" s="31"/>
      <c r="H61" s="146"/>
      <c r="I61" s="12"/>
      <c r="J61" s="59"/>
      <c r="L61" s="18"/>
      <c r="M61" s="19"/>
      <c r="N61" s="28"/>
    </row>
    <row r="62" spans="1:14" s="58" customFormat="1" ht="15.75" hidden="1" customHeight="1">
      <c r="A62" s="25">
        <v>14</v>
      </c>
      <c r="B62" s="142" t="s">
        <v>150</v>
      </c>
      <c r="C62" s="143" t="s">
        <v>51</v>
      </c>
      <c r="D62" s="142" t="s">
        <v>52</v>
      </c>
      <c r="E62" s="144">
        <v>508.73</v>
      </c>
      <c r="F62" s="132">
        <f>SUM(E62/100)</f>
        <v>5.0872999999999999</v>
      </c>
      <c r="G62" s="31">
        <v>1040.8399999999999</v>
      </c>
      <c r="H62" s="146">
        <f>F62*G62/1000</f>
        <v>5.2950653319999992</v>
      </c>
      <c r="I62" s="12">
        <v>0</v>
      </c>
      <c r="J62" s="59"/>
      <c r="L62" s="18"/>
      <c r="M62" s="19"/>
      <c r="N62" s="28"/>
    </row>
    <row r="63" spans="1:14" s="58" customFormat="1" ht="15.75" customHeight="1">
      <c r="A63" s="25">
        <v>10</v>
      </c>
      <c r="B63" s="142" t="s">
        <v>98</v>
      </c>
      <c r="C63" s="143" t="s">
        <v>25</v>
      </c>
      <c r="D63" s="142" t="s">
        <v>30</v>
      </c>
      <c r="E63" s="144">
        <v>203.5</v>
      </c>
      <c r="F63" s="147">
        <f>E63*12</f>
        <v>2442</v>
      </c>
      <c r="G63" s="148">
        <v>2.8</v>
      </c>
      <c r="H63" s="145">
        <f>F63*G63/1000</f>
        <v>6.8375999999999992</v>
      </c>
      <c r="I63" s="12">
        <f>F63/12*G63</f>
        <v>569.79999999999995</v>
      </c>
      <c r="J63" s="59"/>
      <c r="L63" s="18"/>
    </row>
    <row r="64" spans="1:14" s="58" customFormat="1" ht="15.75" hidden="1" customHeight="1">
      <c r="A64" s="25"/>
      <c r="B64" s="165" t="s">
        <v>44</v>
      </c>
      <c r="C64" s="143"/>
      <c r="D64" s="142"/>
      <c r="E64" s="144"/>
      <c r="F64" s="147"/>
      <c r="G64" s="147"/>
      <c r="H64" s="145" t="s">
        <v>149</v>
      </c>
      <c r="I64" s="12"/>
      <c r="J64" s="59"/>
      <c r="L64" s="18"/>
    </row>
    <row r="65" spans="1:22" s="58" customFormat="1" ht="15.75" hidden="1" customHeight="1">
      <c r="A65" s="25"/>
      <c r="B65" s="149" t="s">
        <v>45</v>
      </c>
      <c r="C65" s="150" t="s">
        <v>96</v>
      </c>
      <c r="D65" s="32" t="s">
        <v>236</v>
      </c>
      <c r="E65" s="16">
        <v>10</v>
      </c>
      <c r="F65" s="132">
        <f>E65</f>
        <v>10</v>
      </c>
      <c r="G65" s="31">
        <v>291.68</v>
      </c>
      <c r="H65" s="118">
        <f t="shared" ref="H65:H81" si="8">SUM(F65*G65/1000)</f>
        <v>2.9168000000000003</v>
      </c>
      <c r="I65" s="12">
        <v>0</v>
      </c>
    </row>
    <row r="66" spans="1:22" s="58" customFormat="1" ht="15.75" hidden="1" customHeight="1">
      <c r="A66" s="90"/>
      <c r="B66" s="149" t="s">
        <v>46</v>
      </c>
      <c r="C66" s="150" t="s">
        <v>96</v>
      </c>
      <c r="D66" s="32" t="s">
        <v>236</v>
      </c>
      <c r="E66" s="16">
        <v>10</v>
      </c>
      <c r="F66" s="132">
        <f>E66</f>
        <v>10</v>
      </c>
      <c r="G66" s="31">
        <v>100.01</v>
      </c>
      <c r="H66" s="118">
        <f t="shared" si="8"/>
        <v>1.0001</v>
      </c>
      <c r="I66" s="12">
        <v>0</v>
      </c>
    </row>
    <row r="67" spans="1:22" s="58" customFormat="1" ht="15.75" hidden="1" customHeight="1">
      <c r="A67" s="25">
        <v>22</v>
      </c>
      <c r="B67" s="149" t="s">
        <v>47</v>
      </c>
      <c r="C67" s="151" t="s">
        <v>134</v>
      </c>
      <c r="D67" s="32" t="s">
        <v>52</v>
      </c>
      <c r="E67" s="131">
        <v>14347</v>
      </c>
      <c r="F67" s="141">
        <f>SUM(E67/100)</f>
        <v>143.47</v>
      </c>
      <c r="G67" s="31">
        <v>278.24</v>
      </c>
      <c r="H67" s="118">
        <f t="shared" si="8"/>
        <v>39.919092800000001</v>
      </c>
      <c r="I67" s="12">
        <v>0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6"/>
    </row>
    <row r="68" spans="1:22" s="58" customFormat="1" ht="15.75" hidden="1" customHeight="1">
      <c r="A68" s="94"/>
      <c r="B68" s="149" t="s">
        <v>48</v>
      </c>
      <c r="C68" s="150" t="s">
        <v>135</v>
      </c>
      <c r="D68" s="32"/>
      <c r="E68" s="131">
        <v>14347</v>
      </c>
      <c r="F68" s="31">
        <f>SUM(E68/1000)</f>
        <v>14.347</v>
      </c>
      <c r="G68" s="31">
        <v>216.68</v>
      </c>
      <c r="H68" s="118">
        <f t="shared" si="8"/>
        <v>3.1087079600000003</v>
      </c>
      <c r="I68" s="12">
        <v>0</v>
      </c>
      <c r="J68" s="77"/>
      <c r="K68" s="77"/>
      <c r="L68" s="75"/>
      <c r="M68" s="75"/>
      <c r="N68" s="75"/>
      <c r="O68" s="75"/>
      <c r="P68" s="75"/>
      <c r="Q68" s="75"/>
      <c r="R68" s="75"/>
      <c r="S68" s="75"/>
      <c r="T68" s="75"/>
      <c r="U68" s="75"/>
    </row>
    <row r="69" spans="1:22" s="58" customFormat="1" ht="15.75" hidden="1" customHeight="1">
      <c r="A69" s="25">
        <v>23</v>
      </c>
      <c r="B69" s="149" t="s">
        <v>49</v>
      </c>
      <c r="C69" s="150" t="s">
        <v>76</v>
      </c>
      <c r="D69" s="32" t="s">
        <v>52</v>
      </c>
      <c r="E69" s="131">
        <v>2244</v>
      </c>
      <c r="F69" s="31">
        <f>SUM(E69/100)</f>
        <v>22.44</v>
      </c>
      <c r="G69" s="31">
        <v>2720.94</v>
      </c>
      <c r="H69" s="118">
        <f t="shared" si="8"/>
        <v>61.0578936</v>
      </c>
      <c r="I69" s="12">
        <v>0</v>
      </c>
      <c r="J69" s="75"/>
      <c r="K69" s="75"/>
      <c r="L69" s="75"/>
      <c r="M69" s="75"/>
      <c r="N69" s="75"/>
      <c r="O69" s="75"/>
      <c r="P69" s="75"/>
      <c r="Q69" s="75"/>
      <c r="S69" s="75"/>
      <c r="T69" s="75"/>
      <c r="U69" s="75"/>
    </row>
    <row r="70" spans="1:22" s="58" customFormat="1" ht="15.75" hidden="1" customHeight="1">
      <c r="A70" s="25"/>
      <c r="B70" s="152" t="s">
        <v>136</v>
      </c>
      <c r="C70" s="150" t="s">
        <v>33</v>
      </c>
      <c r="D70" s="32"/>
      <c r="E70" s="131">
        <v>12.8</v>
      </c>
      <c r="F70" s="31">
        <f>SUM(E70)</f>
        <v>12.8</v>
      </c>
      <c r="G70" s="31">
        <v>42.61</v>
      </c>
      <c r="H70" s="118">
        <f t="shared" si="8"/>
        <v>0.545408</v>
      </c>
      <c r="I70" s="12">
        <v>0</v>
      </c>
      <c r="J70" s="79"/>
      <c r="K70" s="79"/>
      <c r="L70" s="79"/>
      <c r="M70" s="79"/>
      <c r="N70" s="79"/>
      <c r="O70" s="79"/>
      <c r="P70" s="79"/>
      <c r="Q70" s="79"/>
      <c r="R70" s="186"/>
      <c r="S70" s="186"/>
      <c r="T70" s="186"/>
      <c r="U70" s="186"/>
    </row>
    <row r="71" spans="1:22" s="58" customFormat="1" ht="15.75" hidden="1" customHeight="1">
      <c r="A71" s="25">
        <v>19</v>
      </c>
      <c r="B71" s="152" t="s">
        <v>137</v>
      </c>
      <c r="C71" s="150" t="s">
        <v>33</v>
      </c>
      <c r="D71" s="32"/>
      <c r="E71" s="131">
        <v>12.8</v>
      </c>
      <c r="F71" s="31">
        <f>SUM(E71)</f>
        <v>12.8</v>
      </c>
      <c r="G71" s="31">
        <v>46.04</v>
      </c>
      <c r="H71" s="118">
        <f t="shared" si="8"/>
        <v>0.58931200000000006</v>
      </c>
      <c r="I71" s="12">
        <v>0</v>
      </c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</row>
    <row r="72" spans="1:22" s="58" customFormat="1" ht="15.75" hidden="1" customHeight="1">
      <c r="A72" s="25">
        <v>20</v>
      </c>
      <c r="B72" s="32" t="s">
        <v>56</v>
      </c>
      <c r="C72" s="150" t="s">
        <v>57</v>
      </c>
      <c r="D72" s="32" t="s">
        <v>52</v>
      </c>
      <c r="E72" s="16">
        <v>6</v>
      </c>
      <c r="F72" s="31">
        <f>SUM(E72)</f>
        <v>6</v>
      </c>
      <c r="G72" s="31">
        <v>65.42</v>
      </c>
      <c r="H72" s="118">
        <f t="shared" si="8"/>
        <v>0.39251999999999998</v>
      </c>
      <c r="I72" s="12">
        <v>0</v>
      </c>
    </row>
    <row r="73" spans="1:22" s="58" customFormat="1" ht="15.75" customHeight="1">
      <c r="A73" s="25"/>
      <c r="B73" s="166" t="s">
        <v>229</v>
      </c>
      <c r="C73" s="150"/>
      <c r="D73" s="32"/>
      <c r="E73" s="16"/>
      <c r="F73" s="148"/>
      <c r="G73" s="31"/>
      <c r="H73" s="118"/>
      <c r="I73" s="12"/>
    </row>
    <row r="74" spans="1:22" s="58" customFormat="1" ht="15.75" customHeight="1">
      <c r="A74" s="25">
        <v>11</v>
      </c>
      <c r="B74" s="32" t="s">
        <v>230</v>
      </c>
      <c r="C74" s="153" t="s">
        <v>231</v>
      </c>
      <c r="D74" s="32" t="s">
        <v>66</v>
      </c>
      <c r="E74" s="16">
        <v>3181</v>
      </c>
      <c r="F74" s="132">
        <f>SUM(E74)*12</f>
        <v>38172</v>
      </c>
      <c r="G74" s="31">
        <v>2.2799999999999998</v>
      </c>
      <c r="H74" s="118">
        <f t="shared" ref="H74" si="9">SUM(F74*G74/1000)</f>
        <v>87.03215999999999</v>
      </c>
      <c r="I74" s="12">
        <f>F74/12*G74</f>
        <v>7252.6799999999994</v>
      </c>
    </row>
    <row r="75" spans="1:22" s="58" customFormat="1" ht="15.75" hidden="1" customHeight="1">
      <c r="A75" s="25"/>
      <c r="B75" s="166" t="s">
        <v>71</v>
      </c>
      <c r="C75" s="150"/>
      <c r="D75" s="32"/>
      <c r="E75" s="16"/>
      <c r="F75" s="31"/>
      <c r="G75" s="31"/>
      <c r="H75" s="118" t="s">
        <v>149</v>
      </c>
      <c r="I75" s="12"/>
    </row>
    <row r="76" spans="1:22" s="58" customFormat="1" ht="15.75" hidden="1" customHeight="1">
      <c r="A76" s="25">
        <v>24</v>
      </c>
      <c r="B76" s="32" t="s">
        <v>232</v>
      </c>
      <c r="C76" s="150" t="s">
        <v>31</v>
      </c>
      <c r="D76" s="32" t="s">
        <v>66</v>
      </c>
      <c r="E76" s="16">
        <v>1</v>
      </c>
      <c r="F76" s="132">
        <f t="shared" ref="F76" si="10">E76</f>
        <v>1</v>
      </c>
      <c r="G76" s="31">
        <v>1029.1199999999999</v>
      </c>
      <c r="H76" s="118">
        <f>G76*F76/1000</f>
        <v>1.0291199999999998</v>
      </c>
      <c r="I76" s="12">
        <v>0</v>
      </c>
    </row>
    <row r="77" spans="1:22" s="58" customFormat="1" ht="15.75" hidden="1" customHeight="1">
      <c r="A77" s="25"/>
      <c r="B77" s="32" t="s">
        <v>233</v>
      </c>
      <c r="C77" s="150" t="s">
        <v>234</v>
      </c>
      <c r="D77" s="32" t="s">
        <v>66</v>
      </c>
      <c r="E77" s="16">
        <v>1</v>
      </c>
      <c r="F77" s="31">
        <v>1</v>
      </c>
      <c r="G77" s="31">
        <v>735</v>
      </c>
      <c r="H77" s="118">
        <f t="shared" ref="H77:H79" si="11">SUM(F77*G77/1000)</f>
        <v>0.73499999999999999</v>
      </c>
      <c r="I77" s="12">
        <v>0</v>
      </c>
    </row>
    <row r="78" spans="1:22" s="58" customFormat="1" ht="15.75" hidden="1" customHeight="1">
      <c r="A78" s="25"/>
      <c r="B78" s="32" t="s">
        <v>72</v>
      </c>
      <c r="C78" s="150" t="s">
        <v>74</v>
      </c>
      <c r="D78" s="32" t="s">
        <v>66</v>
      </c>
      <c r="E78" s="16">
        <v>8</v>
      </c>
      <c r="F78" s="31">
        <f>E78/10</f>
        <v>0.8</v>
      </c>
      <c r="G78" s="31">
        <v>657.87</v>
      </c>
      <c r="H78" s="118">
        <f t="shared" si="11"/>
        <v>0.5262960000000001</v>
      </c>
      <c r="I78" s="12">
        <v>0</v>
      </c>
    </row>
    <row r="79" spans="1:22" s="58" customFormat="1" ht="15.75" hidden="1" customHeight="1">
      <c r="A79" s="25">
        <v>21</v>
      </c>
      <c r="B79" s="32" t="s">
        <v>73</v>
      </c>
      <c r="C79" s="150" t="s">
        <v>31</v>
      </c>
      <c r="D79" s="32" t="s">
        <v>66</v>
      </c>
      <c r="E79" s="16">
        <v>1</v>
      </c>
      <c r="F79" s="148">
        <v>1</v>
      </c>
      <c r="G79" s="31">
        <v>1118.72</v>
      </c>
      <c r="H79" s="118">
        <f t="shared" si="11"/>
        <v>1.1187199999999999</v>
      </c>
      <c r="I79" s="12">
        <v>0</v>
      </c>
    </row>
    <row r="80" spans="1:22" s="58" customFormat="1" ht="15.75" hidden="1" customHeight="1">
      <c r="A80" s="25"/>
      <c r="B80" s="167" t="s">
        <v>75</v>
      </c>
      <c r="C80" s="150"/>
      <c r="D80" s="32"/>
      <c r="E80" s="16"/>
      <c r="F80" s="31"/>
      <c r="G80" s="31" t="s">
        <v>149</v>
      </c>
      <c r="H80" s="118" t="s">
        <v>149</v>
      </c>
      <c r="I80" s="12" t="str">
        <f>G80</f>
        <v xml:space="preserve"> </v>
      </c>
    </row>
    <row r="81" spans="1:9" s="58" customFormat="1" ht="15.75" hidden="1" customHeight="1">
      <c r="A81" s="25"/>
      <c r="B81" s="154" t="s">
        <v>141</v>
      </c>
      <c r="C81" s="151" t="s">
        <v>76</v>
      </c>
      <c r="D81" s="149"/>
      <c r="E81" s="155"/>
      <c r="F81" s="141">
        <v>0.6</v>
      </c>
      <c r="G81" s="141">
        <v>3619.09</v>
      </c>
      <c r="H81" s="118">
        <f t="shared" si="8"/>
        <v>2.1714540000000002</v>
      </c>
      <c r="I81" s="12">
        <v>0</v>
      </c>
    </row>
    <row r="82" spans="1:9" s="58" customFormat="1" ht="15.75" hidden="1" customHeight="1">
      <c r="A82" s="25"/>
      <c r="B82" s="111" t="s">
        <v>138</v>
      </c>
      <c r="C82" s="12"/>
      <c r="D82" s="12"/>
      <c r="E82" s="12"/>
      <c r="F82" s="12"/>
      <c r="G82" s="12"/>
      <c r="H82" s="12"/>
      <c r="I82" s="12"/>
    </row>
    <row r="83" spans="1:9" s="58" customFormat="1" ht="15.75" hidden="1" customHeight="1">
      <c r="A83" s="25"/>
      <c r="B83" s="129" t="s">
        <v>139</v>
      </c>
      <c r="C83" s="156"/>
      <c r="D83" s="157"/>
      <c r="E83" s="158"/>
      <c r="F83" s="159">
        <v>1</v>
      </c>
      <c r="G83" s="159">
        <v>30235</v>
      </c>
      <c r="H83" s="118">
        <f>G83*F83/1000</f>
        <v>30.234999999999999</v>
      </c>
      <c r="I83" s="12">
        <f>G83</f>
        <v>30235</v>
      </c>
    </row>
    <row r="84" spans="1:9" s="58" customFormat="1" ht="15.75" customHeight="1">
      <c r="A84" s="173" t="s">
        <v>174</v>
      </c>
      <c r="B84" s="174"/>
      <c r="C84" s="174"/>
      <c r="D84" s="174"/>
      <c r="E84" s="174"/>
      <c r="F84" s="174"/>
      <c r="G84" s="174"/>
      <c r="H84" s="174"/>
      <c r="I84" s="175"/>
    </row>
    <row r="85" spans="1:9" s="58" customFormat="1" ht="15.75" customHeight="1">
      <c r="A85" s="90">
        <v>12</v>
      </c>
      <c r="B85" s="129" t="s">
        <v>142</v>
      </c>
      <c r="C85" s="150" t="s">
        <v>53</v>
      </c>
      <c r="D85" s="160" t="s">
        <v>54</v>
      </c>
      <c r="E85" s="31">
        <v>3931</v>
      </c>
      <c r="F85" s="31">
        <f>SUM(E85*12)</f>
        <v>47172</v>
      </c>
      <c r="G85" s="31">
        <v>3.1</v>
      </c>
      <c r="H85" s="118">
        <f>SUM(F85*G85/1000)</f>
        <v>146.23320000000001</v>
      </c>
      <c r="I85" s="12">
        <f>F85/12*G85</f>
        <v>12186.1</v>
      </c>
    </row>
    <row r="86" spans="1:9" s="58" customFormat="1" ht="31.5" customHeight="1">
      <c r="A86" s="25">
        <v>13</v>
      </c>
      <c r="B86" s="32" t="s">
        <v>77</v>
      </c>
      <c r="C86" s="150"/>
      <c r="D86" s="160" t="s">
        <v>54</v>
      </c>
      <c r="E86" s="131">
        <f>E85</f>
        <v>3931</v>
      </c>
      <c r="F86" s="31">
        <f>E86*12</f>
        <v>47172</v>
      </c>
      <c r="G86" s="31">
        <v>3.5</v>
      </c>
      <c r="H86" s="118">
        <f>F86*G86/1000</f>
        <v>165.102</v>
      </c>
      <c r="I86" s="12">
        <f>F86/12*G86</f>
        <v>13758.5</v>
      </c>
    </row>
    <row r="87" spans="1:9" s="58" customFormat="1" ht="15.75" customHeight="1">
      <c r="A87" s="25"/>
      <c r="B87" s="33" t="s">
        <v>80</v>
      </c>
      <c r="C87" s="82"/>
      <c r="D87" s="81"/>
      <c r="E87" s="67"/>
      <c r="F87" s="67"/>
      <c r="G87" s="67"/>
      <c r="H87" s="83">
        <f>H86</f>
        <v>165.102</v>
      </c>
      <c r="I87" s="67">
        <f>I16+I17+I18+I25+I26+I29+I30+I32+I33+I63+I74+I85+I86</f>
        <v>67373.478927777789</v>
      </c>
    </row>
    <row r="88" spans="1:9" s="58" customFormat="1" ht="15.75" customHeight="1">
      <c r="A88" s="188" t="s">
        <v>59</v>
      </c>
      <c r="B88" s="189"/>
      <c r="C88" s="189"/>
      <c r="D88" s="189"/>
      <c r="E88" s="189"/>
      <c r="F88" s="189"/>
      <c r="G88" s="189"/>
      <c r="H88" s="189"/>
      <c r="I88" s="190"/>
    </row>
    <row r="89" spans="1:9" s="58" customFormat="1" ht="31.5" customHeight="1">
      <c r="A89" s="25">
        <v>14</v>
      </c>
      <c r="B89" s="42" t="s">
        <v>146</v>
      </c>
      <c r="C89" s="43" t="s">
        <v>147</v>
      </c>
      <c r="D89" s="161"/>
      <c r="E89" s="31"/>
      <c r="F89" s="31">
        <v>1</v>
      </c>
      <c r="G89" s="31">
        <v>54.17</v>
      </c>
      <c r="H89" s="118">
        <f>G89*F89/1000</f>
        <v>5.4170000000000003E-2</v>
      </c>
      <c r="I89" s="85">
        <f>G89</f>
        <v>54.17</v>
      </c>
    </row>
    <row r="90" spans="1:9" s="58" customFormat="1" ht="15.75" customHeight="1">
      <c r="A90" s="25">
        <v>15</v>
      </c>
      <c r="B90" s="42" t="s">
        <v>159</v>
      </c>
      <c r="C90" s="60" t="s">
        <v>160</v>
      </c>
      <c r="D90" s="161"/>
      <c r="E90" s="31"/>
      <c r="F90" s="31">
        <v>1</v>
      </c>
      <c r="G90" s="31">
        <v>294.45</v>
      </c>
      <c r="H90" s="118">
        <f>G90*F90/1000</f>
        <v>0.29444999999999999</v>
      </c>
      <c r="I90" s="85">
        <f t="shared" ref="I90" si="12">G90</f>
        <v>294.45</v>
      </c>
    </row>
    <row r="91" spans="1:9" s="58" customFormat="1" ht="31.5" customHeight="1">
      <c r="A91" s="25">
        <v>16</v>
      </c>
      <c r="B91" s="42" t="s">
        <v>83</v>
      </c>
      <c r="C91" s="43" t="s">
        <v>37</v>
      </c>
      <c r="D91" s="32"/>
      <c r="E91" s="16"/>
      <c r="F91" s="31">
        <v>0.02</v>
      </c>
      <c r="G91" s="31">
        <v>3581.13</v>
      </c>
      <c r="H91" s="118">
        <f t="shared" ref="H91" si="13">G91*F91/1000</f>
        <v>7.1622600000000008E-2</v>
      </c>
      <c r="I91" s="85">
        <f>G91*0.01</f>
        <v>35.811300000000003</v>
      </c>
    </row>
    <row r="92" spans="1:9" s="58" customFormat="1" ht="31.5" customHeight="1">
      <c r="A92" s="25">
        <v>17</v>
      </c>
      <c r="B92" s="42" t="s">
        <v>79</v>
      </c>
      <c r="C92" s="43" t="s">
        <v>96</v>
      </c>
      <c r="D92" s="32"/>
      <c r="E92" s="16"/>
      <c r="F92" s="31">
        <v>1</v>
      </c>
      <c r="G92" s="31">
        <v>83.36</v>
      </c>
      <c r="H92" s="118">
        <f>G92*F92/1000</f>
        <v>8.3360000000000004E-2</v>
      </c>
      <c r="I92" s="126">
        <f t="shared" ref="I92" si="14">G92</f>
        <v>83.36</v>
      </c>
    </row>
    <row r="93" spans="1:9" s="58" customFormat="1" ht="15.75" customHeight="1">
      <c r="A93" s="25">
        <v>18</v>
      </c>
      <c r="B93" s="127" t="s">
        <v>237</v>
      </c>
      <c r="C93" s="128" t="s">
        <v>96</v>
      </c>
      <c r="D93" s="32"/>
      <c r="E93" s="16"/>
      <c r="F93" s="31">
        <v>4</v>
      </c>
      <c r="G93" s="31">
        <v>470.21</v>
      </c>
      <c r="H93" s="118">
        <f>G93*F93/1000</f>
        <v>1.8808399999999998</v>
      </c>
      <c r="I93" s="126">
        <f>G93*3</f>
        <v>1410.6299999999999</v>
      </c>
    </row>
    <row r="94" spans="1:9" s="58" customFormat="1" ht="15.75" customHeight="1">
      <c r="A94" s="25">
        <v>19</v>
      </c>
      <c r="B94" s="42" t="s">
        <v>82</v>
      </c>
      <c r="C94" s="43" t="s">
        <v>96</v>
      </c>
      <c r="D94" s="32"/>
      <c r="E94" s="16"/>
      <c r="F94" s="31">
        <v>7</v>
      </c>
      <c r="G94" s="31">
        <v>189.88</v>
      </c>
      <c r="H94" s="118">
        <f>G94*F94/1000</f>
        <v>1.3291599999999999</v>
      </c>
      <c r="I94" s="126">
        <f>G94*2</f>
        <v>379.76</v>
      </c>
    </row>
    <row r="95" spans="1:9" s="58" customFormat="1" ht="15.75" customHeight="1">
      <c r="A95" s="25">
        <v>20</v>
      </c>
      <c r="B95" s="42" t="s">
        <v>238</v>
      </c>
      <c r="C95" s="43" t="s">
        <v>25</v>
      </c>
      <c r="D95" s="32"/>
      <c r="E95" s="16"/>
      <c r="F95" s="31">
        <v>22.5</v>
      </c>
      <c r="G95" s="31">
        <v>48.581000000000003</v>
      </c>
      <c r="H95" s="118">
        <f>G95*F95/1000</f>
        <v>1.0930724999999999</v>
      </c>
      <c r="I95" s="126">
        <f>G95*22.5</f>
        <v>1093.0725</v>
      </c>
    </row>
    <row r="96" spans="1:9" ht="15.75" customHeight="1">
      <c r="A96" s="25"/>
      <c r="B96" s="87" t="s">
        <v>50</v>
      </c>
      <c r="C96" s="34"/>
      <c r="D96" s="40"/>
      <c r="E96" s="34">
        <v>1</v>
      </c>
      <c r="F96" s="34"/>
      <c r="G96" s="34"/>
      <c r="H96" s="34"/>
      <c r="I96" s="29">
        <f>SUM(I89:I95)</f>
        <v>3351.2538000000004</v>
      </c>
    </row>
    <row r="97" spans="1:9" ht="15.75" customHeight="1">
      <c r="A97" s="25"/>
      <c r="B97" s="39" t="s">
        <v>78</v>
      </c>
      <c r="C97" s="14"/>
      <c r="D97" s="14"/>
      <c r="E97" s="35"/>
      <c r="F97" s="35"/>
      <c r="G97" s="36"/>
      <c r="H97" s="36"/>
      <c r="I97" s="16">
        <v>0</v>
      </c>
    </row>
    <row r="98" spans="1:9">
      <c r="A98" s="41"/>
      <c r="B98" s="38" t="s">
        <v>188</v>
      </c>
      <c r="C98" s="30"/>
      <c r="D98" s="30"/>
      <c r="E98" s="30"/>
      <c r="F98" s="30"/>
      <c r="G98" s="30"/>
      <c r="H98" s="30"/>
      <c r="I98" s="37">
        <f>I87+I96</f>
        <v>70724.732727777795</v>
      </c>
    </row>
    <row r="99" spans="1:9" ht="15.75">
      <c r="A99" s="187" t="s">
        <v>239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>
      <c r="A100" s="106"/>
      <c r="B100" s="181" t="s">
        <v>240</v>
      </c>
      <c r="C100" s="181"/>
      <c r="D100" s="181"/>
      <c r="E100" s="181"/>
      <c r="F100" s="181"/>
      <c r="G100" s="181"/>
      <c r="H100" s="57"/>
      <c r="I100" s="3"/>
    </row>
    <row r="101" spans="1:9" ht="15.75" customHeight="1">
      <c r="A101" s="105"/>
      <c r="B101" s="177" t="s">
        <v>6</v>
      </c>
      <c r="C101" s="177"/>
      <c r="D101" s="177"/>
      <c r="E101" s="177"/>
      <c r="F101" s="177"/>
      <c r="G101" s="177"/>
      <c r="H101" s="20"/>
      <c r="I101" s="5"/>
    </row>
    <row r="102" spans="1:9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182" t="s">
        <v>7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>
      <c r="A104" s="182" t="s">
        <v>8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15.75" customHeight="1">
      <c r="A105" s="183" t="s">
        <v>60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>
      <c r="A106" s="10"/>
    </row>
    <row r="107" spans="1:9" ht="15.75">
      <c r="A107" s="184" t="s">
        <v>9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4"/>
    </row>
    <row r="109" spans="1:9" ht="15.75">
      <c r="B109" s="102" t="s">
        <v>10</v>
      </c>
      <c r="C109" s="176" t="s">
        <v>92</v>
      </c>
      <c r="D109" s="176"/>
      <c r="E109" s="176"/>
      <c r="F109" s="55"/>
      <c r="I109" s="104"/>
    </row>
    <row r="110" spans="1:9">
      <c r="A110" s="105"/>
      <c r="C110" s="177" t="s">
        <v>11</v>
      </c>
      <c r="D110" s="177"/>
      <c r="E110" s="177"/>
      <c r="F110" s="20"/>
      <c r="I110" s="103" t="s">
        <v>12</v>
      </c>
    </row>
    <row r="111" spans="1:9" ht="15.75">
      <c r="A111" s="21"/>
      <c r="C111" s="11"/>
      <c r="D111" s="11"/>
      <c r="G111" s="11"/>
      <c r="H111" s="11"/>
    </row>
    <row r="112" spans="1:9" ht="15.75">
      <c r="B112" s="102" t="s">
        <v>13</v>
      </c>
      <c r="C112" s="178"/>
      <c r="D112" s="178"/>
      <c r="E112" s="178"/>
      <c r="F112" s="56"/>
      <c r="I112" s="104"/>
    </row>
    <row r="113" spans="1:9">
      <c r="A113" s="105"/>
      <c r="C113" s="179" t="s">
        <v>11</v>
      </c>
      <c r="D113" s="179"/>
      <c r="E113" s="179"/>
      <c r="F113" s="105"/>
      <c r="I113" s="103" t="s">
        <v>12</v>
      </c>
    </row>
    <row r="114" spans="1:9" ht="15.75">
      <c r="A114" s="4" t="s">
        <v>14</v>
      </c>
    </row>
    <row r="115" spans="1:9" ht="15" customHeight="1">
      <c r="A115" s="180" t="s">
        <v>15</v>
      </c>
      <c r="B115" s="180"/>
      <c r="C115" s="180"/>
      <c r="D115" s="180"/>
      <c r="E115" s="180"/>
      <c r="F115" s="180"/>
      <c r="G115" s="180"/>
      <c r="H115" s="180"/>
      <c r="I115" s="180"/>
    </row>
    <row r="116" spans="1:9" ht="45" customHeight="1">
      <c r="A116" s="169" t="s">
        <v>16</v>
      </c>
      <c r="B116" s="169"/>
      <c r="C116" s="169"/>
      <c r="D116" s="169"/>
      <c r="E116" s="169"/>
      <c r="F116" s="169"/>
      <c r="G116" s="169"/>
      <c r="H116" s="169"/>
      <c r="I116" s="169"/>
    </row>
    <row r="117" spans="1:9" ht="30" customHeight="1">
      <c r="A117" s="169" t="s">
        <v>17</v>
      </c>
      <c r="B117" s="169"/>
      <c r="C117" s="169"/>
      <c r="D117" s="169"/>
      <c r="E117" s="169"/>
      <c r="F117" s="169"/>
      <c r="G117" s="169"/>
      <c r="H117" s="169"/>
      <c r="I117" s="169"/>
    </row>
    <row r="118" spans="1:9" ht="30" customHeight="1">
      <c r="A118" s="169" t="s">
        <v>21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15" customHeight="1">
      <c r="A119" s="169" t="s">
        <v>20</v>
      </c>
      <c r="B119" s="169"/>
      <c r="C119" s="169"/>
      <c r="D119" s="169"/>
      <c r="E119" s="169"/>
      <c r="F119" s="169"/>
      <c r="G119" s="169"/>
      <c r="H119" s="169"/>
      <c r="I119" s="169"/>
    </row>
  </sheetData>
  <autoFilter ref="I12:I65"/>
  <mergeCells count="29">
    <mergeCell ref="A115:I115"/>
    <mergeCell ref="A116:I116"/>
    <mergeCell ref="A117:I117"/>
    <mergeCell ref="A118:I118"/>
    <mergeCell ref="A119:I119"/>
    <mergeCell ref="R70:U70"/>
    <mergeCell ref="C113:E113"/>
    <mergeCell ref="A88:I88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4:I84"/>
    <mergeCell ref="A3:I3"/>
    <mergeCell ref="A4:I4"/>
    <mergeCell ref="A5:I5"/>
    <mergeCell ref="A8:I8"/>
    <mergeCell ref="A10:I10"/>
    <mergeCell ref="A14:I14"/>
    <mergeCell ref="A27:I27"/>
    <mergeCell ref="A43:I43"/>
    <mergeCell ref="A54:I54"/>
    <mergeCell ref="A15:I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242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249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26">
        <v>43069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241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.7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129" t="s">
        <v>90</v>
      </c>
      <c r="C16" s="130" t="s">
        <v>103</v>
      </c>
      <c r="D16" s="129" t="s">
        <v>183</v>
      </c>
      <c r="E16" s="131">
        <v>95.04</v>
      </c>
      <c r="F16" s="132">
        <f>SUM(E16*156/100)</f>
        <v>148.26240000000001</v>
      </c>
      <c r="G16" s="132">
        <v>230</v>
      </c>
      <c r="H16" s="133">
        <f t="shared" ref="H16:H24" si="0">SUM(F16*G16/1000)</f>
        <v>34.100352000000008</v>
      </c>
      <c r="I16" s="12">
        <f>F16/12*G16</f>
        <v>2841.6960000000004</v>
      </c>
    </row>
    <row r="17" spans="1:10" s="58" customFormat="1" ht="15.75" customHeight="1">
      <c r="A17" s="25">
        <v>2</v>
      </c>
      <c r="B17" s="129" t="s">
        <v>101</v>
      </c>
      <c r="C17" s="130" t="s">
        <v>103</v>
      </c>
      <c r="D17" s="129" t="s">
        <v>182</v>
      </c>
      <c r="E17" s="131">
        <v>380.16</v>
      </c>
      <c r="F17" s="132">
        <f>SUM(E17*104/100)</f>
        <v>395.3664</v>
      </c>
      <c r="G17" s="132">
        <v>230</v>
      </c>
      <c r="H17" s="133">
        <f t="shared" si="0"/>
        <v>90.934271999999993</v>
      </c>
      <c r="I17" s="12">
        <f t="shared" ref="I17:I18" si="1">F17/12*G17</f>
        <v>7577.8560000000007</v>
      </c>
      <c r="J17" s="59"/>
    </row>
    <row r="18" spans="1:10" s="58" customFormat="1" ht="15.75" customHeight="1">
      <c r="A18" s="25">
        <v>3</v>
      </c>
      <c r="B18" s="129" t="s">
        <v>102</v>
      </c>
      <c r="C18" s="130" t="s">
        <v>103</v>
      </c>
      <c r="D18" s="129" t="s">
        <v>181</v>
      </c>
      <c r="E18" s="131">
        <f>SUM(E16+E17)</f>
        <v>475.20000000000005</v>
      </c>
      <c r="F18" s="132">
        <f>SUM(E18*24/100)</f>
        <v>114.04800000000002</v>
      </c>
      <c r="G18" s="132">
        <v>661.67</v>
      </c>
      <c r="H18" s="133">
        <f t="shared" si="0"/>
        <v>75.462140160000004</v>
      </c>
      <c r="I18" s="12">
        <f t="shared" si="1"/>
        <v>6288.5116800000005</v>
      </c>
      <c r="J18" s="59"/>
    </row>
    <row r="19" spans="1:10" s="58" customFormat="1" ht="15.75" hidden="1" customHeight="1">
      <c r="A19" s="25">
        <v>4</v>
      </c>
      <c r="B19" s="129" t="s">
        <v>104</v>
      </c>
      <c r="C19" s="130" t="s">
        <v>105</v>
      </c>
      <c r="D19" s="129" t="s">
        <v>106</v>
      </c>
      <c r="E19" s="131">
        <v>57.6</v>
      </c>
      <c r="F19" s="132">
        <f>SUM(E19/10)</f>
        <v>5.76</v>
      </c>
      <c r="G19" s="132">
        <v>223.17</v>
      </c>
      <c r="H19" s="133">
        <f t="shared" si="0"/>
        <v>1.2854591999999998</v>
      </c>
      <c r="I19" s="12">
        <v>0</v>
      </c>
      <c r="J19" s="59"/>
    </row>
    <row r="20" spans="1:10" s="58" customFormat="1" ht="15.75" hidden="1" customHeight="1">
      <c r="A20" s="25">
        <v>5</v>
      </c>
      <c r="B20" s="129" t="s">
        <v>107</v>
      </c>
      <c r="C20" s="130" t="s">
        <v>103</v>
      </c>
      <c r="D20" s="129" t="s">
        <v>41</v>
      </c>
      <c r="E20" s="131">
        <v>43.2</v>
      </c>
      <c r="F20" s="132">
        <f>SUM(E20*2/100)</f>
        <v>0.8640000000000001</v>
      </c>
      <c r="G20" s="132">
        <v>285.76</v>
      </c>
      <c r="H20" s="133">
        <f t="shared" si="0"/>
        <v>0.24689664000000003</v>
      </c>
      <c r="I20" s="12">
        <v>0</v>
      </c>
      <c r="J20" s="59"/>
    </row>
    <row r="21" spans="1:10" s="58" customFormat="1" ht="15.75" hidden="1" customHeight="1">
      <c r="A21" s="25">
        <v>6</v>
      </c>
      <c r="B21" s="129" t="s">
        <v>108</v>
      </c>
      <c r="C21" s="130" t="s">
        <v>103</v>
      </c>
      <c r="D21" s="129" t="s">
        <v>41</v>
      </c>
      <c r="E21" s="131">
        <v>10.08</v>
      </c>
      <c r="F21" s="132">
        <f>SUM(E21*2/100)</f>
        <v>0.2016</v>
      </c>
      <c r="G21" s="132">
        <v>283.44</v>
      </c>
      <c r="H21" s="133">
        <f t="shared" si="0"/>
        <v>5.7141503999999996E-2</v>
      </c>
      <c r="I21" s="12">
        <v>0</v>
      </c>
      <c r="J21" s="59"/>
    </row>
    <row r="22" spans="1:10" s="58" customFormat="1" ht="15.75" hidden="1" customHeight="1">
      <c r="A22" s="25">
        <v>7</v>
      </c>
      <c r="B22" s="129" t="s">
        <v>109</v>
      </c>
      <c r="C22" s="130" t="s">
        <v>51</v>
      </c>
      <c r="D22" s="129" t="s">
        <v>106</v>
      </c>
      <c r="E22" s="131">
        <v>642.6</v>
      </c>
      <c r="F22" s="132">
        <f>SUM(E22/100)</f>
        <v>6.4260000000000002</v>
      </c>
      <c r="G22" s="132">
        <v>353.14</v>
      </c>
      <c r="H22" s="133">
        <f t="shared" si="0"/>
        <v>2.2692776399999999</v>
      </c>
      <c r="I22" s="12">
        <v>0</v>
      </c>
      <c r="J22" s="59"/>
    </row>
    <row r="23" spans="1:10" s="58" customFormat="1" ht="15.75" hidden="1" customHeight="1">
      <c r="A23" s="25">
        <v>8</v>
      </c>
      <c r="B23" s="129" t="s">
        <v>110</v>
      </c>
      <c r="C23" s="130" t="s">
        <v>51</v>
      </c>
      <c r="D23" s="129" t="s">
        <v>106</v>
      </c>
      <c r="E23" s="134">
        <v>35.28</v>
      </c>
      <c r="F23" s="132">
        <f>SUM(E23/100)</f>
        <v>0.3528</v>
      </c>
      <c r="G23" s="132">
        <v>58.08</v>
      </c>
      <c r="H23" s="133">
        <f t="shared" si="0"/>
        <v>2.0490623999999999E-2</v>
      </c>
      <c r="I23" s="12">
        <v>0</v>
      </c>
      <c r="J23" s="59"/>
    </row>
    <row r="24" spans="1:10" s="58" customFormat="1" ht="15.75" hidden="1" customHeight="1">
      <c r="A24" s="25">
        <v>9</v>
      </c>
      <c r="B24" s="129" t="s">
        <v>111</v>
      </c>
      <c r="C24" s="130" t="s">
        <v>51</v>
      </c>
      <c r="D24" s="129" t="s">
        <v>106</v>
      </c>
      <c r="E24" s="131">
        <v>28.8</v>
      </c>
      <c r="F24" s="132">
        <f>SUM(E24/100)</f>
        <v>0.28800000000000003</v>
      </c>
      <c r="G24" s="132">
        <v>683.05</v>
      </c>
      <c r="H24" s="133">
        <f t="shared" si="0"/>
        <v>0.19671840000000002</v>
      </c>
      <c r="I24" s="12">
        <v>0</v>
      </c>
      <c r="J24" s="59"/>
    </row>
    <row r="25" spans="1:10" s="58" customFormat="1" ht="15.75" customHeight="1">
      <c r="A25" s="25">
        <v>4</v>
      </c>
      <c r="B25" s="129" t="s">
        <v>63</v>
      </c>
      <c r="C25" s="130" t="s">
        <v>33</v>
      </c>
      <c r="D25" s="129" t="s">
        <v>227</v>
      </c>
      <c r="E25" s="136">
        <v>0.1</v>
      </c>
      <c r="F25" s="132">
        <f>SUM(E25*182)</f>
        <v>18.2</v>
      </c>
      <c r="G25" s="132">
        <v>264.85000000000002</v>
      </c>
      <c r="H25" s="133">
        <f>SUM(F25*G25/1000)</f>
        <v>4.8202700000000007</v>
      </c>
      <c r="I25" s="12">
        <f>F25/12*G25</f>
        <v>401.68916666666667</v>
      </c>
      <c r="J25" s="59"/>
    </row>
    <row r="26" spans="1:10" s="58" customFormat="1" ht="15.75" customHeight="1">
      <c r="A26" s="25">
        <v>5</v>
      </c>
      <c r="B26" s="137" t="s">
        <v>23</v>
      </c>
      <c r="C26" s="130" t="s">
        <v>24</v>
      </c>
      <c r="D26" s="137" t="s">
        <v>149</v>
      </c>
      <c r="E26" s="131">
        <v>3931</v>
      </c>
      <c r="F26" s="132">
        <f>SUM(E26*12)</f>
        <v>47172</v>
      </c>
      <c r="G26" s="132">
        <v>3.64</v>
      </c>
      <c r="H26" s="133">
        <f>SUM(F26*G26/1000)</f>
        <v>171.70608000000001</v>
      </c>
      <c r="I26" s="12">
        <f>F26/12*G26</f>
        <v>14308.84</v>
      </c>
      <c r="J26" s="59"/>
    </row>
    <row r="27" spans="1:10" s="58" customFormat="1" ht="15.75" customHeight="1">
      <c r="A27" s="170" t="s">
        <v>235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hidden="1" customHeight="1">
      <c r="A28" s="25"/>
      <c r="B28" s="163" t="s">
        <v>28</v>
      </c>
      <c r="C28" s="130"/>
      <c r="D28" s="129"/>
      <c r="E28" s="131"/>
      <c r="F28" s="132"/>
      <c r="G28" s="132"/>
      <c r="H28" s="133"/>
      <c r="I28" s="12"/>
      <c r="J28" s="59"/>
    </row>
    <row r="29" spans="1:10" s="58" customFormat="1" ht="15.75" hidden="1" customHeight="1">
      <c r="A29" s="25">
        <v>6</v>
      </c>
      <c r="B29" s="129" t="s">
        <v>112</v>
      </c>
      <c r="C29" s="130" t="s">
        <v>113</v>
      </c>
      <c r="D29" s="129" t="s">
        <v>114</v>
      </c>
      <c r="E29" s="132">
        <v>271.95</v>
      </c>
      <c r="F29" s="132">
        <f>SUM(E29*52/1000)</f>
        <v>14.141399999999999</v>
      </c>
      <c r="G29" s="132">
        <v>204.44</v>
      </c>
      <c r="H29" s="133">
        <f t="shared" ref="H29:H35" si="2">SUM(F29*G29/1000)</f>
        <v>2.8910678159999996</v>
      </c>
      <c r="I29" s="12">
        <f>F29/6*G29</f>
        <v>481.84463599999998</v>
      </c>
      <c r="J29" s="59"/>
    </row>
    <row r="30" spans="1:10" s="58" customFormat="1" ht="15.75" hidden="1" customHeight="1">
      <c r="A30" s="25">
        <v>7</v>
      </c>
      <c r="B30" s="129" t="s">
        <v>164</v>
      </c>
      <c r="C30" s="130" t="s">
        <v>113</v>
      </c>
      <c r="D30" s="129" t="s">
        <v>225</v>
      </c>
      <c r="E30" s="132">
        <v>83.7</v>
      </c>
      <c r="F30" s="132">
        <f>SUM(E30*52/1000)</f>
        <v>4.3524000000000003</v>
      </c>
      <c r="G30" s="132">
        <v>339.21</v>
      </c>
      <c r="H30" s="133">
        <f t="shared" si="2"/>
        <v>1.4763776040000001</v>
      </c>
      <c r="I30" s="12">
        <f t="shared" ref="I30:I42" si="3">F30/6*G30</f>
        <v>246.06293400000001</v>
      </c>
      <c r="J30" s="59"/>
    </row>
    <row r="31" spans="1:10" s="58" customFormat="1" ht="15.75" hidden="1" customHeight="1">
      <c r="A31" s="25">
        <v>5</v>
      </c>
      <c r="B31" s="129" t="s">
        <v>27</v>
      </c>
      <c r="C31" s="130" t="s">
        <v>113</v>
      </c>
      <c r="D31" s="129" t="s">
        <v>52</v>
      </c>
      <c r="E31" s="132">
        <v>271.95</v>
      </c>
      <c r="F31" s="132">
        <f>SUM(E31/1000)</f>
        <v>0.27194999999999997</v>
      </c>
      <c r="G31" s="132">
        <v>3961.23</v>
      </c>
      <c r="H31" s="133">
        <f t="shared" si="2"/>
        <v>1.0772564984999999</v>
      </c>
      <c r="I31" s="12">
        <v>0</v>
      </c>
      <c r="J31" s="59"/>
    </row>
    <row r="32" spans="1:10" s="58" customFormat="1" ht="15.75" hidden="1" customHeight="1">
      <c r="A32" s="25">
        <v>8</v>
      </c>
      <c r="B32" s="129" t="s">
        <v>116</v>
      </c>
      <c r="C32" s="130" t="s">
        <v>39</v>
      </c>
      <c r="D32" s="129" t="s">
        <v>226</v>
      </c>
      <c r="E32" s="132">
        <v>6</v>
      </c>
      <c r="F32" s="132">
        <f>SUM(E32*48/100)</f>
        <v>2.88</v>
      </c>
      <c r="G32" s="132">
        <v>1707.63</v>
      </c>
      <c r="H32" s="133">
        <f>G32*F32/1000</f>
        <v>4.9179744000000003</v>
      </c>
      <c r="I32" s="12">
        <f t="shared" si="3"/>
        <v>819.66240000000005</v>
      </c>
      <c r="J32" s="59"/>
    </row>
    <row r="33" spans="1:14" s="58" customFormat="1" ht="15.75" hidden="1" customHeight="1">
      <c r="A33" s="25">
        <v>9</v>
      </c>
      <c r="B33" s="129" t="s">
        <v>117</v>
      </c>
      <c r="C33" s="130" t="s">
        <v>31</v>
      </c>
      <c r="D33" s="129" t="s">
        <v>62</v>
      </c>
      <c r="E33" s="135">
        <f>1/3</f>
        <v>0.33333333333333331</v>
      </c>
      <c r="F33" s="132">
        <f>155/3</f>
        <v>51.666666666666664</v>
      </c>
      <c r="G33" s="132">
        <v>74.349999999999994</v>
      </c>
      <c r="H33" s="133">
        <f>SUM(G33*155/3/1000)</f>
        <v>3.8414166666666665</v>
      </c>
      <c r="I33" s="12">
        <f t="shared" si="3"/>
        <v>640.23611111111109</v>
      </c>
      <c r="J33" s="59"/>
    </row>
    <row r="34" spans="1:14" s="58" customFormat="1" ht="15.75" hidden="1" customHeight="1">
      <c r="A34" s="25">
        <v>6</v>
      </c>
      <c r="B34" s="129" t="s">
        <v>64</v>
      </c>
      <c r="C34" s="130" t="s">
        <v>33</v>
      </c>
      <c r="D34" s="129" t="s">
        <v>66</v>
      </c>
      <c r="E34" s="131"/>
      <c r="F34" s="132">
        <v>2</v>
      </c>
      <c r="G34" s="132">
        <v>250.92</v>
      </c>
      <c r="H34" s="133">
        <f t="shared" si="2"/>
        <v>0.50183999999999995</v>
      </c>
      <c r="I34" s="12">
        <v>0</v>
      </c>
      <c r="J34" s="59"/>
    </row>
    <row r="35" spans="1:14" s="58" customFormat="1" ht="15.75" hidden="1" customHeight="1">
      <c r="A35" s="25">
        <v>7</v>
      </c>
      <c r="B35" s="129" t="s">
        <v>65</v>
      </c>
      <c r="C35" s="130" t="s">
        <v>32</v>
      </c>
      <c r="D35" s="129" t="s">
        <v>66</v>
      </c>
      <c r="E35" s="131"/>
      <c r="F35" s="132">
        <v>1</v>
      </c>
      <c r="G35" s="132">
        <v>1490.33</v>
      </c>
      <c r="H35" s="133">
        <f t="shared" si="2"/>
        <v>1.4903299999999999</v>
      </c>
      <c r="I35" s="12">
        <v>0</v>
      </c>
      <c r="J35" s="59"/>
    </row>
    <row r="36" spans="1:14" s="58" customFormat="1" ht="15.75" customHeight="1">
      <c r="A36" s="25"/>
      <c r="B36" s="162" t="s">
        <v>5</v>
      </c>
      <c r="C36" s="130"/>
      <c r="D36" s="129"/>
      <c r="E36" s="131"/>
      <c r="F36" s="132"/>
      <c r="G36" s="132"/>
      <c r="H36" s="133" t="s">
        <v>149</v>
      </c>
      <c r="I36" s="12"/>
      <c r="J36" s="59"/>
    </row>
    <row r="37" spans="1:14" s="58" customFormat="1" ht="15.75" customHeight="1">
      <c r="A37" s="25">
        <v>6</v>
      </c>
      <c r="B37" s="138" t="s">
        <v>26</v>
      </c>
      <c r="C37" s="130" t="s">
        <v>32</v>
      </c>
      <c r="D37" s="129"/>
      <c r="E37" s="131"/>
      <c r="F37" s="132">
        <v>5</v>
      </c>
      <c r="G37" s="132">
        <v>2003</v>
      </c>
      <c r="H37" s="133">
        <f t="shared" ref="H37:H42" si="4">SUM(F37*G37/1000)</f>
        <v>10.015000000000001</v>
      </c>
      <c r="I37" s="12">
        <f t="shared" si="3"/>
        <v>1669.1666666666667</v>
      </c>
      <c r="J37" s="59"/>
    </row>
    <row r="38" spans="1:14" s="58" customFormat="1" ht="15.75" customHeight="1">
      <c r="A38" s="25">
        <v>7</v>
      </c>
      <c r="B38" s="138" t="s">
        <v>228</v>
      </c>
      <c r="C38" s="139" t="s">
        <v>29</v>
      </c>
      <c r="D38" s="129" t="s">
        <v>120</v>
      </c>
      <c r="E38" s="131">
        <v>83.7</v>
      </c>
      <c r="F38" s="140">
        <f>E38*30/1000</f>
        <v>2.5110000000000001</v>
      </c>
      <c r="G38" s="132">
        <v>2757.78</v>
      </c>
      <c r="H38" s="133">
        <f t="shared" si="4"/>
        <v>6.9247855800000009</v>
      </c>
      <c r="I38" s="12">
        <f t="shared" si="3"/>
        <v>1154.1309300000003</v>
      </c>
      <c r="J38" s="59"/>
    </row>
    <row r="39" spans="1:14" s="58" customFormat="1" ht="15.75" customHeight="1">
      <c r="A39" s="25">
        <v>8</v>
      </c>
      <c r="B39" s="129" t="s">
        <v>67</v>
      </c>
      <c r="C39" s="130" t="s">
        <v>29</v>
      </c>
      <c r="D39" s="129" t="s">
        <v>123</v>
      </c>
      <c r="E39" s="132">
        <v>83.7</v>
      </c>
      <c r="F39" s="140">
        <f>SUM(E39*155/1000)</f>
        <v>12.9735</v>
      </c>
      <c r="G39" s="132">
        <v>460.02</v>
      </c>
      <c r="H39" s="133">
        <f t="shared" si="4"/>
        <v>5.9680694699999997</v>
      </c>
      <c r="I39" s="12">
        <f t="shared" si="3"/>
        <v>994.67824499999983</v>
      </c>
      <c r="J39" s="59"/>
    </row>
    <row r="40" spans="1:14" s="58" customFormat="1" ht="47.25" customHeight="1">
      <c r="A40" s="25">
        <v>9</v>
      </c>
      <c r="B40" s="129" t="s">
        <v>84</v>
      </c>
      <c r="C40" s="130" t="s">
        <v>113</v>
      </c>
      <c r="D40" s="129" t="s">
        <v>120</v>
      </c>
      <c r="E40" s="132">
        <v>83.7</v>
      </c>
      <c r="F40" s="140">
        <f>SUM(E40*30/1000)</f>
        <v>2.5110000000000001</v>
      </c>
      <c r="G40" s="132">
        <v>7611.16</v>
      </c>
      <c r="H40" s="133">
        <f t="shared" si="4"/>
        <v>19.111622760000003</v>
      </c>
      <c r="I40" s="12">
        <f t="shared" si="3"/>
        <v>3185.2704600000002</v>
      </c>
      <c r="J40" s="59"/>
    </row>
    <row r="41" spans="1:14" s="58" customFormat="1" ht="15.75" hidden="1" customHeight="1">
      <c r="A41" s="25">
        <v>10</v>
      </c>
      <c r="B41" s="129" t="s">
        <v>125</v>
      </c>
      <c r="C41" s="130" t="s">
        <v>113</v>
      </c>
      <c r="D41" s="129" t="s">
        <v>124</v>
      </c>
      <c r="E41" s="132">
        <v>83.7</v>
      </c>
      <c r="F41" s="140">
        <f>SUM(E41*24/1000)</f>
        <v>2.0088000000000004</v>
      </c>
      <c r="G41" s="132">
        <v>562.25</v>
      </c>
      <c r="H41" s="133">
        <f t="shared" si="4"/>
        <v>1.1294478000000001</v>
      </c>
      <c r="I41" s="12">
        <f t="shared" si="3"/>
        <v>188.24130000000002</v>
      </c>
      <c r="J41" s="59"/>
    </row>
    <row r="42" spans="1:14" s="58" customFormat="1" ht="15.75" customHeight="1">
      <c r="A42" s="25">
        <v>10</v>
      </c>
      <c r="B42" s="138" t="s">
        <v>69</v>
      </c>
      <c r="C42" s="139" t="s">
        <v>33</v>
      </c>
      <c r="D42" s="138"/>
      <c r="E42" s="136"/>
      <c r="F42" s="140">
        <v>0.9</v>
      </c>
      <c r="G42" s="140">
        <v>974.83</v>
      </c>
      <c r="H42" s="133">
        <f t="shared" si="4"/>
        <v>0.8773470000000001</v>
      </c>
      <c r="I42" s="12">
        <f t="shared" si="3"/>
        <v>146.22450000000001</v>
      </c>
      <c r="J42" s="59"/>
    </row>
    <row r="43" spans="1:14" s="58" customFormat="1" ht="15.75" hidden="1" customHeight="1">
      <c r="A43" s="170" t="s">
        <v>165</v>
      </c>
      <c r="B43" s="171"/>
      <c r="C43" s="171"/>
      <c r="D43" s="171"/>
      <c r="E43" s="171"/>
      <c r="F43" s="171"/>
      <c r="G43" s="171"/>
      <c r="H43" s="171"/>
      <c r="I43" s="172"/>
      <c r="J43" s="59"/>
    </row>
    <row r="44" spans="1:14" s="58" customFormat="1" ht="15.75" hidden="1" customHeight="1">
      <c r="A44" s="25">
        <v>8</v>
      </c>
      <c r="B44" s="129" t="s">
        <v>126</v>
      </c>
      <c r="C44" s="130" t="s">
        <v>113</v>
      </c>
      <c r="D44" s="129" t="s">
        <v>41</v>
      </c>
      <c r="E44" s="131">
        <v>1032.5</v>
      </c>
      <c r="F44" s="132">
        <f>SUM(E44*2/1000)</f>
        <v>2.0649999999999999</v>
      </c>
      <c r="G44" s="31">
        <v>1114.1300000000001</v>
      </c>
      <c r="H44" s="133">
        <f t="shared" ref="H44:H53" si="5">SUM(F44*G44/1000)</f>
        <v>2.3006784500000004</v>
      </c>
      <c r="I44" s="12">
        <f>F44/2*G44</f>
        <v>1150.3392250000002</v>
      </c>
      <c r="J44" s="59"/>
    </row>
    <row r="45" spans="1:14" s="58" customFormat="1" ht="15.75" hidden="1" customHeight="1">
      <c r="A45" s="25"/>
      <c r="B45" s="129" t="s">
        <v>34</v>
      </c>
      <c r="C45" s="130" t="s">
        <v>113</v>
      </c>
      <c r="D45" s="129" t="s">
        <v>41</v>
      </c>
      <c r="E45" s="131">
        <v>132</v>
      </c>
      <c r="F45" s="132">
        <f>E45*2/1000</f>
        <v>0.26400000000000001</v>
      </c>
      <c r="G45" s="31">
        <v>4419.05</v>
      </c>
      <c r="H45" s="133">
        <f t="shared" si="5"/>
        <v>1.1666292</v>
      </c>
      <c r="I45" s="12">
        <f t="shared" ref="I45:I51" si="6">F45/2*G45</f>
        <v>583.31460000000004</v>
      </c>
      <c r="J45" s="59"/>
      <c r="L45" s="18"/>
      <c r="M45" s="19"/>
      <c r="N45" s="28"/>
    </row>
    <row r="46" spans="1:14" s="58" customFormat="1" ht="15.75" hidden="1" customHeight="1">
      <c r="A46" s="25">
        <v>9</v>
      </c>
      <c r="B46" s="129" t="s">
        <v>35</v>
      </c>
      <c r="C46" s="130" t="s">
        <v>113</v>
      </c>
      <c r="D46" s="129" t="s">
        <v>41</v>
      </c>
      <c r="E46" s="131">
        <v>4248.22</v>
      </c>
      <c r="F46" s="132">
        <f>SUM(E46*2/1000)</f>
        <v>8.4964399999999998</v>
      </c>
      <c r="G46" s="31">
        <v>1803.69</v>
      </c>
      <c r="H46" s="133">
        <f t="shared" si="5"/>
        <v>15.3249438636</v>
      </c>
      <c r="I46" s="12">
        <f t="shared" si="6"/>
        <v>7662.4719317999998</v>
      </c>
      <c r="J46" s="59"/>
      <c r="L46" s="18"/>
      <c r="M46" s="19"/>
      <c r="N46" s="28"/>
    </row>
    <row r="47" spans="1:14" s="58" customFormat="1" ht="15.75" hidden="1" customHeight="1">
      <c r="A47" s="25">
        <v>10</v>
      </c>
      <c r="B47" s="129" t="s">
        <v>36</v>
      </c>
      <c r="C47" s="130" t="s">
        <v>113</v>
      </c>
      <c r="D47" s="129" t="s">
        <v>41</v>
      </c>
      <c r="E47" s="131">
        <v>2163.66</v>
      </c>
      <c r="F47" s="132">
        <f>SUM(E47*2/1000)</f>
        <v>4.3273199999999994</v>
      </c>
      <c r="G47" s="31">
        <v>1243.43</v>
      </c>
      <c r="H47" s="133">
        <f t="shared" si="5"/>
        <v>5.3807195075999994</v>
      </c>
      <c r="I47" s="12">
        <f t="shared" si="6"/>
        <v>2690.3597537999999</v>
      </c>
      <c r="J47" s="59"/>
      <c r="L47" s="18"/>
      <c r="M47" s="19"/>
      <c r="N47" s="28"/>
    </row>
    <row r="48" spans="1:14" s="58" customFormat="1" ht="15.75" hidden="1" customHeight="1">
      <c r="A48" s="25">
        <v>11</v>
      </c>
      <c r="B48" s="129" t="s">
        <v>55</v>
      </c>
      <c r="C48" s="130" t="s">
        <v>113</v>
      </c>
      <c r="D48" s="129" t="s">
        <v>184</v>
      </c>
      <c r="E48" s="131">
        <v>3931</v>
      </c>
      <c r="F48" s="132">
        <f>SUM(E48*5/1000)</f>
        <v>19.655000000000001</v>
      </c>
      <c r="G48" s="31">
        <v>1083.69</v>
      </c>
      <c r="H48" s="133">
        <f t="shared" si="5"/>
        <v>21.29992695</v>
      </c>
      <c r="I48" s="12">
        <f>F48/5*G48</f>
        <v>4259.9853899999998</v>
      </c>
      <c r="J48" s="59"/>
      <c r="L48" s="18"/>
      <c r="M48" s="19"/>
      <c r="N48" s="28"/>
    </row>
    <row r="49" spans="1:14" s="58" customFormat="1" ht="31.5" hidden="1" customHeight="1">
      <c r="A49" s="25">
        <v>12</v>
      </c>
      <c r="B49" s="129" t="s">
        <v>127</v>
      </c>
      <c r="C49" s="130" t="s">
        <v>113</v>
      </c>
      <c r="D49" s="129" t="s">
        <v>41</v>
      </c>
      <c r="E49" s="131">
        <v>3931</v>
      </c>
      <c r="F49" s="132">
        <f>SUM(E49*2/1000)</f>
        <v>7.8620000000000001</v>
      </c>
      <c r="G49" s="31">
        <v>1591.6</v>
      </c>
      <c r="H49" s="133">
        <f t="shared" si="5"/>
        <v>12.5131592</v>
      </c>
      <c r="I49" s="12">
        <f t="shared" si="6"/>
        <v>6256.5796</v>
      </c>
      <c r="J49" s="59"/>
      <c r="L49" s="18"/>
      <c r="M49" s="19"/>
      <c r="N49" s="28"/>
    </row>
    <row r="50" spans="1:14" s="58" customFormat="1" ht="31.5" hidden="1" customHeight="1">
      <c r="A50" s="25">
        <v>12</v>
      </c>
      <c r="B50" s="129" t="s">
        <v>128</v>
      </c>
      <c r="C50" s="130" t="s">
        <v>37</v>
      </c>
      <c r="D50" s="129" t="s">
        <v>41</v>
      </c>
      <c r="E50" s="131">
        <v>30</v>
      </c>
      <c r="F50" s="132">
        <f>SUM(E50*2/100)</f>
        <v>0.6</v>
      </c>
      <c r="G50" s="31">
        <v>4058.32</v>
      </c>
      <c r="H50" s="133">
        <f t="shared" si="5"/>
        <v>2.4349920000000003</v>
      </c>
      <c r="I50" s="12">
        <f t="shared" si="6"/>
        <v>1217.4960000000001</v>
      </c>
      <c r="J50" s="59"/>
      <c r="L50" s="18"/>
      <c r="M50" s="19"/>
      <c r="N50" s="28"/>
    </row>
    <row r="51" spans="1:14" s="58" customFormat="1" ht="15.75" hidden="1" customHeight="1">
      <c r="A51" s="25">
        <v>13</v>
      </c>
      <c r="B51" s="129" t="s">
        <v>38</v>
      </c>
      <c r="C51" s="130" t="s">
        <v>39</v>
      </c>
      <c r="D51" s="129" t="s">
        <v>41</v>
      </c>
      <c r="E51" s="131">
        <v>1</v>
      </c>
      <c r="F51" s="132">
        <v>0.02</v>
      </c>
      <c r="G51" s="31">
        <v>7412.92</v>
      </c>
      <c r="H51" s="133">
        <f t="shared" si="5"/>
        <v>0.14825839999999998</v>
      </c>
      <c r="I51" s="12">
        <f t="shared" si="6"/>
        <v>74.129199999999997</v>
      </c>
      <c r="J51" s="59"/>
      <c r="L51" s="18"/>
      <c r="M51" s="19"/>
      <c r="N51" s="28"/>
    </row>
    <row r="52" spans="1:14" s="58" customFormat="1" ht="15.75" hidden="1" customHeight="1">
      <c r="A52" s="25">
        <v>14</v>
      </c>
      <c r="B52" s="129" t="s">
        <v>129</v>
      </c>
      <c r="C52" s="130" t="s">
        <v>96</v>
      </c>
      <c r="D52" s="129" t="s">
        <v>70</v>
      </c>
      <c r="E52" s="131">
        <v>90</v>
      </c>
      <c r="F52" s="132">
        <f>E52*3</f>
        <v>270</v>
      </c>
      <c r="G52" s="31">
        <v>185.08</v>
      </c>
      <c r="H52" s="133">
        <f t="shared" si="5"/>
        <v>49.971600000000009</v>
      </c>
      <c r="I52" s="12">
        <f>F52/3*G52</f>
        <v>16657.2</v>
      </c>
      <c r="J52" s="59"/>
      <c r="L52" s="18"/>
      <c r="M52" s="19"/>
      <c r="N52" s="28"/>
    </row>
    <row r="53" spans="1:14" s="58" customFormat="1" ht="15.75" hidden="1" customHeight="1">
      <c r="A53" s="25">
        <v>15</v>
      </c>
      <c r="B53" s="129" t="s">
        <v>40</v>
      </c>
      <c r="C53" s="130" t="s">
        <v>96</v>
      </c>
      <c r="D53" s="129" t="s">
        <v>70</v>
      </c>
      <c r="E53" s="131">
        <v>180</v>
      </c>
      <c r="F53" s="132">
        <f>SUM(E53)*3</f>
        <v>540</v>
      </c>
      <c r="G53" s="141">
        <v>86.15</v>
      </c>
      <c r="H53" s="133">
        <f t="shared" si="5"/>
        <v>46.521000000000001</v>
      </c>
      <c r="I53" s="12">
        <f>F53/3*G53</f>
        <v>15507.000000000002</v>
      </c>
      <c r="J53" s="59"/>
      <c r="L53" s="18"/>
      <c r="M53" s="19"/>
      <c r="N53" s="28"/>
    </row>
    <row r="54" spans="1:14" s="58" customFormat="1" ht="15.75" customHeight="1">
      <c r="A54" s="170" t="s">
        <v>173</v>
      </c>
      <c r="B54" s="171"/>
      <c r="C54" s="171"/>
      <c r="D54" s="171"/>
      <c r="E54" s="171"/>
      <c r="F54" s="171"/>
      <c r="G54" s="171"/>
      <c r="H54" s="171"/>
      <c r="I54" s="172"/>
      <c r="J54" s="59"/>
      <c r="L54" s="18"/>
      <c r="M54" s="19"/>
      <c r="N54" s="28"/>
    </row>
    <row r="55" spans="1:14" s="58" customFormat="1" ht="15.75" customHeight="1">
      <c r="A55" s="25"/>
      <c r="B55" s="163" t="s">
        <v>42</v>
      </c>
      <c r="C55" s="130"/>
      <c r="D55" s="129"/>
      <c r="E55" s="131"/>
      <c r="F55" s="132"/>
      <c r="G55" s="132"/>
      <c r="H55" s="133"/>
      <c r="I55" s="12"/>
      <c r="J55" s="59"/>
      <c r="L55" s="18"/>
      <c r="M55" s="19"/>
      <c r="N55" s="28"/>
    </row>
    <row r="56" spans="1:14" s="58" customFormat="1" ht="31.5" customHeight="1">
      <c r="A56" s="25">
        <v>11</v>
      </c>
      <c r="B56" s="129" t="s">
        <v>144</v>
      </c>
      <c r="C56" s="130" t="s">
        <v>103</v>
      </c>
      <c r="D56" s="129" t="s">
        <v>130</v>
      </c>
      <c r="E56" s="131">
        <v>30.6</v>
      </c>
      <c r="F56" s="132">
        <f>SUM(E56*6/100)</f>
        <v>1.8360000000000003</v>
      </c>
      <c r="G56" s="31">
        <v>2029.3</v>
      </c>
      <c r="H56" s="133">
        <f>SUM(F56*G56/1000)</f>
        <v>3.7257948000000005</v>
      </c>
      <c r="I56" s="12">
        <f>F56/6*G56</f>
        <v>620.96580000000006</v>
      </c>
      <c r="J56" s="59"/>
      <c r="L56" s="18"/>
      <c r="M56" s="19"/>
      <c r="N56" s="28"/>
    </row>
    <row r="57" spans="1:14" s="58" customFormat="1" ht="31.5" customHeight="1">
      <c r="A57" s="25">
        <v>12</v>
      </c>
      <c r="B57" s="129" t="s">
        <v>94</v>
      </c>
      <c r="C57" s="130" t="s">
        <v>103</v>
      </c>
      <c r="D57" s="129" t="s">
        <v>95</v>
      </c>
      <c r="E57" s="131">
        <v>39.69</v>
      </c>
      <c r="F57" s="132">
        <f>SUM(E57*12/100)</f>
        <v>4.7627999999999995</v>
      </c>
      <c r="G57" s="31">
        <v>2029.3</v>
      </c>
      <c r="H57" s="133">
        <f>SUM(F57*G57/1000)</f>
        <v>9.6651500399999986</v>
      </c>
      <c r="I57" s="12">
        <f t="shared" ref="I57:I59" si="7">F57/6*G57</f>
        <v>1610.8583399999998</v>
      </c>
      <c r="J57" s="59"/>
      <c r="L57" s="18"/>
      <c r="M57" s="19"/>
      <c r="N57" s="28"/>
    </row>
    <row r="58" spans="1:14" s="58" customFormat="1" ht="15.75" hidden="1" customHeight="1">
      <c r="A58" s="25">
        <v>20</v>
      </c>
      <c r="B58" s="142" t="s">
        <v>131</v>
      </c>
      <c r="C58" s="143" t="s">
        <v>132</v>
      </c>
      <c r="D58" s="142" t="s">
        <v>41</v>
      </c>
      <c r="E58" s="144">
        <v>8</v>
      </c>
      <c r="F58" s="145">
        <v>16</v>
      </c>
      <c r="G58" s="31">
        <v>237.1</v>
      </c>
      <c r="H58" s="133">
        <f>SUM(F58*G58/1000)</f>
        <v>3.7936000000000001</v>
      </c>
      <c r="I58" s="12">
        <v>0</v>
      </c>
      <c r="J58" s="59"/>
      <c r="L58" s="18"/>
      <c r="M58" s="19"/>
      <c r="N58" s="28"/>
    </row>
    <row r="59" spans="1:14" s="58" customFormat="1" ht="15.75" customHeight="1">
      <c r="A59" s="25">
        <v>13</v>
      </c>
      <c r="B59" s="129" t="s">
        <v>133</v>
      </c>
      <c r="C59" s="130" t="s">
        <v>103</v>
      </c>
      <c r="D59" s="129" t="s">
        <v>130</v>
      </c>
      <c r="E59" s="131">
        <v>41.73</v>
      </c>
      <c r="F59" s="132">
        <f>SUM(E59*6/100)</f>
        <v>2.5038</v>
      </c>
      <c r="G59" s="31">
        <v>2029.3</v>
      </c>
      <c r="H59" s="133">
        <f>SUM(F59*G59/1000)</f>
        <v>5.08096134</v>
      </c>
      <c r="I59" s="12">
        <f t="shared" si="7"/>
        <v>846.82688999999993</v>
      </c>
      <c r="J59" s="59"/>
      <c r="L59" s="18"/>
      <c r="M59" s="19"/>
      <c r="N59" s="28"/>
    </row>
    <row r="60" spans="1:14" s="58" customFormat="1" ht="15.75" hidden="1" customHeight="1">
      <c r="A60" s="25"/>
      <c r="B60" s="142" t="s">
        <v>161</v>
      </c>
      <c r="C60" s="143" t="s">
        <v>32</v>
      </c>
      <c r="D60" s="142" t="s">
        <v>66</v>
      </c>
      <c r="E60" s="144"/>
      <c r="F60" s="145">
        <v>4</v>
      </c>
      <c r="G60" s="31">
        <v>1582.05</v>
      </c>
      <c r="H60" s="133">
        <f>SUM(F60*G60/1000)</f>
        <v>6.3281999999999998</v>
      </c>
      <c r="I60" s="12">
        <v>0</v>
      </c>
      <c r="J60" s="59"/>
      <c r="L60" s="18"/>
      <c r="M60" s="19"/>
      <c r="N60" s="28"/>
    </row>
    <row r="61" spans="1:14" s="58" customFormat="1" ht="15.75" customHeight="1">
      <c r="A61" s="25"/>
      <c r="B61" s="164" t="s">
        <v>43</v>
      </c>
      <c r="C61" s="143"/>
      <c r="D61" s="142"/>
      <c r="E61" s="144"/>
      <c r="F61" s="145"/>
      <c r="G61" s="31"/>
      <c r="H61" s="146"/>
      <c r="I61" s="12"/>
      <c r="J61" s="59"/>
      <c r="L61" s="18"/>
      <c r="M61" s="19"/>
      <c r="N61" s="28"/>
    </row>
    <row r="62" spans="1:14" s="58" customFormat="1" ht="15.75" hidden="1" customHeight="1">
      <c r="A62" s="25">
        <v>14</v>
      </c>
      <c r="B62" s="142" t="s">
        <v>150</v>
      </c>
      <c r="C62" s="143" t="s">
        <v>51</v>
      </c>
      <c r="D62" s="142" t="s">
        <v>52</v>
      </c>
      <c r="E62" s="144">
        <v>508.73</v>
      </c>
      <c r="F62" s="132">
        <f>SUM(E62/100)</f>
        <v>5.0872999999999999</v>
      </c>
      <c r="G62" s="31">
        <v>1040.8399999999999</v>
      </c>
      <c r="H62" s="146">
        <f>F62*G62/1000</f>
        <v>5.2950653319999992</v>
      </c>
      <c r="I62" s="12">
        <v>0</v>
      </c>
      <c r="J62" s="59"/>
      <c r="L62" s="18"/>
      <c r="M62" s="19"/>
      <c r="N62" s="28"/>
    </row>
    <row r="63" spans="1:14" s="58" customFormat="1" ht="15.75" customHeight="1">
      <c r="A63" s="25">
        <v>14</v>
      </c>
      <c r="B63" s="142" t="s">
        <v>98</v>
      </c>
      <c r="C63" s="143" t="s">
        <v>25</v>
      </c>
      <c r="D63" s="142" t="s">
        <v>30</v>
      </c>
      <c r="E63" s="144">
        <v>203.5</v>
      </c>
      <c r="F63" s="147">
        <f>E63*12</f>
        <v>2442</v>
      </c>
      <c r="G63" s="148">
        <v>2.8</v>
      </c>
      <c r="H63" s="145">
        <f>F63*G63/1000</f>
        <v>6.8375999999999992</v>
      </c>
      <c r="I63" s="12">
        <f>F63/12*G63</f>
        <v>569.79999999999995</v>
      </c>
      <c r="J63" s="59"/>
      <c r="L63" s="18"/>
    </row>
    <row r="64" spans="1:14" s="58" customFormat="1" ht="15.75" hidden="1" customHeight="1">
      <c r="A64" s="25"/>
      <c r="B64" s="165" t="s">
        <v>44</v>
      </c>
      <c r="C64" s="143"/>
      <c r="D64" s="142"/>
      <c r="E64" s="144"/>
      <c r="F64" s="147"/>
      <c r="G64" s="147"/>
      <c r="H64" s="145" t="s">
        <v>149</v>
      </c>
      <c r="I64" s="12"/>
      <c r="J64" s="59"/>
      <c r="L64" s="18"/>
    </row>
    <row r="65" spans="1:22" s="58" customFormat="1" ht="15.75" hidden="1" customHeight="1">
      <c r="A65" s="25"/>
      <c r="B65" s="149" t="s">
        <v>45</v>
      </c>
      <c r="C65" s="150" t="s">
        <v>96</v>
      </c>
      <c r="D65" s="32" t="s">
        <v>236</v>
      </c>
      <c r="E65" s="16">
        <v>10</v>
      </c>
      <c r="F65" s="132">
        <f>E65</f>
        <v>10</v>
      </c>
      <c r="G65" s="31">
        <v>291.68</v>
      </c>
      <c r="H65" s="118">
        <f t="shared" ref="H65:H81" si="8">SUM(F65*G65/1000)</f>
        <v>2.9168000000000003</v>
      </c>
      <c r="I65" s="12">
        <v>0</v>
      </c>
    </row>
    <row r="66" spans="1:22" s="58" customFormat="1" ht="15.75" hidden="1" customHeight="1">
      <c r="A66" s="90"/>
      <c r="B66" s="149" t="s">
        <v>46</v>
      </c>
      <c r="C66" s="150" t="s">
        <v>96</v>
      </c>
      <c r="D66" s="32" t="s">
        <v>236</v>
      </c>
      <c r="E66" s="16">
        <v>10</v>
      </c>
      <c r="F66" s="132">
        <f>E66</f>
        <v>10</v>
      </c>
      <c r="G66" s="31">
        <v>100.01</v>
      </c>
      <c r="H66" s="118">
        <f t="shared" si="8"/>
        <v>1.0001</v>
      </c>
      <c r="I66" s="12">
        <v>0</v>
      </c>
    </row>
    <row r="67" spans="1:22" s="58" customFormat="1" ht="15.75" hidden="1" customHeight="1">
      <c r="A67" s="25">
        <v>22</v>
      </c>
      <c r="B67" s="149" t="s">
        <v>47</v>
      </c>
      <c r="C67" s="151" t="s">
        <v>134</v>
      </c>
      <c r="D67" s="32" t="s">
        <v>52</v>
      </c>
      <c r="E67" s="131">
        <v>14347</v>
      </c>
      <c r="F67" s="141">
        <f>SUM(E67/100)</f>
        <v>143.47</v>
      </c>
      <c r="G67" s="31">
        <v>278.24</v>
      </c>
      <c r="H67" s="118">
        <f t="shared" si="8"/>
        <v>39.919092800000001</v>
      </c>
      <c r="I67" s="12">
        <v>0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6"/>
    </row>
    <row r="68" spans="1:22" s="58" customFormat="1" ht="15.75" hidden="1" customHeight="1">
      <c r="A68" s="94"/>
      <c r="B68" s="149" t="s">
        <v>48</v>
      </c>
      <c r="C68" s="150" t="s">
        <v>135</v>
      </c>
      <c r="D68" s="32"/>
      <c r="E68" s="131">
        <v>14347</v>
      </c>
      <c r="F68" s="31">
        <f>SUM(E68/1000)</f>
        <v>14.347</v>
      </c>
      <c r="G68" s="31">
        <v>216.68</v>
      </c>
      <c r="H68" s="118">
        <f t="shared" si="8"/>
        <v>3.1087079600000003</v>
      </c>
      <c r="I68" s="12">
        <v>0</v>
      </c>
      <c r="J68" s="77"/>
      <c r="K68" s="77"/>
      <c r="L68" s="75"/>
      <c r="M68" s="75"/>
      <c r="N68" s="75"/>
      <c r="O68" s="75"/>
      <c r="P68" s="75"/>
      <c r="Q68" s="75"/>
      <c r="R68" s="75"/>
      <c r="S68" s="75"/>
      <c r="T68" s="75"/>
      <c r="U68" s="75"/>
    </row>
    <row r="69" spans="1:22" s="58" customFormat="1" ht="15.75" hidden="1" customHeight="1">
      <c r="A69" s="25">
        <v>23</v>
      </c>
      <c r="B69" s="149" t="s">
        <v>49</v>
      </c>
      <c r="C69" s="150" t="s">
        <v>76</v>
      </c>
      <c r="D69" s="32" t="s">
        <v>52</v>
      </c>
      <c r="E69" s="131">
        <v>2244</v>
      </c>
      <c r="F69" s="31">
        <f>SUM(E69/100)</f>
        <v>22.44</v>
      </c>
      <c r="G69" s="31">
        <v>2720.94</v>
      </c>
      <c r="H69" s="118">
        <f t="shared" si="8"/>
        <v>61.0578936</v>
      </c>
      <c r="I69" s="12">
        <v>0</v>
      </c>
      <c r="J69" s="75"/>
      <c r="K69" s="75"/>
      <c r="L69" s="75"/>
      <c r="M69" s="75"/>
      <c r="N69" s="75"/>
      <c r="O69" s="75"/>
      <c r="P69" s="75"/>
      <c r="Q69" s="75"/>
      <c r="S69" s="75"/>
      <c r="T69" s="75"/>
      <c r="U69" s="75"/>
    </row>
    <row r="70" spans="1:22" s="58" customFormat="1" ht="15.75" hidden="1" customHeight="1">
      <c r="A70" s="25"/>
      <c r="B70" s="152" t="s">
        <v>136</v>
      </c>
      <c r="C70" s="150" t="s">
        <v>33</v>
      </c>
      <c r="D70" s="32"/>
      <c r="E70" s="131">
        <v>12.8</v>
      </c>
      <c r="F70" s="31">
        <f>SUM(E70)</f>
        <v>12.8</v>
      </c>
      <c r="G70" s="31">
        <v>42.61</v>
      </c>
      <c r="H70" s="118">
        <f t="shared" si="8"/>
        <v>0.545408</v>
      </c>
      <c r="I70" s="12">
        <v>0</v>
      </c>
      <c r="J70" s="79"/>
      <c r="K70" s="79"/>
      <c r="L70" s="79"/>
      <c r="M70" s="79"/>
      <c r="N70" s="79"/>
      <c r="O70" s="79"/>
      <c r="P70" s="79"/>
      <c r="Q70" s="79"/>
      <c r="R70" s="186"/>
      <c r="S70" s="186"/>
      <c r="T70" s="186"/>
      <c r="U70" s="186"/>
    </row>
    <row r="71" spans="1:22" s="58" customFormat="1" ht="15.75" hidden="1" customHeight="1">
      <c r="A71" s="25">
        <v>19</v>
      </c>
      <c r="B71" s="152" t="s">
        <v>137</v>
      </c>
      <c r="C71" s="150" t="s">
        <v>33</v>
      </c>
      <c r="D71" s="32"/>
      <c r="E71" s="131">
        <v>12.8</v>
      </c>
      <c r="F71" s="31">
        <f>SUM(E71)</f>
        <v>12.8</v>
      </c>
      <c r="G71" s="31">
        <v>46.04</v>
      </c>
      <c r="H71" s="118">
        <f t="shared" si="8"/>
        <v>0.58931200000000006</v>
      </c>
      <c r="I71" s="12">
        <v>0</v>
      </c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</row>
    <row r="72" spans="1:22" s="58" customFormat="1" ht="15.75" hidden="1" customHeight="1">
      <c r="A72" s="25">
        <v>20</v>
      </c>
      <c r="B72" s="32" t="s">
        <v>56</v>
      </c>
      <c r="C72" s="150" t="s">
        <v>57</v>
      </c>
      <c r="D72" s="32" t="s">
        <v>52</v>
      </c>
      <c r="E72" s="16">
        <v>6</v>
      </c>
      <c r="F72" s="31">
        <f>SUM(E72)</f>
        <v>6</v>
      </c>
      <c r="G72" s="31">
        <v>65.42</v>
      </c>
      <c r="H72" s="118">
        <f t="shared" si="8"/>
        <v>0.39251999999999998</v>
      </c>
      <c r="I72" s="12">
        <v>0</v>
      </c>
    </row>
    <row r="73" spans="1:22" s="58" customFormat="1" ht="15.75" customHeight="1">
      <c r="A73" s="25"/>
      <c r="B73" s="166" t="s">
        <v>229</v>
      </c>
      <c r="C73" s="150"/>
      <c r="D73" s="32"/>
      <c r="E73" s="16"/>
      <c r="F73" s="148"/>
      <c r="G73" s="31"/>
      <c r="H73" s="118"/>
      <c r="I73" s="12"/>
    </row>
    <row r="74" spans="1:22" s="58" customFormat="1" ht="15.75" customHeight="1">
      <c r="A74" s="25">
        <v>15</v>
      </c>
      <c r="B74" s="32" t="s">
        <v>230</v>
      </c>
      <c r="C74" s="153" t="s">
        <v>231</v>
      </c>
      <c r="D74" s="32" t="s">
        <v>66</v>
      </c>
      <c r="E74" s="16">
        <v>3181</v>
      </c>
      <c r="F74" s="132">
        <f>SUM(E74)*12</f>
        <v>38172</v>
      </c>
      <c r="G74" s="31">
        <v>2.2799999999999998</v>
      </c>
      <c r="H74" s="118">
        <f t="shared" ref="H74" si="9">SUM(F74*G74/1000)</f>
        <v>87.03215999999999</v>
      </c>
      <c r="I74" s="12">
        <f>F74/12*G74</f>
        <v>7252.6799999999994</v>
      </c>
    </row>
    <row r="75" spans="1:22" s="58" customFormat="1" ht="15.75" hidden="1" customHeight="1">
      <c r="A75" s="25"/>
      <c r="B75" s="166" t="s">
        <v>71</v>
      </c>
      <c r="C75" s="150"/>
      <c r="D75" s="32"/>
      <c r="E75" s="16"/>
      <c r="F75" s="31"/>
      <c r="G75" s="31"/>
      <c r="H75" s="118" t="s">
        <v>149</v>
      </c>
      <c r="I75" s="12"/>
    </row>
    <row r="76" spans="1:22" s="58" customFormat="1" ht="15.75" hidden="1" customHeight="1">
      <c r="A76" s="25">
        <v>24</v>
      </c>
      <c r="B76" s="32" t="s">
        <v>232</v>
      </c>
      <c r="C76" s="150" t="s">
        <v>31</v>
      </c>
      <c r="D76" s="32" t="s">
        <v>66</v>
      </c>
      <c r="E76" s="16">
        <v>1</v>
      </c>
      <c r="F76" s="132">
        <f t="shared" ref="F76" si="10">E76</f>
        <v>1</v>
      </c>
      <c r="G76" s="31">
        <v>1029.1199999999999</v>
      </c>
      <c r="H76" s="118">
        <f>G76*F76/1000</f>
        <v>1.0291199999999998</v>
      </c>
      <c r="I76" s="12">
        <v>0</v>
      </c>
    </row>
    <row r="77" spans="1:22" s="58" customFormat="1" ht="15.75" hidden="1" customHeight="1">
      <c r="A77" s="25"/>
      <c r="B77" s="32" t="s">
        <v>233</v>
      </c>
      <c r="C77" s="150" t="s">
        <v>234</v>
      </c>
      <c r="D77" s="32" t="s">
        <v>66</v>
      </c>
      <c r="E77" s="16">
        <v>1</v>
      </c>
      <c r="F77" s="31">
        <v>1</v>
      </c>
      <c r="G77" s="31">
        <v>735</v>
      </c>
      <c r="H77" s="118">
        <f t="shared" ref="H77:H79" si="11">SUM(F77*G77/1000)</f>
        <v>0.73499999999999999</v>
      </c>
      <c r="I77" s="12">
        <v>0</v>
      </c>
    </row>
    <row r="78" spans="1:22" s="58" customFormat="1" ht="15.75" hidden="1" customHeight="1">
      <c r="A78" s="25"/>
      <c r="B78" s="32" t="s">
        <v>72</v>
      </c>
      <c r="C78" s="150" t="s">
        <v>74</v>
      </c>
      <c r="D78" s="32" t="s">
        <v>66</v>
      </c>
      <c r="E78" s="16">
        <v>8</v>
      </c>
      <c r="F78" s="31">
        <f>E78/10</f>
        <v>0.8</v>
      </c>
      <c r="G78" s="31">
        <v>657.87</v>
      </c>
      <c r="H78" s="118">
        <f t="shared" si="11"/>
        <v>0.5262960000000001</v>
      </c>
      <c r="I78" s="12">
        <v>0</v>
      </c>
    </row>
    <row r="79" spans="1:22" s="58" customFormat="1" ht="15.75" hidden="1" customHeight="1">
      <c r="A79" s="25">
        <v>21</v>
      </c>
      <c r="B79" s="32" t="s">
        <v>73</v>
      </c>
      <c r="C79" s="150" t="s">
        <v>31</v>
      </c>
      <c r="D79" s="32" t="s">
        <v>66</v>
      </c>
      <c r="E79" s="16">
        <v>1</v>
      </c>
      <c r="F79" s="148">
        <v>1</v>
      </c>
      <c r="G79" s="31">
        <v>1118.72</v>
      </c>
      <c r="H79" s="118">
        <f t="shared" si="11"/>
        <v>1.1187199999999999</v>
      </c>
      <c r="I79" s="12">
        <v>0</v>
      </c>
    </row>
    <row r="80" spans="1:22" s="58" customFormat="1" ht="15.75" hidden="1" customHeight="1">
      <c r="A80" s="25"/>
      <c r="B80" s="167" t="s">
        <v>75</v>
      </c>
      <c r="C80" s="150"/>
      <c r="D80" s="32"/>
      <c r="E80" s="16"/>
      <c r="F80" s="31"/>
      <c r="G80" s="31" t="s">
        <v>149</v>
      </c>
      <c r="H80" s="118" t="s">
        <v>149</v>
      </c>
      <c r="I80" s="12" t="str">
        <f>G80</f>
        <v xml:space="preserve"> </v>
      </c>
    </row>
    <row r="81" spans="1:9" s="58" customFormat="1" ht="15.75" hidden="1" customHeight="1">
      <c r="A81" s="25"/>
      <c r="B81" s="154" t="s">
        <v>141</v>
      </c>
      <c r="C81" s="151" t="s">
        <v>76</v>
      </c>
      <c r="D81" s="149"/>
      <c r="E81" s="155"/>
      <c r="F81" s="141">
        <v>0.6</v>
      </c>
      <c r="G81" s="141">
        <v>3619.09</v>
      </c>
      <c r="H81" s="118">
        <f t="shared" si="8"/>
        <v>2.1714540000000002</v>
      </c>
      <c r="I81" s="12">
        <v>0</v>
      </c>
    </row>
    <row r="82" spans="1:9" s="58" customFormat="1" ht="15.75" hidden="1" customHeight="1">
      <c r="A82" s="25"/>
      <c r="B82" s="111" t="s">
        <v>138</v>
      </c>
      <c r="C82" s="12"/>
      <c r="D82" s="12"/>
      <c r="E82" s="12"/>
      <c r="F82" s="12"/>
      <c r="G82" s="12"/>
      <c r="H82" s="12"/>
      <c r="I82" s="12"/>
    </row>
    <row r="83" spans="1:9" s="58" customFormat="1" ht="15.75" hidden="1" customHeight="1">
      <c r="A83" s="25"/>
      <c r="B83" s="129" t="s">
        <v>139</v>
      </c>
      <c r="C83" s="156"/>
      <c r="D83" s="157"/>
      <c r="E83" s="158"/>
      <c r="F83" s="159">
        <v>1</v>
      </c>
      <c r="G83" s="159">
        <v>30235</v>
      </c>
      <c r="H83" s="118">
        <f>G83*F83/1000</f>
        <v>30.234999999999999</v>
      </c>
      <c r="I83" s="12">
        <f>G83</f>
        <v>30235</v>
      </c>
    </row>
    <row r="84" spans="1:9" s="58" customFormat="1" ht="15.75" customHeight="1">
      <c r="A84" s="173" t="s">
        <v>174</v>
      </c>
      <c r="B84" s="174"/>
      <c r="C84" s="174"/>
      <c r="D84" s="174"/>
      <c r="E84" s="174"/>
      <c r="F84" s="174"/>
      <c r="G84" s="174"/>
      <c r="H84" s="174"/>
      <c r="I84" s="175"/>
    </row>
    <row r="85" spans="1:9" s="58" customFormat="1" ht="15.75" customHeight="1">
      <c r="A85" s="90">
        <v>16</v>
      </c>
      <c r="B85" s="129" t="s">
        <v>142</v>
      </c>
      <c r="C85" s="150" t="s">
        <v>53</v>
      </c>
      <c r="D85" s="160" t="s">
        <v>54</v>
      </c>
      <c r="E85" s="31">
        <v>3931</v>
      </c>
      <c r="F85" s="31">
        <f>SUM(E85*12)</f>
        <v>47172</v>
      </c>
      <c r="G85" s="31">
        <v>3.1</v>
      </c>
      <c r="H85" s="118">
        <f>SUM(F85*G85/1000)</f>
        <v>146.23320000000001</v>
      </c>
      <c r="I85" s="12">
        <f>F85/12*G85</f>
        <v>12186.1</v>
      </c>
    </row>
    <row r="86" spans="1:9" s="58" customFormat="1" ht="31.5" customHeight="1">
      <c r="A86" s="25">
        <v>17</v>
      </c>
      <c r="B86" s="32" t="s">
        <v>77</v>
      </c>
      <c r="C86" s="150"/>
      <c r="D86" s="160" t="s">
        <v>54</v>
      </c>
      <c r="E86" s="131">
        <f>E85</f>
        <v>3931</v>
      </c>
      <c r="F86" s="31">
        <f>E86*12</f>
        <v>47172</v>
      </c>
      <c r="G86" s="31">
        <v>3.5</v>
      </c>
      <c r="H86" s="118">
        <f>F86*G86/1000</f>
        <v>165.102</v>
      </c>
      <c r="I86" s="12">
        <f>F86/12*G86</f>
        <v>13758.5</v>
      </c>
    </row>
    <row r="87" spans="1:9" s="58" customFormat="1" ht="15.75" customHeight="1">
      <c r="A87" s="25"/>
      <c r="B87" s="33" t="s">
        <v>80</v>
      </c>
      <c r="C87" s="82"/>
      <c r="D87" s="81"/>
      <c r="E87" s="67"/>
      <c r="F87" s="67"/>
      <c r="G87" s="67"/>
      <c r="H87" s="83">
        <f>H86</f>
        <v>165.102</v>
      </c>
      <c r="I87" s="67">
        <f>I16+I17+I18+I25+I26+I37+I38+I39+I40+I42+I56+I57+I59+I63+I74+I85+I86</f>
        <v>75413.794678333332</v>
      </c>
    </row>
    <row r="88" spans="1:9" s="58" customFormat="1" ht="15.75" customHeight="1">
      <c r="A88" s="188" t="s">
        <v>59</v>
      </c>
      <c r="B88" s="189"/>
      <c r="C88" s="189"/>
      <c r="D88" s="189"/>
      <c r="E88" s="189"/>
      <c r="F88" s="189"/>
      <c r="G88" s="189"/>
      <c r="H88" s="189"/>
      <c r="I88" s="190"/>
    </row>
    <row r="89" spans="1:9" s="58" customFormat="1" ht="15.75" customHeight="1">
      <c r="A89" s="25">
        <v>18</v>
      </c>
      <c r="B89" s="42" t="s">
        <v>82</v>
      </c>
      <c r="C89" s="43" t="s">
        <v>96</v>
      </c>
      <c r="D89" s="32"/>
      <c r="E89" s="16"/>
      <c r="F89" s="31">
        <v>7</v>
      </c>
      <c r="G89" s="31">
        <v>189.88</v>
      </c>
      <c r="H89" s="118">
        <f>G89*F89/1000</f>
        <v>1.3291599999999999</v>
      </c>
      <c r="I89" s="85">
        <f>G89*3</f>
        <v>569.64</v>
      </c>
    </row>
    <row r="90" spans="1:9" s="58" customFormat="1" ht="31.5" customHeight="1">
      <c r="A90" s="25">
        <v>19</v>
      </c>
      <c r="B90" s="42" t="s">
        <v>91</v>
      </c>
      <c r="C90" s="43" t="s">
        <v>154</v>
      </c>
      <c r="D90" s="32"/>
      <c r="E90" s="16"/>
      <c r="F90" s="31">
        <v>1</v>
      </c>
      <c r="G90" s="31">
        <v>589.84</v>
      </c>
      <c r="H90" s="118">
        <f>G90*F90/1000</f>
        <v>0.58984000000000003</v>
      </c>
      <c r="I90" s="85">
        <f t="shared" ref="I90:I91" si="12">G90</f>
        <v>589.84</v>
      </c>
    </row>
    <row r="91" spans="1:9" s="58" customFormat="1" ht="31.5" customHeight="1">
      <c r="A91" s="25">
        <v>20</v>
      </c>
      <c r="B91" s="168" t="s">
        <v>243</v>
      </c>
      <c r="C91" s="153" t="s">
        <v>152</v>
      </c>
      <c r="D91" s="161"/>
      <c r="E91" s="31"/>
      <c r="F91" s="31">
        <v>1</v>
      </c>
      <c r="G91" s="31">
        <v>1934.94</v>
      </c>
      <c r="H91" s="118">
        <f t="shared" ref="H91" si="13">G91*F91/1000</f>
        <v>1.9349400000000001</v>
      </c>
      <c r="I91" s="85">
        <f t="shared" si="12"/>
        <v>1934.94</v>
      </c>
    </row>
    <row r="92" spans="1:9" s="58" customFormat="1" ht="15.75" customHeight="1">
      <c r="A92" s="25">
        <v>21</v>
      </c>
      <c r="B92" s="119" t="s">
        <v>185</v>
      </c>
      <c r="C92" s="86" t="s">
        <v>99</v>
      </c>
      <c r="D92" s="13"/>
      <c r="E92" s="17"/>
      <c r="F92" s="12">
        <f>(15)/3</f>
        <v>5</v>
      </c>
      <c r="G92" s="12">
        <v>1120.8900000000001</v>
      </c>
      <c r="H92" s="78">
        <f>G92*F92/1000</f>
        <v>5.6044500000000008</v>
      </c>
      <c r="I92" s="126">
        <f>G92*(15/3)</f>
        <v>5604.4500000000007</v>
      </c>
    </row>
    <row r="93" spans="1:9" s="58" customFormat="1" ht="15.75" customHeight="1">
      <c r="A93" s="25">
        <v>22</v>
      </c>
      <c r="B93" s="127" t="s">
        <v>244</v>
      </c>
      <c r="C93" s="128" t="s">
        <v>154</v>
      </c>
      <c r="D93" s="32"/>
      <c r="E93" s="16"/>
      <c r="F93" s="31">
        <v>1</v>
      </c>
      <c r="G93" s="31">
        <v>86.15</v>
      </c>
      <c r="H93" s="118">
        <f t="shared" ref="H93:H94" si="14">G93*F93/1000</f>
        <v>8.6150000000000004E-2</v>
      </c>
      <c r="I93" s="126">
        <f>G93</f>
        <v>86.15</v>
      </c>
    </row>
    <row r="94" spans="1:9" s="58" customFormat="1" ht="15.75" customHeight="1">
      <c r="A94" s="25">
        <v>23</v>
      </c>
      <c r="B94" s="127" t="s">
        <v>245</v>
      </c>
      <c r="C94" s="128" t="s">
        <v>246</v>
      </c>
      <c r="D94" s="32"/>
      <c r="E94" s="16"/>
      <c r="F94" s="31">
        <v>1</v>
      </c>
      <c r="G94" s="31">
        <v>107624</v>
      </c>
      <c r="H94" s="118">
        <f t="shared" si="14"/>
        <v>107.624</v>
      </c>
      <c r="I94" s="126">
        <f>G94</f>
        <v>107624</v>
      </c>
    </row>
    <row r="95" spans="1:9" ht="15.75" customHeight="1">
      <c r="A95" s="25"/>
      <c r="B95" s="87" t="s">
        <v>50</v>
      </c>
      <c r="C95" s="34"/>
      <c r="D95" s="40"/>
      <c r="E95" s="34">
        <v>1</v>
      </c>
      <c r="F95" s="34"/>
      <c r="G95" s="34"/>
      <c r="H95" s="34"/>
      <c r="I95" s="29">
        <f>SUM(I89:I94)</f>
        <v>116409.02</v>
      </c>
    </row>
    <row r="96" spans="1:9" ht="15.75" customHeight="1">
      <c r="A96" s="25"/>
      <c r="B96" s="39" t="s">
        <v>78</v>
      </c>
      <c r="C96" s="14"/>
      <c r="D96" s="14"/>
      <c r="E96" s="35"/>
      <c r="F96" s="35"/>
      <c r="G96" s="36"/>
      <c r="H96" s="36"/>
      <c r="I96" s="16">
        <v>0</v>
      </c>
    </row>
    <row r="97" spans="1:9">
      <c r="A97" s="41"/>
      <c r="B97" s="38" t="s">
        <v>188</v>
      </c>
      <c r="C97" s="30"/>
      <c r="D97" s="30"/>
      <c r="E97" s="30"/>
      <c r="F97" s="30"/>
      <c r="G97" s="30"/>
      <c r="H97" s="30"/>
      <c r="I97" s="37">
        <f>I87+I95</f>
        <v>191822.81467833335</v>
      </c>
    </row>
    <row r="98" spans="1:9" ht="15.75">
      <c r="A98" s="187" t="s">
        <v>262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>
      <c r="A99" s="106"/>
      <c r="B99" s="181" t="s">
        <v>263</v>
      </c>
      <c r="C99" s="181"/>
      <c r="D99" s="181"/>
      <c r="E99" s="181"/>
      <c r="F99" s="181"/>
      <c r="G99" s="181"/>
      <c r="H99" s="57"/>
      <c r="I99" s="3"/>
    </row>
    <row r="100" spans="1:9" ht="15.75" customHeight="1">
      <c r="A100" s="109"/>
      <c r="B100" s="177" t="s">
        <v>6</v>
      </c>
      <c r="C100" s="177"/>
      <c r="D100" s="177"/>
      <c r="E100" s="177"/>
      <c r="F100" s="177"/>
      <c r="G100" s="177"/>
      <c r="H100" s="20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182" t="s">
        <v>7</v>
      </c>
      <c r="B102" s="182"/>
      <c r="C102" s="182"/>
      <c r="D102" s="182"/>
      <c r="E102" s="182"/>
      <c r="F102" s="182"/>
      <c r="G102" s="182"/>
      <c r="H102" s="182"/>
      <c r="I102" s="182"/>
    </row>
    <row r="103" spans="1:9" ht="15.75">
      <c r="A103" s="182" t="s">
        <v>8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 customHeight="1">
      <c r="A104" s="183" t="s">
        <v>60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ht="15.75">
      <c r="A105" s="10"/>
    </row>
    <row r="106" spans="1:9" ht="15.75">
      <c r="A106" s="184" t="s">
        <v>9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>
      <c r="A107" s="4"/>
    </row>
    <row r="108" spans="1:9" ht="15.75">
      <c r="B108" s="110" t="s">
        <v>10</v>
      </c>
      <c r="C108" s="176" t="s">
        <v>92</v>
      </c>
      <c r="D108" s="176"/>
      <c r="E108" s="176"/>
      <c r="F108" s="55"/>
      <c r="I108" s="108"/>
    </row>
    <row r="109" spans="1:9">
      <c r="A109" s="109"/>
      <c r="C109" s="177" t="s">
        <v>11</v>
      </c>
      <c r="D109" s="177"/>
      <c r="E109" s="177"/>
      <c r="F109" s="20"/>
      <c r="I109" s="107" t="s">
        <v>12</v>
      </c>
    </row>
    <row r="110" spans="1:9" ht="15.75">
      <c r="A110" s="21"/>
      <c r="C110" s="11"/>
      <c r="D110" s="11"/>
      <c r="G110" s="11"/>
      <c r="H110" s="11"/>
    </row>
    <row r="111" spans="1:9" ht="15.75">
      <c r="B111" s="110" t="s">
        <v>13</v>
      </c>
      <c r="C111" s="178"/>
      <c r="D111" s="178"/>
      <c r="E111" s="178"/>
      <c r="F111" s="56"/>
      <c r="I111" s="108"/>
    </row>
    <row r="112" spans="1:9">
      <c r="A112" s="109"/>
      <c r="C112" s="179" t="s">
        <v>11</v>
      </c>
      <c r="D112" s="179"/>
      <c r="E112" s="179"/>
      <c r="F112" s="109"/>
      <c r="I112" s="107" t="s">
        <v>12</v>
      </c>
    </row>
    <row r="113" spans="1:9" ht="15.75">
      <c r="A113" s="4" t="s">
        <v>14</v>
      </c>
    </row>
    <row r="114" spans="1:9" ht="15" customHeight="1">
      <c r="A114" s="180" t="s">
        <v>15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45" customHeight="1">
      <c r="A115" s="169" t="s">
        <v>16</v>
      </c>
      <c r="B115" s="169"/>
      <c r="C115" s="169"/>
      <c r="D115" s="169"/>
      <c r="E115" s="169"/>
      <c r="F115" s="169"/>
      <c r="G115" s="169"/>
      <c r="H115" s="169"/>
      <c r="I115" s="169"/>
    </row>
    <row r="116" spans="1:9" ht="30" customHeight="1">
      <c r="A116" s="169" t="s">
        <v>17</v>
      </c>
      <c r="B116" s="169"/>
      <c r="C116" s="169"/>
      <c r="D116" s="169"/>
      <c r="E116" s="169"/>
      <c r="F116" s="169"/>
      <c r="G116" s="169"/>
      <c r="H116" s="169"/>
      <c r="I116" s="169"/>
    </row>
    <row r="117" spans="1:9" ht="30" customHeight="1">
      <c r="A117" s="169" t="s">
        <v>21</v>
      </c>
      <c r="B117" s="169"/>
      <c r="C117" s="169"/>
      <c r="D117" s="169"/>
      <c r="E117" s="169"/>
      <c r="F117" s="169"/>
      <c r="G117" s="169"/>
      <c r="H117" s="169"/>
      <c r="I117" s="169"/>
    </row>
    <row r="118" spans="1:9" ht="15" customHeight="1">
      <c r="A118" s="169" t="s">
        <v>20</v>
      </c>
      <c r="B118" s="169"/>
      <c r="C118" s="169"/>
      <c r="D118" s="169"/>
      <c r="E118" s="169"/>
      <c r="F118" s="169"/>
      <c r="G118" s="169"/>
      <c r="H118" s="169"/>
      <c r="I118" s="169"/>
    </row>
  </sheetData>
  <autoFilter ref="I12:I65"/>
  <mergeCells count="29"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R70:U70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247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248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26">
        <v>43100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241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.7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129" t="s">
        <v>90</v>
      </c>
      <c r="C16" s="130" t="s">
        <v>103</v>
      </c>
      <c r="D16" s="129" t="s">
        <v>183</v>
      </c>
      <c r="E16" s="131">
        <v>95.04</v>
      </c>
      <c r="F16" s="132">
        <f>SUM(E16*156/100)</f>
        <v>148.26240000000001</v>
      </c>
      <c r="G16" s="132">
        <v>230</v>
      </c>
      <c r="H16" s="133">
        <f t="shared" ref="H16:H24" si="0">SUM(F16*G16/1000)</f>
        <v>34.100352000000008</v>
      </c>
      <c r="I16" s="12">
        <f>F16/12*G16</f>
        <v>2841.6960000000004</v>
      </c>
    </row>
    <row r="17" spans="1:10" s="58" customFormat="1" ht="15.75" customHeight="1">
      <c r="A17" s="25">
        <v>2</v>
      </c>
      <c r="B17" s="129" t="s">
        <v>101</v>
      </c>
      <c r="C17" s="130" t="s">
        <v>103</v>
      </c>
      <c r="D17" s="129" t="s">
        <v>182</v>
      </c>
      <c r="E17" s="131">
        <v>380.16</v>
      </c>
      <c r="F17" s="132">
        <f>SUM(E17*104/100)</f>
        <v>395.3664</v>
      </c>
      <c r="G17" s="132">
        <v>230</v>
      </c>
      <c r="H17" s="133">
        <f t="shared" si="0"/>
        <v>90.934271999999993</v>
      </c>
      <c r="I17" s="12">
        <f t="shared" ref="I17:I18" si="1">F17/12*G17</f>
        <v>7577.8560000000007</v>
      </c>
      <c r="J17" s="59"/>
    </row>
    <row r="18" spans="1:10" s="58" customFormat="1" ht="15.75" customHeight="1">
      <c r="A18" s="25">
        <v>3</v>
      </c>
      <c r="B18" s="129" t="s">
        <v>102</v>
      </c>
      <c r="C18" s="130" t="s">
        <v>103</v>
      </c>
      <c r="D18" s="129" t="s">
        <v>181</v>
      </c>
      <c r="E18" s="131">
        <f>SUM(E16+E17)</f>
        <v>475.20000000000005</v>
      </c>
      <c r="F18" s="132">
        <f>SUM(E18*24/100)</f>
        <v>114.04800000000002</v>
      </c>
      <c r="G18" s="132">
        <v>661.67</v>
      </c>
      <c r="H18" s="133">
        <f t="shared" si="0"/>
        <v>75.462140160000004</v>
      </c>
      <c r="I18" s="12">
        <f t="shared" si="1"/>
        <v>6288.5116800000005</v>
      </c>
      <c r="J18" s="59"/>
    </row>
    <row r="19" spans="1:10" s="58" customFormat="1" ht="15.75" hidden="1" customHeight="1">
      <c r="A19" s="25">
        <v>4</v>
      </c>
      <c r="B19" s="129" t="s">
        <v>104</v>
      </c>
      <c r="C19" s="130" t="s">
        <v>105</v>
      </c>
      <c r="D19" s="129" t="s">
        <v>106</v>
      </c>
      <c r="E19" s="131">
        <v>57.6</v>
      </c>
      <c r="F19" s="132">
        <f>SUM(E19/10)</f>
        <v>5.76</v>
      </c>
      <c r="G19" s="132">
        <v>223.17</v>
      </c>
      <c r="H19" s="133">
        <f t="shared" si="0"/>
        <v>1.2854591999999998</v>
      </c>
      <c r="I19" s="12">
        <v>0</v>
      </c>
      <c r="J19" s="59"/>
    </row>
    <row r="20" spans="1:10" s="58" customFormat="1" ht="15.75" hidden="1" customHeight="1">
      <c r="A20" s="25">
        <v>5</v>
      </c>
      <c r="B20" s="129" t="s">
        <v>107</v>
      </c>
      <c r="C20" s="130" t="s">
        <v>103</v>
      </c>
      <c r="D20" s="129" t="s">
        <v>41</v>
      </c>
      <c r="E20" s="131">
        <v>43.2</v>
      </c>
      <c r="F20" s="132">
        <f>SUM(E20*2/100)</f>
        <v>0.8640000000000001</v>
      </c>
      <c r="G20" s="132">
        <v>285.76</v>
      </c>
      <c r="H20" s="133">
        <f t="shared" si="0"/>
        <v>0.24689664000000003</v>
      </c>
      <c r="I20" s="12">
        <v>0</v>
      </c>
      <c r="J20" s="59"/>
    </row>
    <row r="21" spans="1:10" s="58" customFormat="1" ht="15.75" hidden="1" customHeight="1">
      <c r="A21" s="25">
        <v>6</v>
      </c>
      <c r="B21" s="129" t="s">
        <v>108</v>
      </c>
      <c r="C21" s="130" t="s">
        <v>103</v>
      </c>
      <c r="D21" s="129" t="s">
        <v>41</v>
      </c>
      <c r="E21" s="131">
        <v>10.08</v>
      </c>
      <c r="F21" s="132">
        <f>SUM(E21*2/100)</f>
        <v>0.2016</v>
      </c>
      <c r="G21" s="132">
        <v>283.44</v>
      </c>
      <c r="H21" s="133">
        <f t="shared" si="0"/>
        <v>5.7141503999999996E-2</v>
      </c>
      <c r="I21" s="12">
        <v>0</v>
      </c>
      <c r="J21" s="59"/>
    </row>
    <row r="22" spans="1:10" s="58" customFormat="1" ht="15.75" hidden="1" customHeight="1">
      <c r="A22" s="25">
        <v>7</v>
      </c>
      <c r="B22" s="129" t="s">
        <v>109</v>
      </c>
      <c r="C22" s="130" t="s">
        <v>51</v>
      </c>
      <c r="D22" s="129" t="s">
        <v>106</v>
      </c>
      <c r="E22" s="131">
        <v>642.6</v>
      </c>
      <c r="F22" s="132">
        <f>SUM(E22/100)</f>
        <v>6.4260000000000002</v>
      </c>
      <c r="G22" s="132">
        <v>353.14</v>
      </c>
      <c r="H22" s="133">
        <f t="shared" si="0"/>
        <v>2.2692776399999999</v>
      </c>
      <c r="I22" s="12">
        <v>0</v>
      </c>
      <c r="J22" s="59"/>
    </row>
    <row r="23" spans="1:10" s="58" customFormat="1" ht="15.75" hidden="1" customHeight="1">
      <c r="A23" s="25">
        <v>8</v>
      </c>
      <c r="B23" s="129" t="s">
        <v>110</v>
      </c>
      <c r="C23" s="130" t="s">
        <v>51</v>
      </c>
      <c r="D23" s="129" t="s">
        <v>106</v>
      </c>
      <c r="E23" s="134">
        <v>35.28</v>
      </c>
      <c r="F23" s="132">
        <f>SUM(E23/100)</f>
        <v>0.3528</v>
      </c>
      <c r="G23" s="132">
        <v>58.08</v>
      </c>
      <c r="H23" s="133">
        <f t="shared" si="0"/>
        <v>2.0490623999999999E-2</v>
      </c>
      <c r="I23" s="12">
        <v>0</v>
      </c>
      <c r="J23" s="59"/>
    </row>
    <row r="24" spans="1:10" s="58" customFormat="1" ht="15.75" hidden="1" customHeight="1">
      <c r="A24" s="25">
        <v>9</v>
      </c>
      <c r="B24" s="129" t="s">
        <v>111</v>
      </c>
      <c r="C24" s="130" t="s">
        <v>51</v>
      </c>
      <c r="D24" s="129" t="s">
        <v>106</v>
      </c>
      <c r="E24" s="131">
        <v>28.8</v>
      </c>
      <c r="F24" s="132">
        <f>SUM(E24/100)</f>
        <v>0.28800000000000003</v>
      </c>
      <c r="G24" s="132">
        <v>683.05</v>
      </c>
      <c r="H24" s="133">
        <f t="shared" si="0"/>
        <v>0.19671840000000002</v>
      </c>
      <c r="I24" s="12">
        <v>0</v>
      </c>
      <c r="J24" s="59"/>
    </row>
    <row r="25" spans="1:10" s="58" customFormat="1" ht="15.75" customHeight="1">
      <c r="A25" s="25">
        <v>4</v>
      </c>
      <c r="B25" s="129" t="s">
        <v>63</v>
      </c>
      <c r="C25" s="130" t="s">
        <v>33</v>
      </c>
      <c r="D25" s="129" t="s">
        <v>227</v>
      </c>
      <c r="E25" s="136">
        <v>0.1</v>
      </c>
      <c r="F25" s="132">
        <f>SUM(E25*182)</f>
        <v>18.2</v>
      </c>
      <c r="G25" s="132">
        <v>264.85000000000002</v>
      </c>
      <c r="H25" s="133">
        <f>SUM(F25*G25/1000)</f>
        <v>4.8202700000000007</v>
      </c>
      <c r="I25" s="12">
        <f>F25/12*G25</f>
        <v>401.68916666666667</v>
      </c>
      <c r="J25" s="59"/>
    </row>
    <row r="26" spans="1:10" s="58" customFormat="1" ht="15.75" customHeight="1">
      <c r="A26" s="25">
        <v>5</v>
      </c>
      <c r="B26" s="137" t="s">
        <v>23</v>
      </c>
      <c r="C26" s="130" t="s">
        <v>24</v>
      </c>
      <c r="D26" s="137" t="s">
        <v>149</v>
      </c>
      <c r="E26" s="131">
        <v>3931</v>
      </c>
      <c r="F26" s="132">
        <f>SUM(E26*12)</f>
        <v>47172</v>
      </c>
      <c r="G26" s="132">
        <v>3.64</v>
      </c>
      <c r="H26" s="133">
        <f>SUM(F26*G26/1000)</f>
        <v>171.70608000000001</v>
      </c>
      <c r="I26" s="12">
        <f>F26/12*G26</f>
        <v>14308.84</v>
      </c>
      <c r="J26" s="59"/>
    </row>
    <row r="27" spans="1:10" s="58" customFormat="1" ht="15.75" customHeight="1">
      <c r="A27" s="170" t="s">
        <v>235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hidden="1" customHeight="1">
      <c r="A28" s="25"/>
      <c r="B28" s="163" t="s">
        <v>28</v>
      </c>
      <c r="C28" s="130"/>
      <c r="D28" s="129"/>
      <c r="E28" s="131"/>
      <c r="F28" s="132"/>
      <c r="G28" s="132"/>
      <c r="H28" s="133"/>
      <c r="I28" s="12"/>
      <c r="J28" s="59"/>
    </row>
    <row r="29" spans="1:10" s="58" customFormat="1" ht="15.75" hidden="1" customHeight="1">
      <c r="A29" s="25">
        <v>6</v>
      </c>
      <c r="B29" s="129" t="s">
        <v>112</v>
      </c>
      <c r="C29" s="130" t="s">
        <v>113</v>
      </c>
      <c r="D29" s="129" t="s">
        <v>114</v>
      </c>
      <c r="E29" s="132">
        <v>271.95</v>
      </c>
      <c r="F29" s="132">
        <f>SUM(E29*52/1000)</f>
        <v>14.141399999999999</v>
      </c>
      <c r="G29" s="132">
        <v>204.44</v>
      </c>
      <c r="H29" s="133">
        <f t="shared" ref="H29:H35" si="2">SUM(F29*G29/1000)</f>
        <v>2.8910678159999996</v>
      </c>
      <c r="I29" s="12">
        <f>F29/6*G29</f>
        <v>481.84463599999998</v>
      </c>
      <c r="J29" s="59"/>
    </row>
    <row r="30" spans="1:10" s="58" customFormat="1" ht="15.75" hidden="1" customHeight="1">
      <c r="A30" s="25">
        <v>7</v>
      </c>
      <c r="B30" s="129" t="s">
        <v>164</v>
      </c>
      <c r="C30" s="130" t="s">
        <v>113</v>
      </c>
      <c r="D30" s="129" t="s">
        <v>225</v>
      </c>
      <c r="E30" s="132">
        <v>83.7</v>
      </c>
      <c r="F30" s="132">
        <f>SUM(E30*52/1000)</f>
        <v>4.3524000000000003</v>
      </c>
      <c r="G30" s="132">
        <v>339.21</v>
      </c>
      <c r="H30" s="133">
        <f t="shared" si="2"/>
        <v>1.4763776040000001</v>
      </c>
      <c r="I30" s="12">
        <f t="shared" ref="I30:I42" si="3">F30/6*G30</f>
        <v>246.06293400000001</v>
      </c>
      <c r="J30" s="59"/>
    </row>
    <row r="31" spans="1:10" s="58" customFormat="1" ht="15.75" hidden="1" customHeight="1">
      <c r="A31" s="25">
        <v>5</v>
      </c>
      <c r="B31" s="129" t="s">
        <v>27</v>
      </c>
      <c r="C31" s="130" t="s">
        <v>113</v>
      </c>
      <c r="D31" s="129" t="s">
        <v>52</v>
      </c>
      <c r="E31" s="132">
        <v>271.95</v>
      </c>
      <c r="F31" s="132">
        <f>SUM(E31/1000)</f>
        <v>0.27194999999999997</v>
      </c>
      <c r="G31" s="132">
        <v>3961.23</v>
      </c>
      <c r="H31" s="133">
        <f t="shared" si="2"/>
        <v>1.0772564984999999</v>
      </c>
      <c r="I31" s="12">
        <v>0</v>
      </c>
      <c r="J31" s="59"/>
    </row>
    <row r="32" spans="1:10" s="58" customFormat="1" ht="15.75" hidden="1" customHeight="1">
      <c r="A32" s="25">
        <v>8</v>
      </c>
      <c r="B32" s="129" t="s">
        <v>116</v>
      </c>
      <c r="C32" s="130" t="s">
        <v>39</v>
      </c>
      <c r="D32" s="129" t="s">
        <v>226</v>
      </c>
      <c r="E32" s="132">
        <v>6</v>
      </c>
      <c r="F32" s="132">
        <f>SUM(E32*48/100)</f>
        <v>2.88</v>
      </c>
      <c r="G32" s="132">
        <v>1707.63</v>
      </c>
      <c r="H32" s="133">
        <f>G32*F32/1000</f>
        <v>4.9179744000000003</v>
      </c>
      <c r="I32" s="12">
        <f t="shared" si="3"/>
        <v>819.66240000000005</v>
      </c>
      <c r="J32" s="59"/>
    </row>
    <row r="33" spans="1:14" s="58" customFormat="1" ht="15.75" hidden="1" customHeight="1">
      <c r="A33" s="25">
        <v>9</v>
      </c>
      <c r="B33" s="129" t="s">
        <v>117</v>
      </c>
      <c r="C33" s="130" t="s">
        <v>31</v>
      </c>
      <c r="D33" s="129" t="s">
        <v>62</v>
      </c>
      <c r="E33" s="135">
        <f>1/3</f>
        <v>0.33333333333333331</v>
      </c>
      <c r="F33" s="132">
        <f>155/3</f>
        <v>51.666666666666664</v>
      </c>
      <c r="G33" s="132">
        <v>74.349999999999994</v>
      </c>
      <c r="H33" s="133">
        <f>SUM(G33*155/3/1000)</f>
        <v>3.8414166666666665</v>
      </c>
      <c r="I33" s="12">
        <f t="shared" si="3"/>
        <v>640.23611111111109</v>
      </c>
      <c r="J33" s="59"/>
    </row>
    <row r="34" spans="1:14" s="58" customFormat="1" ht="15.75" hidden="1" customHeight="1">
      <c r="A34" s="25">
        <v>6</v>
      </c>
      <c r="B34" s="129" t="s">
        <v>64</v>
      </c>
      <c r="C34" s="130" t="s">
        <v>33</v>
      </c>
      <c r="D34" s="129" t="s">
        <v>66</v>
      </c>
      <c r="E34" s="131"/>
      <c r="F34" s="132">
        <v>2</v>
      </c>
      <c r="G34" s="132">
        <v>250.92</v>
      </c>
      <c r="H34" s="133">
        <f t="shared" si="2"/>
        <v>0.50183999999999995</v>
      </c>
      <c r="I34" s="12">
        <v>0</v>
      </c>
      <c r="J34" s="59"/>
    </row>
    <row r="35" spans="1:14" s="58" customFormat="1" ht="15.75" hidden="1" customHeight="1">
      <c r="A35" s="25">
        <v>7</v>
      </c>
      <c r="B35" s="129" t="s">
        <v>65</v>
      </c>
      <c r="C35" s="130" t="s">
        <v>32</v>
      </c>
      <c r="D35" s="129" t="s">
        <v>66</v>
      </c>
      <c r="E35" s="131"/>
      <c r="F35" s="132">
        <v>1</v>
      </c>
      <c r="G35" s="132">
        <v>1490.33</v>
      </c>
      <c r="H35" s="133">
        <f t="shared" si="2"/>
        <v>1.4903299999999999</v>
      </c>
      <c r="I35" s="12">
        <v>0</v>
      </c>
      <c r="J35" s="59"/>
    </row>
    <row r="36" spans="1:14" s="58" customFormat="1" ht="15.75" customHeight="1">
      <c r="A36" s="25"/>
      <c r="B36" s="162" t="s">
        <v>5</v>
      </c>
      <c r="C36" s="130"/>
      <c r="D36" s="129"/>
      <c r="E36" s="131"/>
      <c r="F36" s="132"/>
      <c r="G36" s="132"/>
      <c r="H36" s="133" t="s">
        <v>149</v>
      </c>
      <c r="I36" s="12"/>
      <c r="J36" s="59"/>
    </row>
    <row r="37" spans="1:14" s="58" customFormat="1" ht="15.75" customHeight="1">
      <c r="A37" s="25">
        <v>6</v>
      </c>
      <c r="B37" s="138" t="s">
        <v>26</v>
      </c>
      <c r="C37" s="130" t="s">
        <v>32</v>
      </c>
      <c r="D37" s="129"/>
      <c r="E37" s="131"/>
      <c r="F37" s="132">
        <v>5</v>
      </c>
      <c r="G37" s="132">
        <v>2003</v>
      </c>
      <c r="H37" s="133">
        <f t="shared" ref="H37:H42" si="4">SUM(F37*G37/1000)</f>
        <v>10.015000000000001</v>
      </c>
      <c r="I37" s="12">
        <f t="shared" si="3"/>
        <v>1669.1666666666667</v>
      </c>
      <c r="J37" s="59"/>
    </row>
    <row r="38" spans="1:14" s="58" customFormat="1" ht="15.75" customHeight="1">
      <c r="A38" s="25">
        <v>7</v>
      </c>
      <c r="B38" s="138" t="s">
        <v>228</v>
      </c>
      <c r="C38" s="139" t="s">
        <v>29</v>
      </c>
      <c r="D38" s="129" t="s">
        <v>120</v>
      </c>
      <c r="E38" s="131">
        <v>83.7</v>
      </c>
      <c r="F38" s="140">
        <f>E38*30/1000</f>
        <v>2.5110000000000001</v>
      </c>
      <c r="G38" s="132">
        <v>2757.78</v>
      </c>
      <c r="H38" s="133">
        <f t="shared" si="4"/>
        <v>6.9247855800000009</v>
      </c>
      <c r="I38" s="12">
        <f t="shared" si="3"/>
        <v>1154.1309300000003</v>
      </c>
      <c r="J38" s="59"/>
    </row>
    <row r="39" spans="1:14" s="58" customFormat="1" ht="15.75" customHeight="1">
      <c r="A39" s="25">
        <v>8</v>
      </c>
      <c r="B39" s="129" t="s">
        <v>67</v>
      </c>
      <c r="C39" s="130" t="s">
        <v>29</v>
      </c>
      <c r="D39" s="129" t="s">
        <v>123</v>
      </c>
      <c r="E39" s="132">
        <v>83.7</v>
      </c>
      <c r="F39" s="140">
        <f>SUM(E39*155/1000)</f>
        <v>12.9735</v>
      </c>
      <c r="G39" s="132">
        <v>460.02</v>
      </c>
      <c r="H39" s="133">
        <f t="shared" si="4"/>
        <v>5.9680694699999997</v>
      </c>
      <c r="I39" s="12">
        <f t="shared" si="3"/>
        <v>994.67824499999983</v>
      </c>
      <c r="J39" s="59"/>
    </row>
    <row r="40" spans="1:14" s="58" customFormat="1" ht="47.25" customHeight="1">
      <c r="A40" s="25">
        <v>9</v>
      </c>
      <c r="B40" s="129" t="s">
        <v>84</v>
      </c>
      <c r="C40" s="130" t="s">
        <v>113</v>
      </c>
      <c r="D40" s="129" t="s">
        <v>120</v>
      </c>
      <c r="E40" s="132">
        <v>83.7</v>
      </c>
      <c r="F40" s="140">
        <f>SUM(E40*30/1000)</f>
        <v>2.5110000000000001</v>
      </c>
      <c r="G40" s="132">
        <v>7611.16</v>
      </c>
      <c r="H40" s="133">
        <f t="shared" si="4"/>
        <v>19.111622760000003</v>
      </c>
      <c r="I40" s="12">
        <f t="shared" si="3"/>
        <v>3185.2704600000002</v>
      </c>
      <c r="J40" s="59"/>
    </row>
    <row r="41" spans="1:14" s="58" customFormat="1" ht="15.75" hidden="1" customHeight="1">
      <c r="A41" s="25">
        <v>10</v>
      </c>
      <c r="B41" s="129" t="s">
        <v>125</v>
      </c>
      <c r="C41" s="130" t="s">
        <v>113</v>
      </c>
      <c r="D41" s="129" t="s">
        <v>124</v>
      </c>
      <c r="E41" s="132">
        <v>83.7</v>
      </c>
      <c r="F41" s="140">
        <f>SUM(E41*24/1000)</f>
        <v>2.0088000000000004</v>
      </c>
      <c r="G41" s="132">
        <v>562.25</v>
      </c>
      <c r="H41" s="133">
        <f t="shared" si="4"/>
        <v>1.1294478000000001</v>
      </c>
      <c r="I41" s="12">
        <f t="shared" si="3"/>
        <v>188.24130000000002</v>
      </c>
      <c r="J41" s="59"/>
    </row>
    <row r="42" spans="1:14" s="58" customFormat="1" ht="15.75" customHeight="1">
      <c r="A42" s="25">
        <v>10</v>
      </c>
      <c r="B42" s="138" t="s">
        <v>69</v>
      </c>
      <c r="C42" s="139" t="s">
        <v>33</v>
      </c>
      <c r="D42" s="138"/>
      <c r="E42" s="136"/>
      <c r="F42" s="140">
        <v>0.9</v>
      </c>
      <c r="G42" s="140">
        <v>974.83</v>
      </c>
      <c r="H42" s="133">
        <f t="shared" si="4"/>
        <v>0.8773470000000001</v>
      </c>
      <c r="I42" s="12">
        <f t="shared" si="3"/>
        <v>146.22450000000001</v>
      </c>
      <c r="J42" s="59"/>
    </row>
    <row r="43" spans="1:14" s="58" customFormat="1" ht="15.75" customHeight="1">
      <c r="A43" s="170" t="s">
        <v>165</v>
      </c>
      <c r="B43" s="171"/>
      <c r="C43" s="171"/>
      <c r="D43" s="171"/>
      <c r="E43" s="171"/>
      <c r="F43" s="171"/>
      <c r="G43" s="171"/>
      <c r="H43" s="171"/>
      <c r="I43" s="172"/>
      <c r="J43" s="59"/>
    </row>
    <row r="44" spans="1:14" s="58" customFormat="1" ht="15.75" hidden="1" customHeight="1">
      <c r="A44" s="25">
        <v>8</v>
      </c>
      <c r="B44" s="129" t="s">
        <v>126</v>
      </c>
      <c r="C44" s="130" t="s">
        <v>113</v>
      </c>
      <c r="D44" s="129" t="s">
        <v>41</v>
      </c>
      <c r="E44" s="131">
        <v>1032.5</v>
      </c>
      <c r="F44" s="132">
        <f>SUM(E44*2/1000)</f>
        <v>2.0649999999999999</v>
      </c>
      <c r="G44" s="31">
        <v>1114.1300000000001</v>
      </c>
      <c r="H44" s="133">
        <f t="shared" ref="H44:H53" si="5">SUM(F44*G44/1000)</f>
        <v>2.3006784500000004</v>
      </c>
      <c r="I44" s="12">
        <f>F44/2*G44</f>
        <v>1150.3392250000002</v>
      </c>
      <c r="J44" s="59"/>
    </row>
    <row r="45" spans="1:14" s="58" customFormat="1" ht="15.75" hidden="1" customHeight="1">
      <c r="A45" s="25"/>
      <c r="B45" s="129" t="s">
        <v>34</v>
      </c>
      <c r="C45" s="130" t="s">
        <v>113</v>
      </c>
      <c r="D45" s="129" t="s">
        <v>41</v>
      </c>
      <c r="E45" s="131">
        <v>132</v>
      </c>
      <c r="F45" s="132">
        <f>E45*2/1000</f>
        <v>0.26400000000000001</v>
      </c>
      <c r="G45" s="31">
        <v>4419.05</v>
      </c>
      <c r="H45" s="133">
        <f t="shared" si="5"/>
        <v>1.1666292</v>
      </c>
      <c r="I45" s="12">
        <f t="shared" ref="I45:I51" si="6">F45/2*G45</f>
        <v>583.31460000000004</v>
      </c>
      <c r="J45" s="59"/>
      <c r="L45" s="18"/>
      <c r="M45" s="19"/>
      <c r="N45" s="28"/>
    </row>
    <row r="46" spans="1:14" s="58" customFormat="1" ht="15.75" hidden="1" customHeight="1">
      <c r="A46" s="25">
        <v>9</v>
      </c>
      <c r="B46" s="129" t="s">
        <v>35</v>
      </c>
      <c r="C46" s="130" t="s">
        <v>113</v>
      </c>
      <c r="D46" s="129" t="s">
        <v>41</v>
      </c>
      <c r="E46" s="131">
        <v>4248.22</v>
      </c>
      <c r="F46" s="132">
        <f>SUM(E46*2/1000)</f>
        <v>8.4964399999999998</v>
      </c>
      <c r="G46" s="31">
        <v>1803.69</v>
      </c>
      <c r="H46" s="133">
        <f t="shared" si="5"/>
        <v>15.3249438636</v>
      </c>
      <c r="I46" s="12">
        <f t="shared" si="6"/>
        <v>7662.4719317999998</v>
      </c>
      <c r="J46" s="59"/>
      <c r="L46" s="18"/>
      <c r="M46" s="19"/>
      <c r="N46" s="28"/>
    </row>
    <row r="47" spans="1:14" s="58" customFormat="1" ht="15.75" hidden="1" customHeight="1">
      <c r="A47" s="25">
        <v>10</v>
      </c>
      <c r="B47" s="129" t="s">
        <v>36</v>
      </c>
      <c r="C47" s="130" t="s">
        <v>113</v>
      </c>
      <c r="D47" s="129" t="s">
        <v>41</v>
      </c>
      <c r="E47" s="131">
        <v>2163.66</v>
      </c>
      <c r="F47" s="132">
        <f>SUM(E47*2/1000)</f>
        <v>4.3273199999999994</v>
      </c>
      <c r="G47" s="31">
        <v>1243.43</v>
      </c>
      <c r="H47" s="133">
        <f t="shared" si="5"/>
        <v>5.3807195075999994</v>
      </c>
      <c r="I47" s="12">
        <f t="shared" si="6"/>
        <v>2690.3597537999999</v>
      </c>
      <c r="J47" s="59"/>
      <c r="L47" s="18"/>
      <c r="M47" s="19"/>
      <c r="N47" s="28"/>
    </row>
    <row r="48" spans="1:14" s="58" customFormat="1" ht="15.75" customHeight="1">
      <c r="A48" s="25">
        <v>11</v>
      </c>
      <c r="B48" s="129" t="s">
        <v>55</v>
      </c>
      <c r="C48" s="130" t="s">
        <v>113</v>
      </c>
      <c r="D48" s="129" t="s">
        <v>184</v>
      </c>
      <c r="E48" s="131">
        <v>3931</v>
      </c>
      <c r="F48" s="132">
        <f>SUM(E48*5/1000)</f>
        <v>19.655000000000001</v>
      </c>
      <c r="G48" s="31">
        <v>1083.69</v>
      </c>
      <c r="H48" s="133">
        <f t="shared" si="5"/>
        <v>21.29992695</v>
      </c>
      <c r="I48" s="12">
        <f>F48/5*G48</f>
        <v>4259.9853899999998</v>
      </c>
      <c r="J48" s="59"/>
      <c r="L48" s="18"/>
      <c r="M48" s="19"/>
      <c r="N48" s="28"/>
    </row>
    <row r="49" spans="1:14" s="58" customFormat="1" ht="31.5" hidden="1" customHeight="1">
      <c r="A49" s="25">
        <v>12</v>
      </c>
      <c r="B49" s="129" t="s">
        <v>127</v>
      </c>
      <c r="C49" s="130" t="s">
        <v>113</v>
      </c>
      <c r="D49" s="129" t="s">
        <v>41</v>
      </c>
      <c r="E49" s="131">
        <v>3931</v>
      </c>
      <c r="F49" s="132">
        <f>SUM(E49*2/1000)</f>
        <v>7.8620000000000001</v>
      </c>
      <c r="G49" s="31">
        <v>1591.6</v>
      </c>
      <c r="H49" s="133">
        <f t="shared" si="5"/>
        <v>12.5131592</v>
      </c>
      <c r="I49" s="12">
        <f t="shared" si="6"/>
        <v>6256.5796</v>
      </c>
      <c r="J49" s="59"/>
      <c r="L49" s="18"/>
      <c r="M49" s="19"/>
      <c r="N49" s="28"/>
    </row>
    <row r="50" spans="1:14" s="58" customFormat="1" ht="31.5" hidden="1" customHeight="1">
      <c r="A50" s="25">
        <v>12</v>
      </c>
      <c r="B50" s="129" t="s">
        <v>128</v>
      </c>
      <c r="C50" s="130" t="s">
        <v>37</v>
      </c>
      <c r="D50" s="129" t="s">
        <v>41</v>
      </c>
      <c r="E50" s="131">
        <v>30</v>
      </c>
      <c r="F50" s="132">
        <f>SUM(E50*2/100)</f>
        <v>0.6</v>
      </c>
      <c r="G50" s="31">
        <v>4058.32</v>
      </c>
      <c r="H50" s="133">
        <f t="shared" si="5"/>
        <v>2.4349920000000003</v>
      </c>
      <c r="I50" s="12">
        <f t="shared" si="6"/>
        <v>1217.4960000000001</v>
      </c>
      <c r="J50" s="59"/>
      <c r="L50" s="18"/>
      <c r="M50" s="19"/>
      <c r="N50" s="28"/>
    </row>
    <row r="51" spans="1:14" s="58" customFormat="1" ht="15.75" hidden="1" customHeight="1">
      <c r="A51" s="25">
        <v>13</v>
      </c>
      <c r="B51" s="129" t="s">
        <v>38</v>
      </c>
      <c r="C51" s="130" t="s">
        <v>39</v>
      </c>
      <c r="D51" s="129" t="s">
        <v>41</v>
      </c>
      <c r="E51" s="131">
        <v>1</v>
      </c>
      <c r="F51" s="132">
        <v>0.02</v>
      </c>
      <c r="G51" s="31">
        <v>7412.92</v>
      </c>
      <c r="H51" s="133">
        <f t="shared" si="5"/>
        <v>0.14825839999999998</v>
      </c>
      <c r="I51" s="12">
        <f t="shared" si="6"/>
        <v>74.129199999999997</v>
      </c>
      <c r="J51" s="59"/>
      <c r="L51" s="18"/>
      <c r="M51" s="19"/>
      <c r="N51" s="28"/>
    </row>
    <row r="52" spans="1:14" s="58" customFormat="1" ht="15.75" hidden="1" customHeight="1">
      <c r="A52" s="25">
        <v>14</v>
      </c>
      <c r="B52" s="129" t="s">
        <v>129</v>
      </c>
      <c r="C52" s="130" t="s">
        <v>96</v>
      </c>
      <c r="D52" s="129" t="s">
        <v>70</v>
      </c>
      <c r="E52" s="131">
        <v>90</v>
      </c>
      <c r="F52" s="132">
        <f>E52*3</f>
        <v>270</v>
      </c>
      <c r="G52" s="31">
        <v>185.08</v>
      </c>
      <c r="H52" s="133">
        <f t="shared" si="5"/>
        <v>49.971600000000009</v>
      </c>
      <c r="I52" s="12">
        <f>F52/3*G52</f>
        <v>16657.2</v>
      </c>
      <c r="J52" s="59"/>
      <c r="L52" s="18"/>
      <c r="M52" s="19"/>
      <c r="N52" s="28"/>
    </row>
    <row r="53" spans="1:14" s="58" customFormat="1" ht="15.75" hidden="1" customHeight="1">
      <c r="A53" s="25">
        <v>15</v>
      </c>
      <c r="B53" s="129" t="s">
        <v>40</v>
      </c>
      <c r="C53" s="130" t="s">
        <v>96</v>
      </c>
      <c r="D53" s="129" t="s">
        <v>70</v>
      </c>
      <c r="E53" s="131">
        <v>180</v>
      </c>
      <c r="F53" s="132">
        <f>SUM(E53)*3</f>
        <v>540</v>
      </c>
      <c r="G53" s="141">
        <v>86.15</v>
      </c>
      <c r="H53" s="133">
        <f t="shared" si="5"/>
        <v>46.521000000000001</v>
      </c>
      <c r="I53" s="12">
        <f>F53/3*G53</f>
        <v>15507.000000000002</v>
      </c>
      <c r="J53" s="59"/>
      <c r="L53" s="18"/>
      <c r="M53" s="19"/>
      <c r="N53" s="28"/>
    </row>
    <row r="54" spans="1:14" s="58" customFormat="1" ht="15.75" customHeight="1">
      <c r="A54" s="170" t="s">
        <v>166</v>
      </c>
      <c r="B54" s="171"/>
      <c r="C54" s="171"/>
      <c r="D54" s="171"/>
      <c r="E54" s="171"/>
      <c r="F54" s="171"/>
      <c r="G54" s="171"/>
      <c r="H54" s="171"/>
      <c r="I54" s="172"/>
      <c r="J54" s="59"/>
      <c r="L54" s="18"/>
      <c r="M54" s="19"/>
      <c r="N54" s="28"/>
    </row>
    <row r="55" spans="1:14" s="58" customFormat="1" ht="15.75" customHeight="1">
      <c r="A55" s="25"/>
      <c r="B55" s="163" t="s">
        <v>42</v>
      </c>
      <c r="C55" s="130"/>
      <c r="D55" s="129"/>
      <c r="E55" s="131"/>
      <c r="F55" s="132"/>
      <c r="G55" s="132"/>
      <c r="H55" s="133"/>
      <c r="I55" s="12"/>
      <c r="J55" s="59"/>
      <c r="L55" s="18"/>
      <c r="M55" s="19"/>
      <c r="N55" s="28"/>
    </row>
    <row r="56" spans="1:14" s="58" customFormat="1" ht="31.5" customHeight="1">
      <c r="A56" s="25">
        <v>12</v>
      </c>
      <c r="B56" s="129" t="s">
        <v>144</v>
      </c>
      <c r="C56" s="130" t="s">
        <v>103</v>
      </c>
      <c r="D56" s="129" t="s">
        <v>130</v>
      </c>
      <c r="E56" s="131">
        <v>30.6</v>
      </c>
      <c r="F56" s="132">
        <f>SUM(E56*6/100)</f>
        <v>1.8360000000000003</v>
      </c>
      <c r="G56" s="31">
        <v>2029.3</v>
      </c>
      <c r="H56" s="133">
        <f>SUM(F56*G56/1000)</f>
        <v>3.7257948000000005</v>
      </c>
      <c r="I56" s="12">
        <f>F56/6*G56</f>
        <v>620.96580000000006</v>
      </c>
      <c r="J56" s="59"/>
      <c r="L56" s="18"/>
      <c r="M56" s="19"/>
      <c r="N56" s="28"/>
    </row>
    <row r="57" spans="1:14" s="58" customFormat="1" ht="31.5" customHeight="1">
      <c r="A57" s="25">
        <v>13</v>
      </c>
      <c r="B57" s="129" t="s">
        <v>94</v>
      </c>
      <c r="C57" s="130" t="s">
        <v>103</v>
      </c>
      <c r="D57" s="129" t="s">
        <v>95</v>
      </c>
      <c r="E57" s="131">
        <v>39.69</v>
      </c>
      <c r="F57" s="132">
        <f>SUM(E57*12/100)</f>
        <v>4.7627999999999995</v>
      </c>
      <c r="G57" s="31">
        <v>2029.3</v>
      </c>
      <c r="H57" s="133">
        <f>SUM(F57*G57/1000)</f>
        <v>9.6651500399999986</v>
      </c>
      <c r="I57" s="12">
        <f t="shared" ref="I57:I59" si="7">F57/6*G57</f>
        <v>1610.8583399999998</v>
      </c>
      <c r="J57" s="59"/>
      <c r="L57" s="18"/>
      <c r="M57" s="19"/>
      <c r="N57" s="28"/>
    </row>
    <row r="58" spans="1:14" s="58" customFormat="1" ht="15.75" hidden="1" customHeight="1">
      <c r="A58" s="25">
        <v>20</v>
      </c>
      <c r="B58" s="142" t="s">
        <v>131</v>
      </c>
      <c r="C58" s="143" t="s">
        <v>132</v>
      </c>
      <c r="D58" s="142" t="s">
        <v>41</v>
      </c>
      <c r="E58" s="144">
        <v>8</v>
      </c>
      <c r="F58" s="145">
        <v>16</v>
      </c>
      <c r="G58" s="31">
        <v>237.1</v>
      </c>
      <c r="H58" s="133">
        <f>SUM(F58*G58/1000)</f>
        <v>3.7936000000000001</v>
      </c>
      <c r="I58" s="12">
        <v>0</v>
      </c>
      <c r="J58" s="59"/>
      <c r="L58" s="18"/>
      <c r="M58" s="19"/>
      <c r="N58" s="28"/>
    </row>
    <row r="59" spans="1:14" s="58" customFormat="1" ht="15.75" customHeight="1">
      <c r="A59" s="25">
        <v>14</v>
      </c>
      <c r="B59" s="129" t="s">
        <v>133</v>
      </c>
      <c r="C59" s="130" t="s">
        <v>103</v>
      </c>
      <c r="D59" s="129" t="s">
        <v>130</v>
      </c>
      <c r="E59" s="131">
        <v>41.73</v>
      </c>
      <c r="F59" s="132">
        <f>SUM(E59*6/100)</f>
        <v>2.5038</v>
      </c>
      <c r="G59" s="31">
        <v>2029.3</v>
      </c>
      <c r="H59" s="133">
        <f>SUM(F59*G59/1000)</f>
        <v>5.08096134</v>
      </c>
      <c r="I59" s="12">
        <f t="shared" si="7"/>
        <v>846.82688999999993</v>
      </c>
      <c r="J59" s="59"/>
      <c r="L59" s="18"/>
      <c r="M59" s="19"/>
      <c r="N59" s="28"/>
    </row>
    <row r="60" spans="1:14" s="58" customFormat="1" ht="15.75" hidden="1" customHeight="1">
      <c r="A60" s="25"/>
      <c r="B60" s="142" t="s">
        <v>161</v>
      </c>
      <c r="C60" s="143" t="s">
        <v>32</v>
      </c>
      <c r="D60" s="142" t="s">
        <v>66</v>
      </c>
      <c r="E60" s="144"/>
      <c r="F60" s="145">
        <v>4</v>
      </c>
      <c r="G60" s="31">
        <v>1582.05</v>
      </c>
      <c r="H60" s="133">
        <f>SUM(F60*G60/1000)</f>
        <v>6.3281999999999998</v>
      </c>
      <c r="I60" s="12">
        <v>0</v>
      </c>
      <c r="J60" s="59"/>
      <c r="L60" s="18"/>
      <c r="M60" s="19"/>
      <c r="N60" s="28"/>
    </row>
    <row r="61" spans="1:14" s="58" customFormat="1" ht="15.75" customHeight="1">
      <c r="A61" s="25"/>
      <c r="B61" s="164" t="s">
        <v>43</v>
      </c>
      <c r="C61" s="143"/>
      <c r="D61" s="142"/>
      <c r="E61" s="144"/>
      <c r="F61" s="145"/>
      <c r="G61" s="31"/>
      <c r="H61" s="146"/>
      <c r="I61" s="12"/>
      <c r="J61" s="59"/>
      <c r="L61" s="18"/>
      <c r="M61" s="19"/>
      <c r="N61" s="28"/>
    </row>
    <row r="62" spans="1:14" s="58" customFormat="1" ht="15.75" hidden="1" customHeight="1">
      <c r="A62" s="25">
        <v>14</v>
      </c>
      <c r="B62" s="142" t="s">
        <v>150</v>
      </c>
      <c r="C62" s="143" t="s">
        <v>51</v>
      </c>
      <c r="D62" s="142" t="s">
        <v>52</v>
      </c>
      <c r="E62" s="144">
        <v>508.73</v>
      </c>
      <c r="F62" s="132">
        <f>SUM(E62/100)</f>
        <v>5.0872999999999999</v>
      </c>
      <c r="G62" s="31">
        <v>1040.8399999999999</v>
      </c>
      <c r="H62" s="146">
        <f>F62*G62/1000</f>
        <v>5.2950653319999992</v>
      </c>
      <c r="I62" s="12">
        <v>0</v>
      </c>
      <c r="J62" s="59"/>
      <c r="L62" s="18"/>
      <c r="M62" s="19"/>
      <c r="N62" s="28"/>
    </row>
    <row r="63" spans="1:14" s="58" customFormat="1" ht="15.75" customHeight="1">
      <c r="A63" s="25">
        <v>15</v>
      </c>
      <c r="B63" s="142" t="s">
        <v>98</v>
      </c>
      <c r="C63" s="143" t="s">
        <v>25</v>
      </c>
      <c r="D63" s="142" t="s">
        <v>30</v>
      </c>
      <c r="E63" s="144">
        <v>203.5</v>
      </c>
      <c r="F63" s="147">
        <f>E63*12</f>
        <v>2442</v>
      </c>
      <c r="G63" s="148">
        <v>2.8</v>
      </c>
      <c r="H63" s="145">
        <f>F63*G63/1000</f>
        <v>6.8375999999999992</v>
      </c>
      <c r="I63" s="12">
        <f>F63/12*G63</f>
        <v>569.79999999999995</v>
      </c>
      <c r="J63" s="59"/>
      <c r="L63" s="18"/>
    </row>
    <row r="64" spans="1:14" s="58" customFormat="1" ht="15.75" hidden="1" customHeight="1">
      <c r="A64" s="25"/>
      <c r="B64" s="165" t="s">
        <v>44</v>
      </c>
      <c r="C64" s="143"/>
      <c r="D64" s="142"/>
      <c r="E64" s="144"/>
      <c r="F64" s="147"/>
      <c r="G64" s="147"/>
      <c r="H64" s="145" t="s">
        <v>149</v>
      </c>
      <c r="I64" s="12"/>
      <c r="J64" s="59"/>
      <c r="L64" s="18"/>
    </row>
    <row r="65" spans="1:22" s="58" customFormat="1" ht="15.75" hidden="1" customHeight="1">
      <c r="A65" s="25"/>
      <c r="B65" s="149" t="s">
        <v>45</v>
      </c>
      <c r="C65" s="150" t="s">
        <v>96</v>
      </c>
      <c r="D65" s="32" t="s">
        <v>236</v>
      </c>
      <c r="E65" s="16">
        <v>10</v>
      </c>
      <c r="F65" s="132">
        <f>E65</f>
        <v>10</v>
      </c>
      <c r="G65" s="31">
        <v>291.68</v>
      </c>
      <c r="H65" s="118">
        <f t="shared" ref="H65:H81" si="8">SUM(F65*G65/1000)</f>
        <v>2.9168000000000003</v>
      </c>
      <c r="I65" s="12">
        <v>0</v>
      </c>
    </row>
    <row r="66" spans="1:22" s="58" customFormat="1" ht="15.75" hidden="1" customHeight="1">
      <c r="A66" s="90"/>
      <c r="B66" s="149" t="s">
        <v>46</v>
      </c>
      <c r="C66" s="150" t="s">
        <v>96</v>
      </c>
      <c r="D66" s="32" t="s">
        <v>236</v>
      </c>
      <c r="E66" s="16">
        <v>10</v>
      </c>
      <c r="F66" s="132">
        <f>E66</f>
        <v>10</v>
      </c>
      <c r="G66" s="31">
        <v>100.01</v>
      </c>
      <c r="H66" s="118">
        <f t="shared" si="8"/>
        <v>1.0001</v>
      </c>
      <c r="I66" s="12">
        <v>0</v>
      </c>
    </row>
    <row r="67" spans="1:22" s="58" customFormat="1" ht="15.75" hidden="1" customHeight="1">
      <c r="A67" s="25">
        <v>22</v>
      </c>
      <c r="B67" s="149" t="s">
        <v>47</v>
      </c>
      <c r="C67" s="151" t="s">
        <v>134</v>
      </c>
      <c r="D67" s="32" t="s">
        <v>52</v>
      </c>
      <c r="E67" s="131">
        <v>14347</v>
      </c>
      <c r="F67" s="141">
        <f>SUM(E67/100)</f>
        <v>143.47</v>
      </c>
      <c r="G67" s="31">
        <v>278.24</v>
      </c>
      <c r="H67" s="118">
        <f t="shared" si="8"/>
        <v>39.919092800000001</v>
      </c>
      <c r="I67" s="12">
        <v>0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6"/>
    </row>
    <row r="68" spans="1:22" s="58" customFormat="1" ht="15.75" hidden="1" customHeight="1">
      <c r="A68" s="94"/>
      <c r="B68" s="149" t="s">
        <v>48</v>
      </c>
      <c r="C68" s="150" t="s">
        <v>135</v>
      </c>
      <c r="D68" s="32"/>
      <c r="E68" s="131">
        <v>14347</v>
      </c>
      <c r="F68" s="31">
        <f>SUM(E68/1000)</f>
        <v>14.347</v>
      </c>
      <c r="G68" s="31">
        <v>216.68</v>
      </c>
      <c r="H68" s="118">
        <f t="shared" si="8"/>
        <v>3.1087079600000003</v>
      </c>
      <c r="I68" s="12">
        <v>0</v>
      </c>
      <c r="J68" s="77"/>
      <c r="K68" s="77"/>
      <c r="L68" s="75"/>
      <c r="M68" s="75"/>
      <c r="N68" s="75"/>
      <c r="O68" s="75"/>
      <c r="P68" s="75"/>
      <c r="Q68" s="75"/>
      <c r="R68" s="75"/>
      <c r="S68" s="75"/>
      <c r="T68" s="75"/>
      <c r="U68" s="75"/>
    </row>
    <row r="69" spans="1:22" s="58" customFormat="1" ht="15.75" hidden="1" customHeight="1">
      <c r="A69" s="25">
        <v>23</v>
      </c>
      <c r="B69" s="149" t="s">
        <v>49</v>
      </c>
      <c r="C69" s="150" t="s">
        <v>76</v>
      </c>
      <c r="D69" s="32" t="s">
        <v>52</v>
      </c>
      <c r="E69" s="131">
        <v>2244</v>
      </c>
      <c r="F69" s="31">
        <f>SUM(E69/100)</f>
        <v>22.44</v>
      </c>
      <c r="G69" s="31">
        <v>2720.94</v>
      </c>
      <c r="H69" s="118">
        <f t="shared" si="8"/>
        <v>61.0578936</v>
      </c>
      <c r="I69" s="12">
        <v>0</v>
      </c>
      <c r="J69" s="75"/>
      <c r="K69" s="75"/>
      <c r="L69" s="75"/>
      <c r="M69" s="75"/>
      <c r="N69" s="75"/>
      <c r="O69" s="75"/>
      <c r="P69" s="75"/>
      <c r="Q69" s="75"/>
      <c r="S69" s="75"/>
      <c r="T69" s="75"/>
      <c r="U69" s="75"/>
    </row>
    <row r="70" spans="1:22" s="58" customFormat="1" ht="15.75" hidden="1" customHeight="1">
      <c r="A70" s="25"/>
      <c r="B70" s="152" t="s">
        <v>136</v>
      </c>
      <c r="C70" s="150" t="s">
        <v>33</v>
      </c>
      <c r="D70" s="32"/>
      <c r="E70" s="131">
        <v>12.8</v>
      </c>
      <c r="F70" s="31">
        <f>SUM(E70)</f>
        <v>12.8</v>
      </c>
      <c r="G70" s="31">
        <v>42.61</v>
      </c>
      <c r="H70" s="118">
        <f t="shared" si="8"/>
        <v>0.545408</v>
      </c>
      <c r="I70" s="12">
        <v>0</v>
      </c>
      <c r="J70" s="79"/>
      <c r="K70" s="79"/>
      <c r="L70" s="79"/>
      <c r="M70" s="79"/>
      <c r="N70" s="79"/>
      <c r="O70" s="79"/>
      <c r="P70" s="79"/>
      <c r="Q70" s="79"/>
      <c r="R70" s="186"/>
      <c r="S70" s="186"/>
      <c r="T70" s="186"/>
      <c r="U70" s="186"/>
    </row>
    <row r="71" spans="1:22" s="58" customFormat="1" ht="15.75" hidden="1" customHeight="1">
      <c r="A71" s="25">
        <v>19</v>
      </c>
      <c r="B71" s="152" t="s">
        <v>137</v>
      </c>
      <c r="C71" s="150" t="s">
        <v>33</v>
      </c>
      <c r="D71" s="32"/>
      <c r="E71" s="131">
        <v>12.8</v>
      </c>
      <c r="F71" s="31">
        <f>SUM(E71)</f>
        <v>12.8</v>
      </c>
      <c r="G71" s="31">
        <v>46.04</v>
      </c>
      <c r="H71" s="118">
        <f t="shared" si="8"/>
        <v>0.58931200000000006</v>
      </c>
      <c r="I71" s="12">
        <v>0</v>
      </c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</row>
    <row r="72" spans="1:22" s="58" customFormat="1" ht="15.75" hidden="1" customHeight="1">
      <c r="A72" s="25">
        <v>20</v>
      </c>
      <c r="B72" s="32" t="s">
        <v>56</v>
      </c>
      <c r="C72" s="150" t="s">
        <v>57</v>
      </c>
      <c r="D72" s="32" t="s">
        <v>52</v>
      </c>
      <c r="E72" s="16">
        <v>6</v>
      </c>
      <c r="F72" s="31">
        <f>SUM(E72)</f>
        <v>6</v>
      </c>
      <c r="G72" s="31">
        <v>65.42</v>
      </c>
      <c r="H72" s="118">
        <f t="shared" si="8"/>
        <v>0.39251999999999998</v>
      </c>
      <c r="I72" s="12">
        <v>0</v>
      </c>
    </row>
    <row r="73" spans="1:22" s="58" customFormat="1" ht="15.75" customHeight="1">
      <c r="A73" s="25"/>
      <c r="B73" s="166" t="s">
        <v>229</v>
      </c>
      <c r="C73" s="150"/>
      <c r="D73" s="32"/>
      <c r="E73" s="16"/>
      <c r="F73" s="148"/>
      <c r="G73" s="31"/>
      <c r="H73" s="118"/>
      <c r="I73" s="12"/>
    </row>
    <row r="74" spans="1:22" s="58" customFormat="1" ht="15.75" customHeight="1">
      <c r="A74" s="25">
        <v>16</v>
      </c>
      <c r="B74" s="32" t="s">
        <v>230</v>
      </c>
      <c r="C74" s="153" t="s">
        <v>231</v>
      </c>
      <c r="D74" s="32" t="s">
        <v>66</v>
      </c>
      <c r="E74" s="16">
        <v>3181</v>
      </c>
      <c r="F74" s="132">
        <f>SUM(E74)*12</f>
        <v>38172</v>
      </c>
      <c r="G74" s="31">
        <v>2.2799999999999998</v>
      </c>
      <c r="H74" s="118">
        <f t="shared" ref="H74" si="9">SUM(F74*G74/1000)</f>
        <v>87.03215999999999</v>
      </c>
      <c r="I74" s="12">
        <f>F74/12*G74</f>
        <v>7252.6799999999994</v>
      </c>
    </row>
    <row r="75" spans="1:22" s="58" customFormat="1" ht="15.75" hidden="1" customHeight="1">
      <c r="A75" s="25"/>
      <c r="B75" s="166" t="s">
        <v>71</v>
      </c>
      <c r="C75" s="150"/>
      <c r="D75" s="32"/>
      <c r="E75" s="16"/>
      <c r="F75" s="31"/>
      <c r="G75" s="31"/>
      <c r="H75" s="118" t="s">
        <v>149</v>
      </c>
      <c r="I75" s="12"/>
    </row>
    <row r="76" spans="1:22" s="58" customFormat="1" ht="15.75" hidden="1" customHeight="1">
      <c r="A76" s="25">
        <v>24</v>
      </c>
      <c r="B76" s="32" t="s">
        <v>232</v>
      </c>
      <c r="C76" s="150" t="s">
        <v>31</v>
      </c>
      <c r="D76" s="32" t="s">
        <v>66</v>
      </c>
      <c r="E76" s="16">
        <v>1</v>
      </c>
      <c r="F76" s="132">
        <f t="shared" ref="F76" si="10">E76</f>
        <v>1</v>
      </c>
      <c r="G76" s="31">
        <v>1029.1199999999999</v>
      </c>
      <c r="H76" s="118">
        <f>G76*F76/1000</f>
        <v>1.0291199999999998</v>
      </c>
      <c r="I76" s="12">
        <v>0</v>
      </c>
    </row>
    <row r="77" spans="1:22" s="58" customFormat="1" ht="15.75" hidden="1" customHeight="1">
      <c r="A77" s="25"/>
      <c r="B77" s="32" t="s">
        <v>233</v>
      </c>
      <c r="C77" s="150" t="s">
        <v>234</v>
      </c>
      <c r="D77" s="32" t="s">
        <v>66</v>
      </c>
      <c r="E77" s="16">
        <v>1</v>
      </c>
      <c r="F77" s="31">
        <v>1</v>
      </c>
      <c r="G77" s="31">
        <v>735</v>
      </c>
      <c r="H77" s="118">
        <f t="shared" ref="H77:H79" si="11">SUM(F77*G77/1000)</f>
        <v>0.73499999999999999</v>
      </c>
      <c r="I77" s="12">
        <v>0</v>
      </c>
    </row>
    <row r="78" spans="1:22" s="58" customFormat="1" ht="15.75" hidden="1" customHeight="1">
      <c r="A78" s="25"/>
      <c r="B78" s="32" t="s">
        <v>72</v>
      </c>
      <c r="C78" s="150" t="s">
        <v>74</v>
      </c>
      <c r="D78" s="32" t="s">
        <v>66</v>
      </c>
      <c r="E78" s="16">
        <v>8</v>
      </c>
      <c r="F78" s="31">
        <f>E78/10</f>
        <v>0.8</v>
      </c>
      <c r="G78" s="31">
        <v>657.87</v>
      </c>
      <c r="H78" s="118">
        <f t="shared" si="11"/>
        <v>0.5262960000000001</v>
      </c>
      <c r="I78" s="12">
        <v>0</v>
      </c>
    </row>
    <row r="79" spans="1:22" s="58" customFormat="1" ht="15.75" hidden="1" customHeight="1">
      <c r="A79" s="25">
        <v>21</v>
      </c>
      <c r="B79" s="32" t="s">
        <v>73</v>
      </c>
      <c r="C79" s="150" t="s">
        <v>31</v>
      </c>
      <c r="D79" s="32" t="s">
        <v>66</v>
      </c>
      <c r="E79" s="16">
        <v>1</v>
      </c>
      <c r="F79" s="148">
        <v>1</v>
      </c>
      <c r="G79" s="31">
        <v>1118.72</v>
      </c>
      <c r="H79" s="118">
        <f t="shared" si="11"/>
        <v>1.1187199999999999</v>
      </c>
      <c r="I79" s="12">
        <v>0</v>
      </c>
    </row>
    <row r="80" spans="1:22" s="58" customFormat="1" ht="15.75" hidden="1" customHeight="1">
      <c r="A80" s="25"/>
      <c r="B80" s="167" t="s">
        <v>75</v>
      </c>
      <c r="C80" s="150"/>
      <c r="D80" s="32"/>
      <c r="E80" s="16"/>
      <c r="F80" s="31"/>
      <c r="G80" s="31" t="s">
        <v>149</v>
      </c>
      <c r="H80" s="118" t="s">
        <v>149</v>
      </c>
      <c r="I80" s="12" t="str">
        <f>G80</f>
        <v xml:space="preserve"> </v>
      </c>
    </row>
    <row r="81" spans="1:9" s="58" customFormat="1" ht="15.75" hidden="1" customHeight="1">
      <c r="A81" s="25"/>
      <c r="B81" s="154" t="s">
        <v>141</v>
      </c>
      <c r="C81" s="151" t="s">
        <v>76</v>
      </c>
      <c r="D81" s="149"/>
      <c r="E81" s="155"/>
      <c r="F81" s="141">
        <v>0.6</v>
      </c>
      <c r="G81" s="141">
        <v>3619.09</v>
      </c>
      <c r="H81" s="118">
        <f t="shared" si="8"/>
        <v>2.1714540000000002</v>
      </c>
      <c r="I81" s="12">
        <v>0</v>
      </c>
    </row>
    <row r="82" spans="1:9" s="58" customFormat="1" ht="15.75" hidden="1" customHeight="1">
      <c r="A82" s="25"/>
      <c r="B82" s="111" t="s">
        <v>138</v>
      </c>
      <c r="C82" s="12"/>
      <c r="D82" s="12"/>
      <c r="E82" s="12"/>
      <c r="F82" s="12"/>
      <c r="G82" s="12"/>
      <c r="H82" s="12"/>
      <c r="I82" s="12"/>
    </row>
    <row r="83" spans="1:9" s="58" customFormat="1" ht="15.75" hidden="1" customHeight="1">
      <c r="A83" s="25"/>
      <c r="B83" s="129" t="s">
        <v>139</v>
      </c>
      <c r="C83" s="156"/>
      <c r="D83" s="157"/>
      <c r="E83" s="158"/>
      <c r="F83" s="159">
        <v>1</v>
      </c>
      <c r="G83" s="159">
        <v>30235</v>
      </c>
      <c r="H83" s="118">
        <f>G83*F83/1000</f>
        <v>30.234999999999999</v>
      </c>
      <c r="I83" s="12">
        <f>G83</f>
        <v>30235</v>
      </c>
    </row>
    <row r="84" spans="1:9" s="58" customFormat="1" ht="15.75" customHeight="1">
      <c r="A84" s="173" t="s">
        <v>167</v>
      </c>
      <c r="B84" s="174"/>
      <c r="C84" s="174"/>
      <c r="D84" s="174"/>
      <c r="E84" s="174"/>
      <c r="F84" s="174"/>
      <c r="G84" s="174"/>
      <c r="H84" s="174"/>
      <c r="I84" s="175"/>
    </row>
    <row r="85" spans="1:9" s="58" customFormat="1" ht="15.75" customHeight="1">
      <c r="A85" s="90">
        <v>17</v>
      </c>
      <c r="B85" s="129" t="s">
        <v>142</v>
      </c>
      <c r="C85" s="150" t="s">
        <v>53</v>
      </c>
      <c r="D85" s="160" t="s">
        <v>54</v>
      </c>
      <c r="E85" s="31">
        <v>3931</v>
      </c>
      <c r="F85" s="31">
        <f>SUM(E85*12)</f>
        <v>47172</v>
      </c>
      <c r="G85" s="31">
        <v>3.1</v>
      </c>
      <c r="H85" s="118">
        <f>SUM(F85*G85/1000)</f>
        <v>146.23320000000001</v>
      </c>
      <c r="I85" s="12">
        <f>F85/12*G85</f>
        <v>12186.1</v>
      </c>
    </row>
    <row r="86" spans="1:9" s="58" customFormat="1" ht="31.5" customHeight="1">
      <c r="A86" s="25">
        <v>18</v>
      </c>
      <c r="B86" s="32" t="s">
        <v>77</v>
      </c>
      <c r="C86" s="150"/>
      <c r="D86" s="160" t="s">
        <v>54</v>
      </c>
      <c r="E86" s="131">
        <f>E85</f>
        <v>3931</v>
      </c>
      <c r="F86" s="31">
        <f>E86*12</f>
        <v>47172</v>
      </c>
      <c r="G86" s="31">
        <v>3.5</v>
      </c>
      <c r="H86" s="118">
        <f>F86*G86/1000</f>
        <v>165.102</v>
      </c>
      <c r="I86" s="12">
        <f>F86/12*G86</f>
        <v>13758.5</v>
      </c>
    </row>
    <row r="87" spans="1:9" s="58" customFormat="1" ht="15.75" customHeight="1">
      <c r="A87" s="25"/>
      <c r="B87" s="33" t="s">
        <v>80</v>
      </c>
      <c r="C87" s="82"/>
      <c r="D87" s="81"/>
      <c r="E87" s="67"/>
      <c r="F87" s="67"/>
      <c r="G87" s="67"/>
      <c r="H87" s="83">
        <f>H86</f>
        <v>165.102</v>
      </c>
      <c r="I87" s="67">
        <f>I16+I17+I18+I25+I26+I37+I38+I39+I40+I42+I48+I56+I57+I59+I63+I74+I85+I86</f>
        <v>79673.780068333333</v>
      </c>
    </row>
    <row r="88" spans="1:9" s="58" customFormat="1" ht="15.75" customHeight="1">
      <c r="A88" s="188" t="s">
        <v>59</v>
      </c>
      <c r="B88" s="189"/>
      <c r="C88" s="189"/>
      <c r="D88" s="189"/>
      <c r="E88" s="189"/>
      <c r="F88" s="189"/>
      <c r="G88" s="189"/>
      <c r="H88" s="189"/>
      <c r="I88" s="190"/>
    </row>
    <row r="89" spans="1:9" s="58" customFormat="1" ht="31.5" customHeight="1">
      <c r="A89" s="25">
        <v>19</v>
      </c>
      <c r="B89" s="42" t="s">
        <v>83</v>
      </c>
      <c r="C89" s="43" t="s">
        <v>37</v>
      </c>
      <c r="D89" s="32"/>
      <c r="E89" s="16"/>
      <c r="F89" s="31">
        <v>0.02</v>
      </c>
      <c r="G89" s="31">
        <v>3581.13</v>
      </c>
      <c r="H89" s="118">
        <f t="shared" ref="H89" si="12">G89*F89/1000</f>
        <v>7.1622600000000008E-2</v>
      </c>
      <c r="I89" s="85">
        <f>G89*0.01</f>
        <v>35.811300000000003</v>
      </c>
    </row>
    <row r="90" spans="1:9" s="58" customFormat="1" ht="15.75" customHeight="1">
      <c r="A90" s="25">
        <v>20</v>
      </c>
      <c r="B90" s="127" t="s">
        <v>237</v>
      </c>
      <c r="C90" s="128" t="s">
        <v>96</v>
      </c>
      <c r="D90" s="32"/>
      <c r="E90" s="16"/>
      <c r="F90" s="31">
        <v>4</v>
      </c>
      <c r="G90" s="31">
        <v>470.21</v>
      </c>
      <c r="H90" s="118">
        <f>G90*F90/1000</f>
        <v>1.8808399999999998</v>
      </c>
      <c r="I90" s="85">
        <f>G90</f>
        <v>470.21</v>
      </c>
    </row>
    <row r="91" spans="1:9" s="58" customFormat="1" ht="15.75" customHeight="1">
      <c r="A91" s="25">
        <v>21</v>
      </c>
      <c r="B91" s="42" t="s">
        <v>82</v>
      </c>
      <c r="C91" s="43" t="s">
        <v>96</v>
      </c>
      <c r="D91" s="32"/>
      <c r="E91" s="16"/>
      <c r="F91" s="31">
        <v>7</v>
      </c>
      <c r="G91" s="31">
        <v>189.88</v>
      </c>
      <c r="H91" s="118">
        <f>G91*F91/1000</f>
        <v>1.3291599999999999</v>
      </c>
      <c r="I91" s="126">
        <f>G91*2</f>
        <v>379.76</v>
      </c>
    </row>
    <row r="92" spans="1:9" s="58" customFormat="1" ht="15.75" customHeight="1">
      <c r="A92" s="25">
        <v>22</v>
      </c>
      <c r="B92" s="42" t="s">
        <v>264</v>
      </c>
      <c r="C92" s="43" t="s">
        <v>33</v>
      </c>
      <c r="D92" s="32"/>
      <c r="E92" s="16"/>
      <c r="F92" s="31">
        <f>(29.46+37.22+74.06)-(9.504*6)</f>
        <v>83.716000000000008</v>
      </c>
      <c r="G92" s="31">
        <v>44.31</v>
      </c>
      <c r="H92" s="31">
        <f>G92*F92/1000</f>
        <v>3.7094559600000006</v>
      </c>
      <c r="I92" s="12">
        <f>G92*F92</f>
        <v>3709.4559600000007</v>
      </c>
    </row>
    <row r="93" spans="1:9" ht="15.75" customHeight="1">
      <c r="A93" s="25"/>
      <c r="B93" s="87" t="s">
        <v>50</v>
      </c>
      <c r="C93" s="34"/>
      <c r="D93" s="40"/>
      <c r="E93" s="34">
        <v>1</v>
      </c>
      <c r="F93" s="34"/>
      <c r="G93" s="34"/>
      <c r="H93" s="34"/>
      <c r="I93" s="29">
        <f>SUM(I89:I92)</f>
        <v>4595.2372600000008</v>
      </c>
    </row>
    <row r="94" spans="1:9" ht="15.75" customHeight="1">
      <c r="A94" s="25"/>
      <c r="B94" s="39" t="s">
        <v>78</v>
      </c>
      <c r="C94" s="14"/>
      <c r="D94" s="14"/>
      <c r="E94" s="35"/>
      <c r="F94" s="35"/>
      <c r="G94" s="36"/>
      <c r="H94" s="36"/>
      <c r="I94" s="16">
        <v>0</v>
      </c>
    </row>
    <row r="95" spans="1:9">
      <c r="A95" s="41"/>
      <c r="B95" s="38" t="s">
        <v>188</v>
      </c>
      <c r="C95" s="30"/>
      <c r="D95" s="30"/>
      <c r="E95" s="30"/>
      <c r="F95" s="30"/>
      <c r="G95" s="30"/>
      <c r="H95" s="30"/>
      <c r="I95" s="37">
        <f>I87+I93</f>
        <v>84269.017328333328</v>
      </c>
    </row>
    <row r="96" spans="1:9" ht="15.75">
      <c r="A96" s="187" t="s">
        <v>265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>
      <c r="A97" s="106"/>
      <c r="B97" s="181" t="s">
        <v>266</v>
      </c>
      <c r="C97" s="181"/>
      <c r="D97" s="181"/>
      <c r="E97" s="181"/>
      <c r="F97" s="181"/>
      <c r="G97" s="181"/>
      <c r="H97" s="57"/>
      <c r="I97" s="3"/>
    </row>
    <row r="98" spans="1:9" ht="15.75" customHeight="1">
      <c r="A98" s="109"/>
      <c r="B98" s="177" t="s">
        <v>6</v>
      </c>
      <c r="C98" s="177"/>
      <c r="D98" s="177"/>
      <c r="E98" s="177"/>
      <c r="F98" s="177"/>
      <c r="G98" s="177"/>
      <c r="H98" s="20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182" t="s">
        <v>7</v>
      </c>
      <c r="B100" s="182"/>
      <c r="C100" s="182"/>
      <c r="D100" s="182"/>
      <c r="E100" s="182"/>
      <c r="F100" s="182"/>
      <c r="G100" s="182"/>
      <c r="H100" s="182"/>
      <c r="I100" s="182"/>
    </row>
    <row r="101" spans="1:9" ht="15.75">
      <c r="A101" s="182" t="s">
        <v>8</v>
      </c>
      <c r="B101" s="182"/>
      <c r="C101" s="182"/>
      <c r="D101" s="182"/>
      <c r="E101" s="182"/>
      <c r="F101" s="182"/>
      <c r="G101" s="182"/>
      <c r="H101" s="182"/>
      <c r="I101" s="182"/>
    </row>
    <row r="102" spans="1:9" ht="15.75" customHeight="1">
      <c r="A102" s="183" t="s">
        <v>60</v>
      </c>
      <c r="B102" s="183"/>
      <c r="C102" s="183"/>
      <c r="D102" s="183"/>
      <c r="E102" s="183"/>
      <c r="F102" s="183"/>
      <c r="G102" s="183"/>
      <c r="H102" s="183"/>
      <c r="I102" s="183"/>
    </row>
    <row r="103" spans="1:9" ht="15.75">
      <c r="A103" s="10"/>
    </row>
    <row r="104" spans="1:9" ht="15.75">
      <c r="A104" s="184" t="s">
        <v>9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4"/>
    </row>
    <row r="106" spans="1:9" ht="15.75">
      <c r="B106" s="110" t="s">
        <v>10</v>
      </c>
      <c r="C106" s="176" t="s">
        <v>92</v>
      </c>
      <c r="D106" s="176"/>
      <c r="E106" s="176"/>
      <c r="F106" s="55"/>
      <c r="I106" s="108"/>
    </row>
    <row r="107" spans="1:9">
      <c r="A107" s="109"/>
      <c r="C107" s="177" t="s">
        <v>11</v>
      </c>
      <c r="D107" s="177"/>
      <c r="E107" s="177"/>
      <c r="F107" s="20"/>
      <c r="I107" s="107" t="s">
        <v>12</v>
      </c>
    </row>
    <row r="108" spans="1:9" ht="15.75">
      <c r="A108" s="21"/>
      <c r="C108" s="11"/>
      <c r="D108" s="11"/>
      <c r="G108" s="11"/>
      <c r="H108" s="11"/>
    </row>
    <row r="109" spans="1:9" ht="15.75">
      <c r="B109" s="110" t="s">
        <v>13</v>
      </c>
      <c r="C109" s="178"/>
      <c r="D109" s="178"/>
      <c r="E109" s="178"/>
      <c r="F109" s="56"/>
      <c r="I109" s="108"/>
    </row>
    <row r="110" spans="1:9">
      <c r="A110" s="109"/>
      <c r="C110" s="179" t="s">
        <v>11</v>
      </c>
      <c r="D110" s="179"/>
      <c r="E110" s="179"/>
      <c r="F110" s="109"/>
      <c r="I110" s="107" t="s">
        <v>12</v>
      </c>
    </row>
    <row r="111" spans="1:9" ht="15.75">
      <c r="A111" s="4" t="s">
        <v>14</v>
      </c>
    </row>
    <row r="112" spans="1:9" ht="15" customHeight="1">
      <c r="A112" s="180" t="s">
        <v>15</v>
      </c>
      <c r="B112" s="180"/>
      <c r="C112" s="180"/>
      <c r="D112" s="180"/>
      <c r="E112" s="180"/>
      <c r="F112" s="180"/>
      <c r="G112" s="180"/>
      <c r="H112" s="180"/>
      <c r="I112" s="180"/>
    </row>
    <row r="113" spans="1:9" ht="45" customHeight="1">
      <c r="A113" s="169" t="s">
        <v>16</v>
      </c>
      <c r="B113" s="169"/>
      <c r="C113" s="169"/>
      <c r="D113" s="169"/>
      <c r="E113" s="169"/>
      <c r="F113" s="169"/>
      <c r="G113" s="169"/>
      <c r="H113" s="169"/>
      <c r="I113" s="169"/>
    </row>
    <row r="114" spans="1:9" ht="30" customHeight="1">
      <c r="A114" s="169" t="s">
        <v>17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30" customHeight="1">
      <c r="A115" s="169" t="s">
        <v>21</v>
      </c>
      <c r="B115" s="169"/>
      <c r="C115" s="169"/>
      <c r="D115" s="169"/>
      <c r="E115" s="169"/>
      <c r="F115" s="169"/>
      <c r="G115" s="169"/>
      <c r="H115" s="169"/>
      <c r="I115" s="169"/>
    </row>
    <row r="116" spans="1:9" ht="15" customHeight="1">
      <c r="A116" s="169" t="s">
        <v>20</v>
      </c>
      <c r="B116" s="169"/>
      <c r="C116" s="169"/>
      <c r="D116" s="169"/>
      <c r="E116" s="169"/>
      <c r="F116" s="169"/>
      <c r="G116" s="169"/>
      <c r="H116" s="169"/>
      <c r="I116" s="169"/>
    </row>
  </sheetData>
  <autoFilter ref="I12:I65"/>
  <mergeCells count="29"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168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189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42794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/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v>0</v>
      </c>
      <c r="J19" s="59"/>
    </row>
    <row r="20" spans="1:10" s="58" customFormat="1" ht="15.75" hidden="1" customHeight="1">
      <c r="A20" s="25"/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v>0</v>
      </c>
      <c r="J20" s="59"/>
    </row>
    <row r="21" spans="1:10" s="58" customFormat="1" ht="15.75" hidden="1" customHeight="1">
      <c r="A21" s="25"/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v>0</v>
      </c>
      <c r="J21" s="59"/>
    </row>
    <row r="22" spans="1:10" s="58" customFormat="1" ht="15.75" hidden="1" customHeight="1">
      <c r="A22" s="25"/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v>0</v>
      </c>
      <c r="J22" s="59"/>
    </row>
    <row r="23" spans="1:10" s="58" customFormat="1" ht="15.75" hidden="1" customHeight="1">
      <c r="A23" s="25"/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v>0</v>
      </c>
      <c r="J23" s="59"/>
    </row>
    <row r="24" spans="1:10" s="58" customFormat="1" ht="15.75" hidden="1" customHeight="1">
      <c r="A24" s="25"/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v>0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1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1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hidden="1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hidden="1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2">SUM(F29*G29/1000)</f>
        <v>9.6733725659999994</v>
      </c>
      <c r="I29" s="12">
        <f>F29/6*G29</f>
        <v>1612.2287609999998</v>
      </c>
      <c r="J29" s="59"/>
    </row>
    <row r="30" spans="1:10" s="58" customFormat="1" ht="31.5" hidden="1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2"/>
        <v>1.9199711232000003</v>
      </c>
      <c r="I30" s="12">
        <f t="shared" ref="I30:I33" si="3">F30/6*G30</f>
        <v>319.99518720000003</v>
      </c>
      <c r="J30" s="59"/>
    </row>
    <row r="31" spans="1:10" s="58" customFormat="1" ht="15.75" hidden="1" customHeight="1">
      <c r="A31" s="25"/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2"/>
        <v>3.6041344370999995</v>
      </c>
      <c r="I31" s="12">
        <f>F31*G31</f>
        <v>3604.1344370999996</v>
      </c>
      <c r="J31" s="59"/>
    </row>
    <row r="32" spans="1:10" s="58" customFormat="1" ht="15.75" hidden="1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3"/>
        <v>2157.3829999999998</v>
      </c>
      <c r="J32" s="59"/>
    </row>
    <row r="33" spans="1:14" s="58" customFormat="1" ht="15.75" hidden="1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3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4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4"/>
        <v>2.2726599999999997</v>
      </c>
      <c r="I35" s="12">
        <v>0</v>
      </c>
      <c r="J35" s="59"/>
    </row>
    <row r="36" spans="1:14" s="58" customFormat="1" ht="15.75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5">SUM(F37*G37/1000)</f>
        <v>13.060799999999999</v>
      </c>
      <c r="I37" s="12">
        <f>F37/6*G37</f>
        <v>2176.7999999999997</v>
      </c>
      <c r="J37" s="59"/>
    </row>
    <row r="38" spans="1:14" s="58" customFormat="1" ht="15.75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5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5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5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customHeight="1">
      <c r="A44" s="25">
        <v>11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5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/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6">SUM(F46*G46/1000)</f>
        <v>1.8752264999999999</v>
      </c>
      <c r="I46" s="12">
        <v>0</v>
      </c>
      <c r="J46" s="59"/>
      <c r="L46" s="18"/>
      <c r="M46" s="19"/>
      <c r="N46" s="28"/>
    </row>
    <row r="47" spans="1:14" s="58" customFormat="1" ht="15.75" hidden="1" customHeight="1">
      <c r="A47" s="25"/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6"/>
        <v>0.16353744000000001</v>
      </c>
      <c r="I47" s="12">
        <v>0</v>
      </c>
      <c r="J47" s="59"/>
      <c r="L47" s="18"/>
      <c r="M47" s="19"/>
      <c r="N47" s="28"/>
    </row>
    <row r="48" spans="1:14" s="58" customFormat="1" ht="15.75" hidden="1" customHeight="1">
      <c r="A48" s="25"/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6"/>
        <v>5.2632047223999994</v>
      </c>
      <c r="I48" s="12">
        <v>0</v>
      </c>
      <c r="J48" s="59"/>
      <c r="L48" s="18"/>
      <c r="M48" s="19"/>
      <c r="N48" s="28"/>
    </row>
    <row r="49" spans="1:22" s="58" customFormat="1" ht="15.75" hidden="1" customHeight="1">
      <c r="A49" s="25"/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6"/>
        <v>2.8068728447999995</v>
      </c>
      <c r="I49" s="12">
        <v>0</v>
      </c>
      <c r="J49" s="59"/>
      <c r="L49" s="18"/>
      <c r="M49" s="19"/>
      <c r="N49" s="28"/>
    </row>
    <row r="50" spans="1:22" s="58" customFormat="1" ht="15.75" customHeight="1">
      <c r="A50" s="25">
        <v>12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6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/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6"/>
        <v>2.6399648</v>
      </c>
      <c r="I51" s="12">
        <v>0</v>
      </c>
      <c r="J51" s="59"/>
      <c r="L51" s="18"/>
      <c r="M51" s="19"/>
      <c r="N51" s="28"/>
    </row>
    <row r="52" spans="1:22" s="58" customFormat="1" ht="31.5" hidden="1" customHeight="1">
      <c r="A52" s="25"/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6"/>
        <v>1.7513339999999997</v>
      </c>
      <c r="I52" s="12">
        <v>0</v>
      </c>
      <c r="J52" s="59"/>
      <c r="L52" s="18"/>
      <c r="M52" s="19"/>
      <c r="N52" s="28"/>
    </row>
    <row r="53" spans="1:22" s="58" customFormat="1" ht="15.75" hidden="1" customHeight="1">
      <c r="A53" s="25"/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6"/>
        <v>0.12084260000000001</v>
      </c>
      <c r="I53" s="12">
        <v>0</v>
      </c>
      <c r="J53" s="59"/>
      <c r="L53" s="18"/>
      <c r="M53" s="19"/>
      <c r="N53" s="28"/>
    </row>
    <row r="54" spans="1:22" s="58" customFormat="1" ht="15.75" hidden="1" customHeight="1">
      <c r="A54" s="25">
        <v>14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6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hidden="1" customHeight="1">
      <c r="A55" s="25">
        <v>15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6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166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16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7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7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/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7"/>
        <v>32.5375613</v>
      </c>
      <c r="I68" s="12">
        <v>0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/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7"/>
        <v>2.5338236700000003</v>
      </c>
      <c r="I69" s="12">
        <v>0</v>
      </c>
    </row>
    <row r="70" spans="1:21" s="58" customFormat="1" ht="15.75" hidden="1" customHeight="1">
      <c r="A70" s="25"/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7"/>
        <v>49.766983200000013</v>
      </c>
      <c r="I70" s="12">
        <v>0</v>
      </c>
    </row>
    <row r="71" spans="1:21" s="58" customFormat="1" ht="15.75" hidden="1" customHeight="1">
      <c r="A71" s="25"/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7"/>
        <v>0.53252160000000004</v>
      </c>
      <c r="I71" s="12">
        <v>0</v>
      </c>
    </row>
    <row r="72" spans="1:21" s="58" customFormat="1" ht="15.75" hidden="1" customHeight="1">
      <c r="A72" s="25"/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7"/>
        <v>0.49682880000000007</v>
      </c>
      <c r="I72" s="12">
        <v>0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7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8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9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/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v>0</v>
      </c>
    </row>
    <row r="82" spans="1:9" s="58" customFormat="1" ht="15.75" customHeight="1">
      <c r="A82" s="173" t="s">
        <v>167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17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18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I16+I17+I18+I25+I26+I37+I38+I39+I41+I42+I44+I50+I58+I59+I61+I64+I83+I84</f>
        <v>64696.760285783341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31.5" customHeight="1">
      <c r="A87" s="25">
        <v>19</v>
      </c>
      <c r="B87" s="42" t="s">
        <v>190</v>
      </c>
      <c r="C87" s="43" t="s">
        <v>81</v>
      </c>
      <c r="D87" s="39"/>
      <c r="E87" s="12"/>
      <c r="F87" s="12">
        <v>2</v>
      </c>
      <c r="G87" s="12">
        <v>832.06</v>
      </c>
      <c r="H87" s="78">
        <f t="shared" ref="H87:H94" si="10">G87*F87/1000</f>
        <v>1.6641199999999998</v>
      </c>
      <c r="I87" s="122">
        <f>G87*2</f>
        <v>1664.12</v>
      </c>
    </row>
    <row r="88" spans="1:9" s="58" customFormat="1" ht="15.75" customHeight="1">
      <c r="A88" s="25">
        <v>20</v>
      </c>
      <c r="B88" s="42" t="s">
        <v>158</v>
      </c>
      <c r="C88" s="43" t="s">
        <v>96</v>
      </c>
      <c r="D88" s="13"/>
      <c r="E88" s="17"/>
      <c r="F88" s="12">
        <v>4</v>
      </c>
      <c r="G88" s="12">
        <v>140</v>
      </c>
      <c r="H88" s="78">
        <f t="shared" si="10"/>
        <v>0.56000000000000005</v>
      </c>
      <c r="I88" s="122">
        <f>G88*2</f>
        <v>280</v>
      </c>
    </row>
    <row r="89" spans="1:9" s="58" customFormat="1" ht="15.75" customHeight="1">
      <c r="A89" s="25">
        <v>21</v>
      </c>
      <c r="B89" s="42" t="s">
        <v>191</v>
      </c>
      <c r="C89" s="43" t="s">
        <v>96</v>
      </c>
      <c r="D89" s="13"/>
      <c r="E89" s="17"/>
      <c r="F89" s="12">
        <v>3</v>
      </c>
      <c r="G89" s="12">
        <v>118</v>
      </c>
      <c r="H89" s="78">
        <f t="shared" si="10"/>
        <v>0.35399999999999998</v>
      </c>
      <c r="I89" s="85">
        <f>G89</f>
        <v>118</v>
      </c>
    </row>
    <row r="90" spans="1:9" s="58" customFormat="1" ht="15.75" customHeight="1">
      <c r="A90" s="25">
        <v>22</v>
      </c>
      <c r="B90" s="42" t="s">
        <v>194</v>
      </c>
      <c r="C90" s="43" t="s">
        <v>96</v>
      </c>
      <c r="D90" s="13"/>
      <c r="E90" s="17"/>
      <c r="F90" s="12">
        <v>6</v>
      </c>
      <c r="G90" s="12">
        <v>112</v>
      </c>
      <c r="H90" s="78">
        <f t="shared" si="10"/>
        <v>0.67200000000000004</v>
      </c>
      <c r="I90" s="85">
        <f>G90*2</f>
        <v>224</v>
      </c>
    </row>
    <row r="91" spans="1:9" s="58" customFormat="1" ht="15.75" customHeight="1">
      <c r="A91" s="25">
        <v>23</v>
      </c>
      <c r="B91" s="42" t="s">
        <v>163</v>
      </c>
      <c r="C91" s="43" t="s">
        <v>96</v>
      </c>
      <c r="D91" s="13"/>
      <c r="E91" s="17"/>
      <c r="F91" s="12">
        <v>2</v>
      </c>
      <c r="G91" s="12">
        <v>50</v>
      </c>
      <c r="H91" s="78">
        <f t="shared" si="10"/>
        <v>0.1</v>
      </c>
      <c r="I91" s="85">
        <f>G91</f>
        <v>50</v>
      </c>
    </row>
    <row r="92" spans="1:9" s="58" customFormat="1" ht="15.75" customHeight="1">
      <c r="A92" s="25">
        <v>24</v>
      </c>
      <c r="B92" s="42" t="s">
        <v>192</v>
      </c>
      <c r="C92" s="43" t="s">
        <v>96</v>
      </c>
      <c r="D92" s="13"/>
      <c r="E92" s="17"/>
      <c r="F92" s="12">
        <v>3</v>
      </c>
      <c r="G92" s="12">
        <v>70</v>
      </c>
      <c r="H92" s="78">
        <f t="shared" si="10"/>
        <v>0.21</v>
      </c>
      <c r="I92" s="85">
        <f>G92*3</f>
        <v>210</v>
      </c>
    </row>
    <row r="93" spans="1:9" s="58" customFormat="1" ht="15.75" customHeight="1">
      <c r="A93" s="25">
        <v>25</v>
      </c>
      <c r="B93" s="120" t="s">
        <v>193</v>
      </c>
      <c r="C93" s="43" t="s">
        <v>96</v>
      </c>
      <c r="D93" s="13"/>
      <c r="E93" s="17"/>
      <c r="F93" s="12">
        <v>3</v>
      </c>
      <c r="G93" s="121">
        <v>108</v>
      </c>
      <c r="H93" s="78">
        <f t="shared" si="10"/>
        <v>0.32400000000000001</v>
      </c>
      <c r="I93" s="85">
        <f>G93</f>
        <v>108</v>
      </c>
    </row>
    <row r="94" spans="1:9" s="58" customFormat="1" ht="15.75" customHeight="1">
      <c r="A94" s="25">
        <v>26</v>
      </c>
      <c r="B94" s="42" t="s">
        <v>159</v>
      </c>
      <c r="C94" s="60" t="s">
        <v>160</v>
      </c>
      <c r="D94" s="39"/>
      <c r="E94" s="12"/>
      <c r="F94" s="12">
        <v>4</v>
      </c>
      <c r="G94" s="12">
        <v>294.45</v>
      </c>
      <c r="H94" s="78">
        <f t="shared" si="10"/>
        <v>1.1778</v>
      </c>
      <c r="I94" s="85">
        <f>G94</f>
        <v>294.45</v>
      </c>
    </row>
    <row r="95" spans="1:9" s="58" customFormat="1" ht="31.5" customHeight="1">
      <c r="A95" s="25">
        <v>27</v>
      </c>
      <c r="B95" s="42" t="s">
        <v>146</v>
      </c>
      <c r="C95" s="43" t="s">
        <v>147</v>
      </c>
      <c r="D95" s="39"/>
      <c r="E95" s="12"/>
      <c r="F95" s="12">
        <v>1</v>
      </c>
      <c r="G95" s="12">
        <v>54.17</v>
      </c>
      <c r="H95" s="78">
        <f>G95*F95/1000</f>
        <v>5.4170000000000003E-2</v>
      </c>
      <c r="I95" s="85">
        <f t="shared" ref="I95:I96" si="11">G95</f>
        <v>54.17</v>
      </c>
    </row>
    <row r="96" spans="1:9" s="58" customFormat="1" ht="15.75" customHeight="1">
      <c r="A96" s="25">
        <v>28</v>
      </c>
      <c r="B96" s="42" t="s">
        <v>97</v>
      </c>
      <c r="C96" s="43" t="s">
        <v>154</v>
      </c>
      <c r="D96" s="13"/>
      <c r="E96" s="17"/>
      <c r="F96" s="12">
        <v>1</v>
      </c>
      <c r="G96" s="12">
        <v>185.08</v>
      </c>
      <c r="H96" s="78">
        <f t="shared" ref="H96" si="12">G96*F96/1000</f>
        <v>0.18508000000000002</v>
      </c>
      <c r="I96" s="85">
        <f t="shared" si="11"/>
        <v>185.08</v>
      </c>
    </row>
    <row r="97" spans="1:9" ht="15.75" customHeight="1">
      <c r="A97" s="25"/>
      <c r="B97" s="87" t="s">
        <v>50</v>
      </c>
      <c r="C97" s="34"/>
      <c r="D97" s="40"/>
      <c r="E97" s="34">
        <v>1</v>
      </c>
      <c r="F97" s="34"/>
      <c r="G97" s="34"/>
      <c r="H97" s="34"/>
      <c r="I97" s="29">
        <f>SUM(I87:I96)</f>
        <v>3187.8199999999997</v>
      </c>
    </row>
    <row r="98" spans="1:9" ht="15.75" customHeight="1">
      <c r="A98" s="25"/>
      <c r="B98" s="39" t="s">
        <v>78</v>
      </c>
      <c r="C98" s="14"/>
      <c r="D98" s="14"/>
      <c r="E98" s="35"/>
      <c r="F98" s="35"/>
      <c r="G98" s="36"/>
      <c r="H98" s="36"/>
      <c r="I98" s="16">
        <v>0</v>
      </c>
    </row>
    <row r="99" spans="1:9" ht="15.75" customHeight="1">
      <c r="A99" s="41"/>
      <c r="B99" s="38" t="s">
        <v>188</v>
      </c>
      <c r="C99" s="30"/>
      <c r="D99" s="30"/>
      <c r="E99" s="30"/>
      <c r="F99" s="30"/>
      <c r="G99" s="30"/>
      <c r="H99" s="30"/>
      <c r="I99" s="37">
        <f>I85+I97</f>
        <v>67884.580285783333</v>
      </c>
    </row>
    <row r="100" spans="1:9" ht="15.75">
      <c r="A100" s="187" t="s">
        <v>253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>
      <c r="A101" s="106"/>
      <c r="B101" s="181" t="s">
        <v>254</v>
      </c>
      <c r="C101" s="181"/>
      <c r="D101" s="181"/>
      <c r="E101" s="181"/>
      <c r="F101" s="181"/>
      <c r="G101" s="181"/>
      <c r="H101" s="57"/>
      <c r="I101" s="3"/>
    </row>
    <row r="102" spans="1:9">
      <c r="A102" s="105"/>
      <c r="B102" s="177" t="s">
        <v>6</v>
      </c>
      <c r="C102" s="177"/>
      <c r="D102" s="177"/>
      <c r="E102" s="177"/>
      <c r="F102" s="177"/>
      <c r="G102" s="177"/>
      <c r="H102" s="20"/>
      <c r="I102" s="5"/>
    </row>
    <row r="103" spans="1:9" ht="15.7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>
      <c r="A104" s="182" t="s">
        <v>7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15.75">
      <c r="A105" s="182" t="s">
        <v>8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15.75">
      <c r="A106" s="183" t="s">
        <v>60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 customHeight="1">
      <c r="A107" s="10"/>
    </row>
    <row r="108" spans="1:9" ht="15.75">
      <c r="A108" s="184" t="s">
        <v>9</v>
      </c>
      <c r="B108" s="184"/>
      <c r="C108" s="184"/>
      <c r="D108" s="184"/>
      <c r="E108" s="184"/>
      <c r="F108" s="184"/>
      <c r="G108" s="184"/>
      <c r="H108" s="184"/>
      <c r="I108" s="184"/>
    </row>
    <row r="109" spans="1:9" ht="15.75">
      <c r="A109" s="4"/>
    </row>
    <row r="110" spans="1:9" ht="15.75">
      <c r="B110" s="102" t="s">
        <v>10</v>
      </c>
      <c r="C110" s="176" t="s">
        <v>92</v>
      </c>
      <c r="D110" s="176"/>
      <c r="E110" s="176"/>
      <c r="F110" s="55"/>
      <c r="I110" s="104"/>
    </row>
    <row r="111" spans="1:9">
      <c r="A111" s="105"/>
      <c r="C111" s="177" t="s">
        <v>11</v>
      </c>
      <c r="D111" s="177"/>
      <c r="E111" s="177"/>
      <c r="F111" s="20"/>
      <c r="I111" s="103" t="s">
        <v>12</v>
      </c>
    </row>
    <row r="112" spans="1:9" ht="15.75">
      <c r="A112" s="21"/>
      <c r="C112" s="11"/>
      <c r="D112" s="11"/>
      <c r="G112" s="11"/>
      <c r="H112" s="11"/>
    </row>
    <row r="113" spans="1:9" ht="15.75">
      <c r="B113" s="102" t="s">
        <v>13</v>
      </c>
      <c r="C113" s="178"/>
      <c r="D113" s="178"/>
      <c r="E113" s="178"/>
      <c r="F113" s="56"/>
      <c r="I113" s="104"/>
    </row>
    <row r="114" spans="1:9">
      <c r="A114" s="105"/>
      <c r="C114" s="179" t="s">
        <v>11</v>
      </c>
      <c r="D114" s="179"/>
      <c r="E114" s="179"/>
      <c r="F114" s="105"/>
      <c r="I114" s="103" t="s">
        <v>12</v>
      </c>
    </row>
    <row r="115" spans="1:9" ht="15.75">
      <c r="A115" s="4" t="s">
        <v>14</v>
      </c>
    </row>
    <row r="116" spans="1:9">
      <c r="A116" s="180" t="s">
        <v>15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45" customHeight="1">
      <c r="A117" s="169" t="s">
        <v>16</v>
      </c>
      <c r="B117" s="169"/>
      <c r="C117" s="169"/>
      <c r="D117" s="169"/>
      <c r="E117" s="169"/>
      <c r="F117" s="169"/>
      <c r="G117" s="169"/>
      <c r="H117" s="169"/>
      <c r="I117" s="169"/>
    </row>
    <row r="118" spans="1:9" ht="30" customHeight="1">
      <c r="A118" s="169" t="s">
        <v>17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30" customHeight="1">
      <c r="A119" s="169" t="s">
        <v>21</v>
      </c>
      <c r="B119" s="169"/>
      <c r="C119" s="169"/>
      <c r="D119" s="169"/>
      <c r="E119" s="169"/>
      <c r="F119" s="169"/>
      <c r="G119" s="169"/>
      <c r="H119" s="169"/>
      <c r="I119" s="169"/>
    </row>
    <row r="120" spans="1:9" ht="15" customHeight="1">
      <c r="A120" s="169" t="s">
        <v>20</v>
      </c>
      <c r="B120" s="169"/>
      <c r="C120" s="169"/>
      <c r="D120" s="169"/>
      <c r="E120" s="169"/>
      <c r="F120" s="169"/>
      <c r="G120" s="169"/>
      <c r="H120" s="169"/>
      <c r="I120" s="169"/>
    </row>
  </sheetData>
  <autoFilter ref="I12:I62"/>
  <mergeCells count="29">
    <mergeCell ref="A116:I116"/>
    <mergeCell ref="A117:I117"/>
    <mergeCell ref="A118:I118"/>
    <mergeCell ref="A119:I119"/>
    <mergeCell ref="A120:I120"/>
    <mergeCell ref="R67:U67"/>
    <mergeCell ref="C114:E114"/>
    <mergeCell ref="A86:I86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169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195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42825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/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v>0</v>
      </c>
      <c r="J19" s="59"/>
    </row>
    <row r="20" spans="1:10" s="58" customFormat="1" ht="15.75" hidden="1" customHeight="1">
      <c r="A20" s="25"/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v>0</v>
      </c>
      <c r="J20" s="59"/>
    </row>
    <row r="21" spans="1:10" s="58" customFormat="1" ht="15.75" hidden="1" customHeight="1">
      <c r="A21" s="25"/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v>0</v>
      </c>
      <c r="J21" s="59"/>
    </row>
    <row r="22" spans="1:10" s="58" customFormat="1" ht="15.75" hidden="1" customHeight="1">
      <c r="A22" s="25"/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v>0</v>
      </c>
      <c r="J22" s="59"/>
    </row>
    <row r="23" spans="1:10" s="58" customFormat="1" ht="15.75" hidden="1" customHeight="1">
      <c r="A23" s="25"/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v>0</v>
      </c>
      <c r="J23" s="59"/>
    </row>
    <row r="24" spans="1:10" s="58" customFormat="1" ht="15.75" hidden="1" customHeight="1">
      <c r="A24" s="25"/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v>0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1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1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hidden="1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hidden="1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2">SUM(F29*G29/1000)</f>
        <v>9.6733725659999994</v>
      </c>
      <c r="I29" s="12">
        <f>F29/6*G29</f>
        <v>1612.2287609999998</v>
      </c>
      <c r="J29" s="59"/>
    </row>
    <row r="30" spans="1:10" s="58" customFormat="1" ht="31.5" hidden="1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2"/>
        <v>1.9199711232000003</v>
      </c>
      <c r="I30" s="12">
        <f t="shared" ref="I30:I33" si="3">F30/6*G30</f>
        <v>319.99518720000003</v>
      </c>
      <c r="J30" s="59"/>
    </row>
    <row r="31" spans="1:10" s="58" customFormat="1" ht="15.75" hidden="1" customHeight="1">
      <c r="A31" s="25"/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2"/>
        <v>3.6041344370999995</v>
      </c>
      <c r="I31" s="12">
        <f>F31*G31</f>
        <v>3604.1344370999996</v>
      </c>
      <c r="J31" s="59"/>
    </row>
    <row r="32" spans="1:10" s="58" customFormat="1" ht="15.75" hidden="1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3"/>
        <v>2157.3829999999998</v>
      </c>
      <c r="J32" s="59"/>
    </row>
    <row r="33" spans="1:14" s="58" customFormat="1" ht="15.75" hidden="1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3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4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4"/>
        <v>2.2726599999999997</v>
      </c>
      <c r="I35" s="12">
        <v>0</v>
      </c>
      <c r="J35" s="59"/>
    </row>
    <row r="36" spans="1:14" s="58" customFormat="1" ht="15.75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5">SUM(F37*G37/1000)</f>
        <v>13.060799999999999</v>
      </c>
      <c r="I37" s="12">
        <f>F37/6*G37</f>
        <v>2176.7999999999997</v>
      </c>
      <c r="J37" s="59"/>
    </row>
    <row r="38" spans="1:14" s="58" customFormat="1" ht="15.75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5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5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customHeight="1">
      <c r="A43" s="25">
        <v>11</v>
      </c>
      <c r="B43" s="61" t="s">
        <v>125</v>
      </c>
      <c r="C43" s="62" t="s">
        <v>113</v>
      </c>
      <c r="D43" s="129" t="s">
        <v>255</v>
      </c>
      <c r="E43" s="132">
        <v>89.03</v>
      </c>
      <c r="F43" s="140">
        <f>SUM(E43*15/1000)</f>
        <v>1.33545</v>
      </c>
      <c r="G43" s="132">
        <v>458.28</v>
      </c>
      <c r="H43" s="133">
        <f t="shared" ref="H43" si="6">SUM(F43*G43/1000)</f>
        <v>0.61201002599999987</v>
      </c>
      <c r="I43" s="12">
        <f>F43/2*G43</f>
        <v>306.00501299999996</v>
      </c>
      <c r="J43" s="59"/>
      <c r="L43" s="18"/>
      <c r="M43" s="19"/>
      <c r="N43" s="28"/>
    </row>
    <row r="44" spans="1:14" s="58" customFormat="1" ht="15.75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5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/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7">SUM(F46*G46/1000)</f>
        <v>1.8752264999999999</v>
      </c>
      <c r="I46" s="12">
        <v>0</v>
      </c>
      <c r="J46" s="59"/>
      <c r="L46" s="18"/>
      <c r="M46" s="19"/>
      <c r="N46" s="28"/>
    </row>
    <row r="47" spans="1:14" s="58" customFormat="1" ht="15.75" hidden="1" customHeight="1">
      <c r="A47" s="25"/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7"/>
        <v>0.16353744000000001</v>
      </c>
      <c r="I47" s="12">
        <v>0</v>
      </c>
      <c r="J47" s="59"/>
      <c r="L47" s="18"/>
      <c r="M47" s="19"/>
      <c r="N47" s="28"/>
    </row>
    <row r="48" spans="1:14" s="58" customFormat="1" ht="15.75" hidden="1" customHeight="1">
      <c r="A48" s="25"/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7"/>
        <v>5.2632047223999994</v>
      </c>
      <c r="I48" s="12">
        <v>0</v>
      </c>
      <c r="J48" s="59"/>
      <c r="L48" s="18"/>
      <c r="M48" s="19"/>
      <c r="N48" s="28"/>
    </row>
    <row r="49" spans="1:22" s="58" customFormat="1" ht="15.75" hidden="1" customHeight="1">
      <c r="A49" s="25"/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7"/>
        <v>2.8068728447999995</v>
      </c>
      <c r="I49" s="12">
        <v>0</v>
      </c>
      <c r="J49" s="59"/>
      <c r="L49" s="18"/>
      <c r="M49" s="19"/>
      <c r="N49" s="28"/>
    </row>
    <row r="50" spans="1:22" s="58" customFormat="1" ht="15.75" hidden="1" customHeight="1">
      <c r="A50" s="25">
        <v>13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7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customHeight="1">
      <c r="A51" s="25">
        <v>13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7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customHeight="1">
      <c r="A52" s="25">
        <v>14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7"/>
        <v>1.7513339999999997</v>
      </c>
      <c r="I52" s="12">
        <f t="shared" ref="I52:I53" si="8">F52/2*G52</f>
        <v>875.66699999999992</v>
      </c>
      <c r="J52" s="59"/>
      <c r="L52" s="18"/>
      <c r="M52" s="19"/>
      <c r="N52" s="28"/>
    </row>
    <row r="53" spans="1:22" s="58" customFormat="1" ht="15.75" customHeight="1">
      <c r="A53" s="25">
        <v>15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7"/>
        <v>0.12084260000000001</v>
      </c>
      <c r="I53" s="12">
        <f t="shared" si="8"/>
        <v>60.421300000000002</v>
      </c>
      <c r="J53" s="59"/>
      <c r="L53" s="18"/>
      <c r="M53" s="19"/>
      <c r="N53" s="28"/>
    </row>
    <row r="54" spans="1:22" s="58" customFormat="1" ht="15.75" hidden="1" customHeight="1">
      <c r="A54" s="25">
        <v>14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7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hidden="1" customHeight="1">
      <c r="A55" s="25">
        <v>15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7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166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customHeight="1">
      <c r="A58" s="25">
        <v>16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customHeight="1">
      <c r="A59" s="25">
        <v>17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customHeight="1">
      <c r="A61" s="25">
        <v>18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19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9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9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/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9"/>
        <v>32.5375613</v>
      </c>
      <c r="I68" s="12">
        <v>0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/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9"/>
        <v>2.5338236700000003</v>
      </c>
      <c r="I69" s="12">
        <v>0</v>
      </c>
    </row>
    <row r="70" spans="1:21" s="58" customFormat="1" ht="15.75" hidden="1" customHeight="1">
      <c r="A70" s="25"/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9"/>
        <v>49.766983200000013</v>
      </c>
      <c r="I70" s="12">
        <v>0</v>
      </c>
    </row>
    <row r="71" spans="1:21" s="58" customFormat="1" ht="15.75" hidden="1" customHeight="1">
      <c r="A71" s="25"/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9"/>
        <v>0.53252160000000004</v>
      </c>
      <c r="I71" s="12">
        <v>0</v>
      </c>
    </row>
    <row r="72" spans="1:21" s="58" customFormat="1" ht="15.75" hidden="1" customHeight="1">
      <c r="A72" s="25"/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9"/>
        <v>0.49682880000000007</v>
      </c>
      <c r="I72" s="12">
        <v>0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9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0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1">SUM(F79*G79/1000)</f>
        <v>2.94984</v>
      </c>
      <c r="I79" s="12">
        <v>0</v>
      </c>
    </row>
    <row r="80" spans="1:21" s="58" customFormat="1" ht="15.75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167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21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22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I16+I17+I18+I25+I26+I37+I38+I39+I41+I42+I43+I44+I51+I52+I53+I58+I59+I61+I64+I81+I83+I84</f>
        <v>96173.853598783346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23</v>
      </c>
      <c r="B87" s="119" t="s">
        <v>185</v>
      </c>
      <c r="C87" s="86" t="s">
        <v>99</v>
      </c>
      <c r="D87" s="13"/>
      <c r="E87" s="17"/>
      <c r="F87" s="12">
        <f>(3+15+15+3+15)/3</f>
        <v>17</v>
      </c>
      <c r="G87" s="12">
        <v>1120.8900000000001</v>
      </c>
      <c r="H87" s="78">
        <f t="shared" ref="H87" si="12">G87*F87/1000</f>
        <v>19.055130000000002</v>
      </c>
      <c r="I87" s="122">
        <f>G87*(15/3)</f>
        <v>5604.4500000000007</v>
      </c>
    </row>
    <row r="88" spans="1:9" s="58" customFormat="1" ht="31.5" customHeight="1">
      <c r="A88" s="25">
        <v>24</v>
      </c>
      <c r="B88" s="42" t="s">
        <v>79</v>
      </c>
      <c r="C88" s="43" t="s">
        <v>96</v>
      </c>
      <c r="D88" s="13"/>
      <c r="E88" s="17"/>
      <c r="F88" s="12">
        <v>3</v>
      </c>
      <c r="G88" s="12">
        <v>83.36</v>
      </c>
      <c r="H88" s="78">
        <f>G88*F88/1000</f>
        <v>0.25007999999999997</v>
      </c>
      <c r="I88" s="85">
        <f>G88</f>
        <v>83.36</v>
      </c>
    </row>
    <row r="89" spans="1:9" s="58" customFormat="1" ht="31.5" customHeight="1">
      <c r="A89" s="25">
        <v>25</v>
      </c>
      <c r="B89" s="42" t="s">
        <v>196</v>
      </c>
      <c r="C89" s="43" t="s">
        <v>81</v>
      </c>
      <c r="D89" s="32"/>
      <c r="E89" s="16"/>
      <c r="F89" s="31">
        <v>8</v>
      </c>
      <c r="G89" s="31">
        <v>1187</v>
      </c>
      <c r="H89" s="118">
        <f t="shared" ref="H89:H90" si="13">G89*F89/1000</f>
        <v>9.4960000000000004</v>
      </c>
      <c r="I89" s="85">
        <f>G89*8</f>
        <v>9496</v>
      </c>
    </row>
    <row r="90" spans="1:9" s="58" customFormat="1" ht="15.75" customHeight="1">
      <c r="A90" s="25">
        <v>26</v>
      </c>
      <c r="B90" s="44" t="s">
        <v>197</v>
      </c>
      <c r="C90" s="45" t="s">
        <v>96</v>
      </c>
      <c r="D90" s="32"/>
      <c r="E90" s="16"/>
      <c r="F90" s="31">
        <v>2</v>
      </c>
      <c r="G90" s="31">
        <v>311.55</v>
      </c>
      <c r="H90" s="118">
        <f t="shared" si="13"/>
        <v>0.62309999999999999</v>
      </c>
      <c r="I90" s="85">
        <f>G90*2</f>
        <v>623.1</v>
      </c>
    </row>
    <row r="91" spans="1:9" ht="15.75" customHeight="1">
      <c r="A91" s="25"/>
      <c r="B91" s="87" t="s">
        <v>50</v>
      </c>
      <c r="C91" s="34"/>
      <c r="D91" s="40"/>
      <c r="E91" s="34">
        <v>1</v>
      </c>
      <c r="F91" s="34"/>
      <c r="G91" s="34"/>
      <c r="H91" s="34"/>
      <c r="I91" s="29">
        <f>SUM(I87:I90)</f>
        <v>15806.910000000002</v>
      </c>
    </row>
    <row r="92" spans="1:9" ht="15.75" customHeight="1">
      <c r="A92" s="25"/>
      <c r="B92" s="39" t="s">
        <v>78</v>
      </c>
      <c r="C92" s="14"/>
      <c r="D92" s="14"/>
      <c r="E92" s="35"/>
      <c r="F92" s="35"/>
      <c r="G92" s="36"/>
      <c r="H92" s="36"/>
      <c r="I92" s="16">
        <v>0</v>
      </c>
    </row>
    <row r="93" spans="1:9" ht="15.75" customHeight="1">
      <c r="A93" s="41"/>
      <c r="B93" s="38" t="s">
        <v>188</v>
      </c>
      <c r="C93" s="30"/>
      <c r="D93" s="30"/>
      <c r="E93" s="30"/>
      <c r="F93" s="30"/>
      <c r="G93" s="30"/>
      <c r="H93" s="30"/>
      <c r="I93" s="37">
        <f>I85+I91</f>
        <v>111980.76359878335</v>
      </c>
    </row>
    <row r="94" spans="1:9" ht="15.75">
      <c r="A94" s="187" t="s">
        <v>198</v>
      </c>
      <c r="B94" s="187"/>
      <c r="C94" s="187"/>
      <c r="D94" s="187"/>
      <c r="E94" s="187"/>
      <c r="F94" s="187"/>
      <c r="G94" s="187"/>
      <c r="H94" s="187"/>
      <c r="I94" s="187"/>
    </row>
    <row r="95" spans="1:9" ht="15.75">
      <c r="A95" s="106"/>
      <c r="B95" s="181" t="s">
        <v>199</v>
      </c>
      <c r="C95" s="181"/>
      <c r="D95" s="181"/>
      <c r="E95" s="181"/>
      <c r="F95" s="181"/>
      <c r="G95" s="181"/>
      <c r="H95" s="57"/>
      <c r="I95" s="3"/>
    </row>
    <row r="96" spans="1:9">
      <c r="A96" s="105"/>
      <c r="B96" s="177" t="s">
        <v>6</v>
      </c>
      <c r="C96" s="177"/>
      <c r="D96" s="177"/>
      <c r="E96" s="177"/>
      <c r="F96" s="177"/>
      <c r="G96" s="177"/>
      <c r="H96" s="20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82" t="s">
        <v>7</v>
      </c>
      <c r="B98" s="182"/>
      <c r="C98" s="182"/>
      <c r="D98" s="182"/>
      <c r="E98" s="182"/>
      <c r="F98" s="182"/>
      <c r="G98" s="182"/>
      <c r="H98" s="182"/>
      <c r="I98" s="182"/>
    </row>
    <row r="99" spans="1:9" ht="15.75">
      <c r="A99" s="182" t="s">
        <v>8</v>
      </c>
      <c r="B99" s="182"/>
      <c r="C99" s="182"/>
      <c r="D99" s="182"/>
      <c r="E99" s="182"/>
      <c r="F99" s="182"/>
      <c r="G99" s="182"/>
      <c r="H99" s="182"/>
      <c r="I99" s="182"/>
    </row>
    <row r="100" spans="1:9" ht="15.75">
      <c r="A100" s="183" t="s">
        <v>60</v>
      </c>
      <c r="B100" s="183"/>
      <c r="C100" s="183"/>
      <c r="D100" s="183"/>
      <c r="E100" s="183"/>
      <c r="F100" s="183"/>
      <c r="G100" s="183"/>
      <c r="H100" s="183"/>
      <c r="I100" s="183"/>
    </row>
    <row r="101" spans="1:9" ht="15.75" customHeight="1">
      <c r="A101" s="10"/>
    </row>
    <row r="102" spans="1:9" ht="15.75">
      <c r="A102" s="184" t="s">
        <v>9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>
      <c r="A103" s="4"/>
    </row>
    <row r="104" spans="1:9" ht="15.75">
      <c r="B104" s="102" t="s">
        <v>10</v>
      </c>
      <c r="C104" s="176" t="s">
        <v>92</v>
      </c>
      <c r="D104" s="176"/>
      <c r="E104" s="176"/>
      <c r="F104" s="55"/>
      <c r="I104" s="104"/>
    </row>
    <row r="105" spans="1:9">
      <c r="A105" s="105"/>
      <c r="C105" s="177" t="s">
        <v>11</v>
      </c>
      <c r="D105" s="177"/>
      <c r="E105" s="177"/>
      <c r="F105" s="20"/>
      <c r="I105" s="103" t="s">
        <v>12</v>
      </c>
    </row>
    <row r="106" spans="1:9" ht="15.75">
      <c r="A106" s="21"/>
      <c r="C106" s="11"/>
      <c r="D106" s="11"/>
      <c r="G106" s="11"/>
      <c r="H106" s="11"/>
    </row>
    <row r="107" spans="1:9" ht="15.75">
      <c r="B107" s="102" t="s">
        <v>13</v>
      </c>
      <c r="C107" s="178"/>
      <c r="D107" s="178"/>
      <c r="E107" s="178"/>
      <c r="F107" s="56"/>
      <c r="I107" s="104"/>
    </row>
    <row r="108" spans="1:9">
      <c r="A108" s="105"/>
      <c r="C108" s="179" t="s">
        <v>11</v>
      </c>
      <c r="D108" s="179"/>
      <c r="E108" s="179"/>
      <c r="F108" s="105"/>
      <c r="I108" s="103" t="s">
        <v>12</v>
      </c>
    </row>
    <row r="109" spans="1:9" ht="15.75">
      <c r="A109" s="4" t="s">
        <v>14</v>
      </c>
    </row>
    <row r="110" spans="1:9">
      <c r="A110" s="180" t="s">
        <v>15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45" customHeight="1">
      <c r="A111" s="169" t="s">
        <v>16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30" customHeight="1">
      <c r="A112" s="169" t="s">
        <v>17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30" customHeight="1">
      <c r="A113" s="169" t="s">
        <v>21</v>
      </c>
      <c r="B113" s="169"/>
      <c r="C113" s="169"/>
      <c r="D113" s="169"/>
      <c r="E113" s="169"/>
      <c r="F113" s="169"/>
      <c r="G113" s="169"/>
      <c r="H113" s="169"/>
      <c r="I113" s="169"/>
    </row>
    <row r="114" spans="1:9" ht="15" customHeight="1">
      <c r="A114" s="169" t="s">
        <v>20</v>
      </c>
      <c r="B114" s="169"/>
      <c r="C114" s="169"/>
      <c r="D114" s="169"/>
      <c r="E114" s="169"/>
      <c r="F114" s="169"/>
      <c r="G114" s="169"/>
      <c r="H114" s="169"/>
      <c r="I114" s="169"/>
    </row>
  </sheetData>
  <autoFilter ref="I12:I62"/>
  <mergeCells count="29">
    <mergeCell ref="A110:I110"/>
    <mergeCell ref="A111:I111"/>
    <mergeCell ref="A112:I112"/>
    <mergeCell ref="A113:I113"/>
    <mergeCell ref="A114:I114"/>
    <mergeCell ref="R67:U67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170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200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42855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/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v>0</v>
      </c>
      <c r="J19" s="59"/>
    </row>
    <row r="20" spans="1:10" s="58" customFormat="1" ht="15.75" hidden="1" customHeight="1">
      <c r="A20" s="25"/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v>0</v>
      </c>
      <c r="J20" s="59"/>
    </row>
    <row r="21" spans="1:10" s="58" customFormat="1" ht="15.75" hidden="1" customHeight="1">
      <c r="A21" s="25"/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v>0</v>
      </c>
      <c r="J21" s="59"/>
    </row>
    <row r="22" spans="1:10" s="58" customFormat="1" ht="15.75" hidden="1" customHeight="1">
      <c r="A22" s="25"/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v>0</v>
      </c>
      <c r="J22" s="59"/>
    </row>
    <row r="23" spans="1:10" s="58" customFormat="1" ht="15.75" hidden="1" customHeight="1">
      <c r="A23" s="25"/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v>0</v>
      </c>
      <c r="J23" s="59"/>
    </row>
    <row r="24" spans="1:10" s="58" customFormat="1" ht="15.75" hidden="1" customHeight="1">
      <c r="A24" s="25"/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v>0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1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1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hidden="1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hidden="1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2">SUM(F29*G29/1000)</f>
        <v>9.6733725659999994</v>
      </c>
      <c r="I29" s="12">
        <f>F29/6*G29</f>
        <v>1612.2287609999998</v>
      </c>
      <c r="J29" s="59"/>
    </row>
    <row r="30" spans="1:10" s="58" customFormat="1" ht="31.5" hidden="1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2"/>
        <v>1.9199711232000003</v>
      </c>
      <c r="I30" s="12">
        <f t="shared" ref="I30:I33" si="3">F30/6*G30</f>
        <v>319.99518720000003</v>
      </c>
      <c r="J30" s="59"/>
    </row>
    <row r="31" spans="1:10" s="58" customFormat="1" ht="15.75" hidden="1" customHeight="1">
      <c r="A31" s="25"/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2"/>
        <v>3.6041344370999995</v>
      </c>
      <c r="I31" s="12">
        <f>F31*G31</f>
        <v>3604.1344370999996</v>
      </c>
      <c r="J31" s="59"/>
    </row>
    <row r="32" spans="1:10" s="58" customFormat="1" ht="15.75" hidden="1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3"/>
        <v>2157.3829999999998</v>
      </c>
      <c r="J32" s="59"/>
    </row>
    <row r="33" spans="1:14" s="58" customFormat="1" ht="15.75" hidden="1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3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4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4"/>
        <v>2.2726599999999997</v>
      </c>
      <c r="I35" s="12">
        <v>0</v>
      </c>
      <c r="J35" s="59"/>
    </row>
    <row r="36" spans="1:14" s="58" customFormat="1" ht="15.75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5">SUM(F37*G37/1000)</f>
        <v>13.060799999999999</v>
      </c>
      <c r="I37" s="12">
        <f>F37/6*G37</f>
        <v>2176.7999999999997</v>
      </c>
      <c r="J37" s="59"/>
    </row>
    <row r="38" spans="1:14" s="58" customFormat="1" ht="15.75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5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5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customHeight="1">
      <c r="A43" s="25">
        <v>11</v>
      </c>
      <c r="B43" s="61" t="s">
        <v>125</v>
      </c>
      <c r="C43" s="62" t="s">
        <v>113</v>
      </c>
      <c r="D43" s="129" t="s">
        <v>255</v>
      </c>
      <c r="E43" s="132">
        <v>89.03</v>
      </c>
      <c r="F43" s="140">
        <f>SUM(E43*15/1000)</f>
        <v>1.33545</v>
      </c>
      <c r="G43" s="132">
        <v>458.28</v>
      </c>
      <c r="H43" s="133">
        <f t="shared" ref="H43" si="6">SUM(F43*G43/1000)</f>
        <v>0.61201002599999987</v>
      </c>
      <c r="I43" s="12">
        <f>F43/2*G43</f>
        <v>306.00501299999996</v>
      </c>
      <c r="J43" s="59"/>
      <c r="L43" s="18"/>
      <c r="M43" s="19"/>
      <c r="N43" s="28"/>
    </row>
    <row r="44" spans="1:14" s="58" customFormat="1" ht="15.75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5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hidden="1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/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7">SUM(F46*G46/1000)</f>
        <v>1.8752264999999999</v>
      </c>
      <c r="I46" s="12">
        <v>0</v>
      </c>
      <c r="J46" s="59"/>
      <c r="L46" s="18"/>
      <c r="M46" s="19"/>
      <c r="N46" s="28"/>
    </row>
    <row r="47" spans="1:14" s="58" customFormat="1" ht="15.75" hidden="1" customHeight="1">
      <c r="A47" s="25"/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7"/>
        <v>0.16353744000000001</v>
      </c>
      <c r="I47" s="12">
        <v>0</v>
      </c>
      <c r="J47" s="59"/>
      <c r="L47" s="18"/>
      <c r="M47" s="19"/>
      <c r="N47" s="28"/>
    </row>
    <row r="48" spans="1:14" s="58" customFormat="1" ht="15.75" hidden="1" customHeight="1">
      <c r="A48" s="25"/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7"/>
        <v>5.2632047223999994</v>
      </c>
      <c r="I48" s="12">
        <v>0</v>
      </c>
      <c r="J48" s="59"/>
      <c r="L48" s="18"/>
      <c r="M48" s="19"/>
      <c r="N48" s="28"/>
    </row>
    <row r="49" spans="1:22" s="58" customFormat="1" ht="15.75" hidden="1" customHeight="1">
      <c r="A49" s="25"/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7"/>
        <v>2.8068728447999995</v>
      </c>
      <c r="I49" s="12">
        <v>0</v>
      </c>
      <c r="J49" s="59"/>
      <c r="L49" s="18"/>
      <c r="M49" s="19"/>
      <c r="N49" s="28"/>
    </row>
    <row r="50" spans="1:22" s="58" customFormat="1" ht="15.75" hidden="1" customHeight="1">
      <c r="A50" s="25">
        <v>13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7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>
        <v>13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7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hidden="1" customHeight="1">
      <c r="A52" s="25">
        <v>14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7"/>
        <v>1.7513339999999997</v>
      </c>
      <c r="I52" s="12">
        <f t="shared" ref="I52:I53" si="8">F52/2*G52</f>
        <v>875.66699999999992</v>
      </c>
      <c r="J52" s="59"/>
      <c r="L52" s="18"/>
      <c r="M52" s="19"/>
      <c r="N52" s="28"/>
    </row>
    <row r="53" spans="1:22" s="58" customFormat="1" ht="15.75" hidden="1" customHeight="1">
      <c r="A53" s="25">
        <v>15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7"/>
        <v>0.12084260000000001</v>
      </c>
      <c r="I53" s="12">
        <f t="shared" si="8"/>
        <v>60.421300000000002</v>
      </c>
      <c r="J53" s="59"/>
      <c r="L53" s="18"/>
      <c r="M53" s="19"/>
      <c r="N53" s="28"/>
    </row>
    <row r="54" spans="1:22" s="58" customFormat="1" ht="15.75" hidden="1" customHeight="1">
      <c r="A54" s="25">
        <v>14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7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hidden="1" customHeight="1">
      <c r="A55" s="25">
        <v>15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7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173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16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9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9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/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9"/>
        <v>32.5375613</v>
      </c>
      <c r="I68" s="12">
        <v>0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/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9"/>
        <v>2.5338236700000003</v>
      </c>
      <c r="I69" s="12">
        <v>0</v>
      </c>
    </row>
    <row r="70" spans="1:21" s="58" customFormat="1" ht="15.75" hidden="1" customHeight="1">
      <c r="A70" s="25"/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9"/>
        <v>49.766983200000013</v>
      </c>
      <c r="I70" s="12">
        <v>0</v>
      </c>
    </row>
    <row r="71" spans="1:21" s="58" customFormat="1" ht="15.75" hidden="1" customHeight="1">
      <c r="A71" s="25"/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9"/>
        <v>0.53252160000000004</v>
      </c>
      <c r="I71" s="12">
        <v>0</v>
      </c>
    </row>
    <row r="72" spans="1:21" s="58" customFormat="1" ht="15.75" hidden="1" customHeight="1">
      <c r="A72" s="25"/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9"/>
        <v>0.49682880000000007</v>
      </c>
      <c r="I72" s="12">
        <v>0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9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0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1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174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17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18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I16+I17+I18+I25+I26+I37+I38+I39+I41+I42+I43+I44+I58+I59+I61+I64+I83+I84</f>
        <v>63682.782898783342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19</v>
      </c>
      <c r="B87" s="119" t="s">
        <v>185</v>
      </c>
      <c r="C87" s="86" t="s">
        <v>99</v>
      </c>
      <c r="D87" s="13"/>
      <c r="E87" s="17"/>
      <c r="F87" s="12">
        <f>(3+15+15+3+15)/3</f>
        <v>17</v>
      </c>
      <c r="G87" s="12">
        <v>1120.8900000000001</v>
      </c>
      <c r="H87" s="78">
        <f t="shared" ref="H87" si="12">G87*F87/1000</f>
        <v>19.055130000000002</v>
      </c>
      <c r="I87" s="122">
        <f>G87*(15/3)</f>
        <v>5604.4500000000007</v>
      </c>
    </row>
    <row r="88" spans="1:9" ht="15.75" customHeight="1">
      <c r="A88" s="25"/>
      <c r="B88" s="87" t="s">
        <v>50</v>
      </c>
      <c r="C88" s="34"/>
      <c r="D88" s="40"/>
      <c r="E88" s="34">
        <v>1</v>
      </c>
      <c r="F88" s="34"/>
      <c r="G88" s="34"/>
      <c r="H88" s="34"/>
      <c r="I88" s="29">
        <f>SUM(I87:I87)</f>
        <v>5604.4500000000007</v>
      </c>
    </row>
    <row r="89" spans="1:9" ht="15.75" customHeight="1">
      <c r="A89" s="25"/>
      <c r="B89" s="39" t="s">
        <v>78</v>
      </c>
      <c r="C89" s="14"/>
      <c r="D89" s="14"/>
      <c r="E89" s="35"/>
      <c r="F89" s="35"/>
      <c r="G89" s="36"/>
      <c r="H89" s="36"/>
      <c r="I89" s="16">
        <v>0</v>
      </c>
    </row>
    <row r="90" spans="1:9" ht="15.75" customHeight="1">
      <c r="A90" s="41"/>
      <c r="B90" s="38" t="s">
        <v>188</v>
      </c>
      <c r="C90" s="30"/>
      <c r="D90" s="30"/>
      <c r="E90" s="30"/>
      <c r="F90" s="30"/>
      <c r="G90" s="30"/>
      <c r="H90" s="30"/>
      <c r="I90" s="37">
        <f>I85+I88</f>
        <v>69287.232898783346</v>
      </c>
    </row>
    <row r="91" spans="1:9" ht="15.75">
      <c r="A91" s="187" t="s">
        <v>201</v>
      </c>
      <c r="B91" s="187"/>
      <c r="C91" s="187"/>
      <c r="D91" s="187"/>
      <c r="E91" s="187"/>
      <c r="F91" s="187"/>
      <c r="G91" s="187"/>
      <c r="H91" s="187"/>
      <c r="I91" s="187"/>
    </row>
    <row r="92" spans="1:9" ht="15.75">
      <c r="A92" s="106"/>
      <c r="B92" s="181" t="s">
        <v>202</v>
      </c>
      <c r="C92" s="181"/>
      <c r="D92" s="181"/>
      <c r="E92" s="181"/>
      <c r="F92" s="181"/>
      <c r="G92" s="181"/>
      <c r="H92" s="57"/>
      <c r="I92" s="3"/>
    </row>
    <row r="93" spans="1:9">
      <c r="A93" s="105"/>
      <c r="B93" s="177" t="s">
        <v>6</v>
      </c>
      <c r="C93" s="177"/>
      <c r="D93" s="177"/>
      <c r="E93" s="177"/>
      <c r="F93" s="177"/>
      <c r="G93" s="177"/>
      <c r="H93" s="20"/>
      <c r="I93" s="5"/>
    </row>
    <row r="94" spans="1:9" ht="15.75" customHeight="1">
      <c r="A94" s="9"/>
      <c r="B94" s="9"/>
      <c r="C94" s="9"/>
      <c r="D94" s="9"/>
      <c r="E94" s="9"/>
      <c r="F94" s="9"/>
      <c r="G94" s="9"/>
      <c r="H94" s="9"/>
      <c r="I94" s="9"/>
    </row>
    <row r="95" spans="1:9" ht="15.75">
      <c r="A95" s="182" t="s">
        <v>7</v>
      </c>
      <c r="B95" s="182"/>
      <c r="C95" s="182"/>
      <c r="D95" s="182"/>
      <c r="E95" s="182"/>
      <c r="F95" s="182"/>
      <c r="G95" s="182"/>
      <c r="H95" s="182"/>
      <c r="I95" s="182"/>
    </row>
    <row r="96" spans="1:9" ht="15.75">
      <c r="A96" s="182" t="s">
        <v>8</v>
      </c>
      <c r="B96" s="182"/>
      <c r="C96" s="182"/>
      <c r="D96" s="182"/>
      <c r="E96" s="182"/>
      <c r="F96" s="182"/>
      <c r="G96" s="182"/>
      <c r="H96" s="182"/>
      <c r="I96" s="182"/>
    </row>
    <row r="97" spans="1:9" ht="15.75">
      <c r="A97" s="183" t="s">
        <v>60</v>
      </c>
      <c r="B97" s="183"/>
      <c r="C97" s="183"/>
      <c r="D97" s="183"/>
      <c r="E97" s="183"/>
      <c r="F97" s="183"/>
      <c r="G97" s="183"/>
      <c r="H97" s="183"/>
      <c r="I97" s="183"/>
    </row>
    <row r="98" spans="1:9" ht="15.75" customHeight="1">
      <c r="A98" s="10"/>
    </row>
    <row r="99" spans="1:9" ht="15.75">
      <c r="A99" s="184" t="s">
        <v>9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>
      <c r="A100" s="4"/>
    </row>
    <row r="101" spans="1:9" ht="15.75">
      <c r="B101" s="102" t="s">
        <v>10</v>
      </c>
      <c r="C101" s="176" t="s">
        <v>92</v>
      </c>
      <c r="D101" s="176"/>
      <c r="E101" s="176"/>
      <c r="F101" s="55"/>
      <c r="I101" s="104"/>
    </row>
    <row r="102" spans="1:9">
      <c r="A102" s="105"/>
      <c r="C102" s="177" t="s">
        <v>11</v>
      </c>
      <c r="D102" s="177"/>
      <c r="E102" s="177"/>
      <c r="F102" s="20"/>
      <c r="I102" s="103" t="s">
        <v>12</v>
      </c>
    </row>
    <row r="103" spans="1:9" ht="15.75">
      <c r="A103" s="21"/>
      <c r="C103" s="11"/>
      <c r="D103" s="11"/>
      <c r="G103" s="11"/>
      <c r="H103" s="11"/>
    </row>
    <row r="104" spans="1:9" ht="15.75">
      <c r="B104" s="102" t="s">
        <v>13</v>
      </c>
      <c r="C104" s="178"/>
      <c r="D104" s="178"/>
      <c r="E104" s="178"/>
      <c r="F104" s="56"/>
      <c r="I104" s="104"/>
    </row>
    <row r="105" spans="1:9">
      <c r="A105" s="105"/>
      <c r="C105" s="179" t="s">
        <v>11</v>
      </c>
      <c r="D105" s="179"/>
      <c r="E105" s="179"/>
      <c r="F105" s="105"/>
      <c r="I105" s="103" t="s">
        <v>12</v>
      </c>
    </row>
    <row r="106" spans="1:9" ht="15.75">
      <c r="A106" s="4" t="s">
        <v>14</v>
      </c>
    </row>
    <row r="107" spans="1:9">
      <c r="A107" s="180" t="s">
        <v>15</v>
      </c>
      <c r="B107" s="180"/>
      <c r="C107" s="180"/>
      <c r="D107" s="180"/>
      <c r="E107" s="180"/>
      <c r="F107" s="180"/>
      <c r="G107" s="180"/>
      <c r="H107" s="180"/>
      <c r="I107" s="180"/>
    </row>
    <row r="108" spans="1:9" ht="45" customHeight="1">
      <c r="A108" s="169" t="s">
        <v>16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30" customHeight="1">
      <c r="A109" s="169" t="s">
        <v>17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30" customHeight="1">
      <c r="A110" s="169" t="s">
        <v>21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15" customHeight="1">
      <c r="A111" s="169" t="s">
        <v>20</v>
      </c>
      <c r="B111" s="169"/>
      <c r="C111" s="169"/>
      <c r="D111" s="169"/>
      <c r="E111" s="169"/>
      <c r="F111" s="169"/>
      <c r="G111" s="169"/>
      <c r="H111" s="169"/>
      <c r="I111" s="169"/>
    </row>
  </sheetData>
  <autoFilter ref="I12:I62"/>
  <mergeCells count="29">
    <mergeCell ref="A107:I107"/>
    <mergeCell ref="A108:I108"/>
    <mergeCell ref="A109:I109"/>
    <mergeCell ref="A110:I110"/>
    <mergeCell ref="A111:I111"/>
    <mergeCell ref="R67:U67"/>
    <mergeCell ref="C105:E105"/>
    <mergeCell ref="A86:I86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171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203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42886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customHeight="1">
      <c r="A19" s="25">
        <v>4</v>
      </c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f>F19/2*G19</f>
        <v>849.47300000000007</v>
      </c>
      <c r="J19" s="59"/>
    </row>
    <row r="20" spans="1:10" s="58" customFormat="1" ht="15.75" customHeight="1">
      <c r="A20" s="25">
        <v>5</v>
      </c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f t="shared" ref="I20:I21" si="1">F20/2*G20</f>
        <v>100.61712000000001</v>
      </c>
      <c r="J20" s="59"/>
    </row>
    <row r="21" spans="1:10" s="58" customFormat="1" ht="15.75" customHeight="1">
      <c r="A21" s="25">
        <v>6</v>
      </c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f t="shared" si="1"/>
        <v>23.287824000000001</v>
      </c>
      <c r="J21" s="59"/>
    </row>
    <row r="22" spans="1:10" s="58" customFormat="1" ht="15.75" customHeight="1">
      <c r="A22" s="25">
        <v>7</v>
      </c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f>F22*G22</f>
        <v>1849.6598399999998</v>
      </c>
      <c r="J22" s="59"/>
    </row>
    <row r="23" spans="1:10" s="58" customFormat="1" ht="15.75" customHeight="1">
      <c r="A23" s="25">
        <v>8</v>
      </c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f t="shared" ref="I23:I24" si="2">F23*G23</f>
        <v>16.705080000000002</v>
      </c>
      <c r="J23" s="59"/>
    </row>
    <row r="24" spans="1:10" s="58" customFormat="1" ht="15.75" customHeight="1">
      <c r="A24" s="25">
        <v>9</v>
      </c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f t="shared" si="2"/>
        <v>160.34112000000002</v>
      </c>
      <c r="J24" s="59"/>
    </row>
    <row r="25" spans="1:10" s="58" customFormat="1" ht="15.75" customHeight="1">
      <c r="A25" s="25">
        <v>10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3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11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3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customHeight="1">
      <c r="A29" s="25">
        <v>12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4">SUM(F29*G29/1000)</f>
        <v>9.6733725659999994</v>
      </c>
      <c r="I29" s="12">
        <f>F29/6*G29</f>
        <v>1612.2287609999998</v>
      </c>
      <c r="J29" s="59"/>
    </row>
    <row r="30" spans="1:10" s="58" customFormat="1" ht="31.5" customHeight="1">
      <c r="A30" s="25">
        <v>13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4"/>
        <v>1.9199711232000003</v>
      </c>
      <c r="I30" s="12">
        <f t="shared" ref="I30:I33" si="5">F30/6*G30</f>
        <v>319.99518720000003</v>
      </c>
      <c r="J30" s="59"/>
    </row>
    <row r="31" spans="1:10" s="58" customFormat="1" ht="15.75" customHeight="1">
      <c r="A31" s="25">
        <v>14</v>
      </c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4"/>
        <v>3.6041344370999995</v>
      </c>
      <c r="I31" s="12">
        <f>F31*G31</f>
        <v>3604.1344370999996</v>
      </c>
      <c r="J31" s="59"/>
    </row>
    <row r="32" spans="1:10" s="58" customFormat="1" ht="15.75" customHeight="1">
      <c r="A32" s="25">
        <v>15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5"/>
        <v>2157.3829999999998</v>
      </c>
      <c r="J32" s="59"/>
    </row>
    <row r="33" spans="1:14" s="58" customFormat="1" ht="15.75" customHeight="1">
      <c r="A33" s="25">
        <v>16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5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6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6"/>
        <v>2.2726599999999997</v>
      </c>
      <c r="I35" s="12">
        <v>0</v>
      </c>
      <c r="J35" s="59"/>
    </row>
    <row r="36" spans="1:14" s="58" customFormat="1" ht="15.75" hidden="1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hidden="1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7">SUM(F37*G37/1000)</f>
        <v>13.060799999999999</v>
      </c>
      <c r="I37" s="12">
        <f>F37/6*G37</f>
        <v>2176.7999999999997</v>
      </c>
      <c r="J37" s="59"/>
    </row>
    <row r="38" spans="1:14" s="58" customFormat="1" ht="15.75" hidden="1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hidden="1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hidden="1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7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hidden="1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7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7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hidden="1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7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customHeight="1">
      <c r="A46" s="25">
        <v>17</v>
      </c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8">SUM(F46*G46/1000)</f>
        <v>1.8752264999999999</v>
      </c>
      <c r="I46" s="12">
        <f t="shared" ref="I46:I48" si="9">F46/2*G46</f>
        <v>937.61324999999999</v>
      </c>
      <c r="J46" s="59"/>
      <c r="L46" s="18"/>
      <c r="M46" s="19"/>
      <c r="N46" s="28"/>
    </row>
    <row r="47" spans="1:14" s="58" customFormat="1" ht="15.75" customHeight="1">
      <c r="A47" s="25">
        <v>18</v>
      </c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8"/>
        <v>0.16353744000000001</v>
      </c>
      <c r="I47" s="12">
        <f t="shared" si="9"/>
        <v>81.768720000000002</v>
      </c>
      <c r="J47" s="59"/>
      <c r="L47" s="18"/>
      <c r="M47" s="19"/>
      <c r="N47" s="28"/>
    </row>
    <row r="48" spans="1:14" s="58" customFormat="1" ht="15.75" customHeight="1">
      <c r="A48" s="25">
        <v>19</v>
      </c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8"/>
        <v>5.2632047223999994</v>
      </c>
      <c r="I48" s="12">
        <f t="shared" si="9"/>
        <v>2631.6023611999999</v>
      </c>
      <c r="J48" s="59"/>
      <c r="L48" s="18"/>
      <c r="M48" s="19"/>
      <c r="N48" s="28"/>
    </row>
    <row r="49" spans="1:22" s="58" customFormat="1" ht="15.75" customHeight="1">
      <c r="A49" s="25">
        <v>20</v>
      </c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8"/>
        <v>2.8068728447999995</v>
      </c>
      <c r="I49" s="12">
        <f>F49/2*G49</f>
        <v>1403.4364223999999</v>
      </c>
      <c r="J49" s="59"/>
      <c r="L49" s="18"/>
      <c r="M49" s="19"/>
      <c r="N49" s="28"/>
    </row>
    <row r="50" spans="1:22" s="58" customFormat="1" ht="15.75" customHeight="1">
      <c r="A50" s="25">
        <v>21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8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>
        <v>13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8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hidden="1" customHeight="1">
      <c r="A52" s="25">
        <v>14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8"/>
        <v>1.7513339999999997</v>
      </c>
      <c r="I52" s="12">
        <f t="shared" ref="I52:I53" si="10">F52/2*G52</f>
        <v>875.66699999999992</v>
      </c>
      <c r="J52" s="59"/>
      <c r="L52" s="18"/>
      <c r="M52" s="19"/>
      <c r="N52" s="28"/>
    </row>
    <row r="53" spans="1:22" s="58" customFormat="1" ht="15.75" hidden="1" customHeight="1">
      <c r="A53" s="25">
        <v>15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8"/>
        <v>0.12084260000000001</v>
      </c>
      <c r="I53" s="12">
        <f t="shared" si="10"/>
        <v>60.421300000000002</v>
      </c>
      <c r="J53" s="59"/>
      <c r="L53" s="18"/>
      <c r="M53" s="19"/>
      <c r="N53" s="28"/>
    </row>
    <row r="54" spans="1:22" s="58" customFormat="1" ht="15.75" customHeight="1">
      <c r="A54" s="25">
        <v>22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8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customHeight="1">
      <c r="A55" s="25">
        <v>23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8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166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hidden="1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hidden="1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hidden="1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hidden="1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24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11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11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customHeight="1">
      <c r="A68" s="25">
        <v>25</v>
      </c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11"/>
        <v>32.5375613</v>
      </c>
      <c r="I68" s="12">
        <f>F68*G68</f>
        <v>32537.561299999998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customHeight="1">
      <c r="A69" s="25">
        <v>26</v>
      </c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11"/>
        <v>2.5338236700000003</v>
      </c>
      <c r="I69" s="12">
        <f t="shared" ref="I69:I72" si="12">F69*G69</f>
        <v>2533.8236700000002</v>
      </c>
    </row>
    <row r="70" spans="1:21" s="58" customFormat="1" ht="15.75" customHeight="1">
      <c r="A70" s="25">
        <v>27</v>
      </c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11"/>
        <v>49.766983200000013</v>
      </c>
      <c r="I70" s="12">
        <f t="shared" si="12"/>
        <v>49766.98320000001</v>
      </c>
    </row>
    <row r="71" spans="1:21" s="58" customFormat="1" ht="15.75" customHeight="1">
      <c r="A71" s="25">
        <v>28</v>
      </c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11"/>
        <v>0.53252160000000004</v>
      </c>
      <c r="I71" s="12">
        <f t="shared" si="12"/>
        <v>532.52160000000003</v>
      </c>
    </row>
    <row r="72" spans="1:21" s="58" customFormat="1" ht="15.75" customHeight="1">
      <c r="A72" s="25">
        <v>29</v>
      </c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11"/>
        <v>0.49682880000000007</v>
      </c>
      <c r="I72" s="12">
        <f t="shared" si="12"/>
        <v>496.82880000000006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11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3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4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167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30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31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I16+I17+I18+I19+I20+I21+I22+I23+I24+I25+I26+I29+I30+I31+I32+I33+I46+I47+I48+I49+I50+I54+I55+I64+I68+I69+I70+I71+I72+I83+I84</f>
        <v>180894.87578490001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32</v>
      </c>
      <c r="B87" s="119" t="s">
        <v>185</v>
      </c>
      <c r="C87" s="86" t="s">
        <v>99</v>
      </c>
      <c r="D87" s="13"/>
      <c r="E87" s="17"/>
      <c r="F87" s="12">
        <f>(3+15+15+3+15)/3</f>
        <v>17</v>
      </c>
      <c r="G87" s="12">
        <v>1120.8900000000001</v>
      </c>
      <c r="H87" s="78">
        <f t="shared" ref="H87:H90" si="15">G87*F87/1000</f>
        <v>19.055130000000002</v>
      </c>
      <c r="I87" s="122">
        <f>G87*((3+15)/3)</f>
        <v>6725.34</v>
      </c>
    </row>
    <row r="88" spans="1:9" s="58" customFormat="1" ht="15.75" customHeight="1">
      <c r="A88" s="25">
        <v>33</v>
      </c>
      <c r="B88" s="123" t="s">
        <v>204</v>
      </c>
      <c r="C88" s="25" t="s">
        <v>96</v>
      </c>
      <c r="D88" s="39"/>
      <c r="E88" s="12"/>
      <c r="F88" s="12">
        <v>1</v>
      </c>
      <c r="G88" s="12">
        <v>470</v>
      </c>
      <c r="H88" s="78">
        <f t="shared" si="15"/>
        <v>0.47</v>
      </c>
      <c r="I88" s="125">
        <f>G88</f>
        <v>470</v>
      </c>
    </row>
    <row r="89" spans="1:9" s="58" customFormat="1" ht="15.75" customHeight="1">
      <c r="A89" s="25">
        <v>34</v>
      </c>
      <c r="B89" s="42" t="s">
        <v>155</v>
      </c>
      <c r="C89" s="43" t="s">
        <v>156</v>
      </c>
      <c r="D89" s="13"/>
      <c r="E89" s="17"/>
      <c r="F89" s="12">
        <v>2</v>
      </c>
      <c r="G89" s="12">
        <v>206.54</v>
      </c>
      <c r="H89" s="78">
        <f t="shared" si="15"/>
        <v>0.41308</v>
      </c>
      <c r="I89" s="122">
        <f>G89*2</f>
        <v>413.08</v>
      </c>
    </row>
    <row r="90" spans="1:9" s="58" customFormat="1" ht="31.5" customHeight="1">
      <c r="A90" s="25">
        <v>35</v>
      </c>
      <c r="B90" s="123" t="s">
        <v>151</v>
      </c>
      <c r="C90" s="25" t="s">
        <v>152</v>
      </c>
      <c r="D90" s="39"/>
      <c r="E90" s="12"/>
      <c r="F90" s="12">
        <v>1</v>
      </c>
      <c r="G90" s="12">
        <v>403.69</v>
      </c>
      <c r="H90" s="78">
        <f t="shared" si="15"/>
        <v>0.40368999999999999</v>
      </c>
      <c r="I90" s="125">
        <f>G90</f>
        <v>403.69</v>
      </c>
    </row>
    <row r="91" spans="1:9" s="58" customFormat="1" ht="15.75" customHeight="1">
      <c r="A91" s="25">
        <v>36</v>
      </c>
      <c r="B91" s="42" t="s">
        <v>82</v>
      </c>
      <c r="C91" s="43" t="s">
        <v>96</v>
      </c>
      <c r="D91" s="13"/>
      <c r="E91" s="17"/>
      <c r="F91" s="12">
        <v>3</v>
      </c>
      <c r="G91" s="12">
        <v>189.88</v>
      </c>
      <c r="H91" s="78">
        <f>G91*F91/1000</f>
        <v>0.56964000000000004</v>
      </c>
      <c r="I91" s="122">
        <f>G91*2</f>
        <v>379.76</v>
      </c>
    </row>
    <row r="92" spans="1:9" s="58" customFormat="1" ht="15.75" customHeight="1">
      <c r="A92" s="25">
        <v>37</v>
      </c>
      <c r="B92" s="124" t="s">
        <v>86</v>
      </c>
      <c r="C92" s="43" t="s">
        <v>96</v>
      </c>
      <c r="D92" s="39"/>
      <c r="E92" s="12"/>
      <c r="F92" s="12">
        <v>2</v>
      </c>
      <c r="G92" s="12">
        <v>189.67</v>
      </c>
      <c r="H92" s="78">
        <f>G92*F92/1000</f>
        <v>0.37933999999999996</v>
      </c>
      <c r="I92" s="122">
        <f t="shared" ref="I92" si="16">G92*2</f>
        <v>379.34</v>
      </c>
    </row>
    <row r="93" spans="1:9" s="58" customFormat="1" ht="15.75" customHeight="1">
      <c r="A93" s="25">
        <v>38</v>
      </c>
      <c r="B93" s="124" t="s">
        <v>205</v>
      </c>
      <c r="C93" s="43" t="s">
        <v>162</v>
      </c>
      <c r="D93" s="39"/>
      <c r="E93" s="12"/>
      <c r="F93" s="12">
        <v>1</v>
      </c>
      <c r="G93" s="12">
        <v>1725</v>
      </c>
      <c r="H93" s="78">
        <f>G93*F93/1000</f>
        <v>1.7250000000000001</v>
      </c>
      <c r="I93" s="125">
        <f>G93</f>
        <v>1725</v>
      </c>
    </row>
    <row r="94" spans="1:9" ht="15.75" customHeight="1">
      <c r="A94" s="25"/>
      <c r="B94" s="87" t="s">
        <v>50</v>
      </c>
      <c r="C94" s="34"/>
      <c r="D94" s="40"/>
      <c r="E94" s="34">
        <v>1</v>
      </c>
      <c r="F94" s="34"/>
      <c r="G94" s="34"/>
      <c r="H94" s="34"/>
      <c r="I94" s="29">
        <f>SUM(I87:I93)</f>
        <v>10496.21</v>
      </c>
    </row>
    <row r="95" spans="1:9" ht="15.75" customHeight="1">
      <c r="A95" s="25"/>
      <c r="B95" s="39" t="s">
        <v>78</v>
      </c>
      <c r="C95" s="14"/>
      <c r="D95" s="14"/>
      <c r="E95" s="35"/>
      <c r="F95" s="35"/>
      <c r="G95" s="36"/>
      <c r="H95" s="36"/>
      <c r="I95" s="16">
        <v>0</v>
      </c>
    </row>
    <row r="96" spans="1:9" ht="15.75" customHeight="1">
      <c r="A96" s="41"/>
      <c r="B96" s="38" t="s">
        <v>188</v>
      </c>
      <c r="C96" s="30"/>
      <c r="D96" s="30"/>
      <c r="E96" s="30"/>
      <c r="F96" s="30"/>
      <c r="G96" s="30"/>
      <c r="H96" s="30"/>
      <c r="I96" s="37">
        <f>I85+I94</f>
        <v>191391.0857849</v>
      </c>
    </row>
    <row r="97" spans="1:9" ht="15.75">
      <c r="A97" s="187" t="s">
        <v>206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>
      <c r="A98" s="106"/>
      <c r="B98" s="181" t="s">
        <v>207</v>
      </c>
      <c r="C98" s="181"/>
      <c r="D98" s="181"/>
      <c r="E98" s="181"/>
      <c r="F98" s="181"/>
      <c r="G98" s="181"/>
      <c r="H98" s="57"/>
      <c r="I98" s="3"/>
    </row>
    <row r="99" spans="1:9">
      <c r="A99" s="105"/>
      <c r="B99" s="177" t="s">
        <v>6</v>
      </c>
      <c r="C99" s="177"/>
      <c r="D99" s="177"/>
      <c r="E99" s="177"/>
      <c r="F99" s="177"/>
      <c r="G99" s="177"/>
      <c r="H99" s="20"/>
      <c r="I99" s="5"/>
    </row>
    <row r="100" spans="1:9" ht="15.7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182" t="s">
        <v>7</v>
      </c>
      <c r="B101" s="182"/>
      <c r="C101" s="182"/>
      <c r="D101" s="182"/>
      <c r="E101" s="182"/>
      <c r="F101" s="182"/>
      <c r="G101" s="182"/>
      <c r="H101" s="182"/>
      <c r="I101" s="182"/>
    </row>
    <row r="102" spans="1:9" ht="15.75">
      <c r="A102" s="182" t="s">
        <v>8</v>
      </c>
      <c r="B102" s="182"/>
      <c r="C102" s="182"/>
      <c r="D102" s="182"/>
      <c r="E102" s="182"/>
      <c r="F102" s="182"/>
      <c r="G102" s="182"/>
      <c r="H102" s="182"/>
      <c r="I102" s="182"/>
    </row>
    <row r="103" spans="1:9" ht="15.75">
      <c r="A103" s="183" t="s">
        <v>60</v>
      </c>
      <c r="B103" s="183"/>
      <c r="C103" s="183"/>
      <c r="D103" s="183"/>
      <c r="E103" s="183"/>
      <c r="F103" s="183"/>
      <c r="G103" s="183"/>
      <c r="H103" s="183"/>
      <c r="I103" s="183"/>
    </row>
    <row r="104" spans="1:9" ht="15.75" customHeight="1">
      <c r="A104" s="10"/>
    </row>
    <row r="105" spans="1:9" ht="15.75">
      <c r="A105" s="184" t="s">
        <v>9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15.75">
      <c r="A106" s="4"/>
    </row>
    <row r="107" spans="1:9" ht="15.75">
      <c r="B107" s="102" t="s">
        <v>10</v>
      </c>
      <c r="C107" s="176" t="s">
        <v>92</v>
      </c>
      <c r="D107" s="176"/>
      <c r="E107" s="176"/>
      <c r="F107" s="55"/>
      <c r="I107" s="104"/>
    </row>
    <row r="108" spans="1:9">
      <c r="A108" s="105"/>
      <c r="C108" s="177" t="s">
        <v>11</v>
      </c>
      <c r="D108" s="177"/>
      <c r="E108" s="177"/>
      <c r="F108" s="20"/>
      <c r="I108" s="103" t="s">
        <v>12</v>
      </c>
    </row>
    <row r="109" spans="1:9" ht="15.75">
      <c r="A109" s="21"/>
      <c r="C109" s="11"/>
      <c r="D109" s="11"/>
      <c r="G109" s="11"/>
      <c r="H109" s="11"/>
    </row>
    <row r="110" spans="1:9" ht="15.75">
      <c r="B110" s="102" t="s">
        <v>13</v>
      </c>
      <c r="C110" s="178"/>
      <c r="D110" s="178"/>
      <c r="E110" s="178"/>
      <c r="F110" s="56"/>
      <c r="I110" s="104"/>
    </row>
    <row r="111" spans="1:9">
      <c r="A111" s="105"/>
      <c r="C111" s="179" t="s">
        <v>11</v>
      </c>
      <c r="D111" s="179"/>
      <c r="E111" s="179"/>
      <c r="F111" s="105"/>
      <c r="I111" s="103" t="s">
        <v>12</v>
      </c>
    </row>
    <row r="112" spans="1:9" ht="15.75">
      <c r="A112" s="4" t="s">
        <v>14</v>
      </c>
    </row>
    <row r="113" spans="1:9">
      <c r="A113" s="180" t="s">
        <v>15</v>
      </c>
      <c r="B113" s="180"/>
      <c r="C113" s="180"/>
      <c r="D113" s="180"/>
      <c r="E113" s="180"/>
      <c r="F113" s="180"/>
      <c r="G113" s="180"/>
      <c r="H113" s="180"/>
      <c r="I113" s="180"/>
    </row>
    <row r="114" spans="1:9" ht="45" customHeight="1">
      <c r="A114" s="169" t="s">
        <v>16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30" customHeight="1">
      <c r="A115" s="169" t="s">
        <v>17</v>
      </c>
      <c r="B115" s="169"/>
      <c r="C115" s="169"/>
      <c r="D115" s="169"/>
      <c r="E115" s="169"/>
      <c r="F115" s="169"/>
      <c r="G115" s="169"/>
      <c r="H115" s="169"/>
      <c r="I115" s="169"/>
    </row>
    <row r="116" spans="1:9" ht="30" customHeight="1">
      <c r="A116" s="169" t="s">
        <v>21</v>
      </c>
      <c r="B116" s="169"/>
      <c r="C116" s="169"/>
      <c r="D116" s="169"/>
      <c r="E116" s="169"/>
      <c r="F116" s="169"/>
      <c r="G116" s="169"/>
      <c r="H116" s="169"/>
      <c r="I116" s="169"/>
    </row>
    <row r="117" spans="1:9" ht="15" customHeight="1">
      <c r="A117" s="169" t="s">
        <v>20</v>
      </c>
      <c r="B117" s="169"/>
      <c r="C117" s="169"/>
      <c r="D117" s="169"/>
      <c r="E117" s="169"/>
      <c r="F117" s="169"/>
      <c r="G117" s="169"/>
      <c r="H117" s="169"/>
      <c r="I117" s="169"/>
    </row>
  </sheetData>
  <autoFilter ref="I12:I62"/>
  <mergeCells count="29">
    <mergeCell ref="A113:I113"/>
    <mergeCell ref="A114:I114"/>
    <mergeCell ref="A115:I115"/>
    <mergeCell ref="A116:I116"/>
    <mergeCell ref="A117:I117"/>
    <mergeCell ref="R67:U67"/>
    <mergeCell ref="C111:E111"/>
    <mergeCell ref="A86:I86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172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208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42916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>
        <v>4</v>
      </c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f>F19/2*G19</f>
        <v>849.47300000000007</v>
      </c>
      <c r="J19" s="59"/>
    </row>
    <row r="20" spans="1:10" s="58" customFormat="1" ht="15.75" hidden="1" customHeight="1">
      <c r="A20" s="25">
        <v>5</v>
      </c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f t="shared" ref="I20:I21" si="1">F20/2*G20</f>
        <v>100.61712000000001</v>
      </c>
      <c r="J20" s="59"/>
    </row>
    <row r="21" spans="1:10" s="58" customFormat="1" ht="15.75" hidden="1" customHeight="1">
      <c r="A21" s="25">
        <v>6</v>
      </c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f t="shared" si="1"/>
        <v>23.287824000000001</v>
      </c>
      <c r="J21" s="59"/>
    </row>
    <row r="22" spans="1:10" s="58" customFormat="1" ht="15.75" hidden="1" customHeight="1">
      <c r="A22" s="25">
        <v>7</v>
      </c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f>F22*G22</f>
        <v>1849.6598399999998</v>
      </c>
      <c r="J22" s="59"/>
    </row>
    <row r="23" spans="1:10" s="58" customFormat="1" ht="15.75" hidden="1" customHeight="1">
      <c r="A23" s="25">
        <v>8</v>
      </c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f t="shared" ref="I23:I24" si="2">F23*G23</f>
        <v>16.705080000000002</v>
      </c>
      <c r="J23" s="59"/>
    </row>
    <row r="24" spans="1:10" s="58" customFormat="1" ht="15.75" hidden="1" customHeight="1">
      <c r="A24" s="25">
        <v>9</v>
      </c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f t="shared" si="2"/>
        <v>160.34112000000002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3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3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4">SUM(F29*G29/1000)</f>
        <v>9.6733725659999994</v>
      </c>
      <c r="I29" s="12">
        <f>F29/6*G29</f>
        <v>1612.2287609999998</v>
      </c>
      <c r="J29" s="59"/>
    </row>
    <row r="30" spans="1:10" s="58" customFormat="1" ht="31.5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4"/>
        <v>1.9199711232000003</v>
      </c>
      <c r="I30" s="12">
        <f t="shared" ref="I30:I33" si="5">F30/6*G30</f>
        <v>319.99518720000003</v>
      </c>
      <c r="J30" s="59"/>
    </row>
    <row r="31" spans="1:10" s="58" customFormat="1" ht="15.75" hidden="1" customHeight="1">
      <c r="A31" s="25">
        <v>8</v>
      </c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4"/>
        <v>3.6041344370999995</v>
      </c>
      <c r="I31" s="12">
        <f>F31*G31</f>
        <v>3604.1344370999996</v>
      </c>
      <c r="J31" s="59"/>
    </row>
    <row r="32" spans="1:10" s="58" customFormat="1" ht="15.75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5"/>
        <v>2157.3829999999998</v>
      </c>
      <c r="J32" s="59"/>
    </row>
    <row r="33" spans="1:14" s="58" customFormat="1" ht="15.75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5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6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6"/>
        <v>2.2726599999999997</v>
      </c>
      <c r="I35" s="12">
        <v>0</v>
      </c>
      <c r="J35" s="59"/>
    </row>
    <row r="36" spans="1:14" s="58" customFormat="1" ht="15.75" hidden="1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hidden="1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7">SUM(F37*G37/1000)</f>
        <v>13.060799999999999</v>
      </c>
      <c r="I37" s="12">
        <f>F37/6*G37</f>
        <v>2176.7999999999997</v>
      </c>
      <c r="J37" s="59"/>
    </row>
    <row r="38" spans="1:14" s="58" customFormat="1" ht="15.75" hidden="1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hidden="1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hidden="1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7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hidden="1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7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7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hidden="1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7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hidden="1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>
        <v>10</v>
      </c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8">SUM(F46*G46/1000)</f>
        <v>1.8752264999999999</v>
      </c>
      <c r="I46" s="12">
        <f t="shared" ref="I46:I48" si="9">F46/2*G46</f>
        <v>937.61324999999999</v>
      </c>
      <c r="J46" s="59"/>
      <c r="L46" s="18"/>
      <c r="M46" s="19"/>
      <c r="N46" s="28"/>
    </row>
    <row r="47" spans="1:14" s="58" customFormat="1" ht="15.75" hidden="1" customHeight="1">
      <c r="A47" s="25">
        <v>11</v>
      </c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8"/>
        <v>0.16353744000000001</v>
      </c>
      <c r="I47" s="12">
        <f t="shared" si="9"/>
        <v>81.768720000000002</v>
      </c>
      <c r="J47" s="59"/>
      <c r="L47" s="18"/>
      <c r="M47" s="19"/>
      <c r="N47" s="28"/>
    </row>
    <row r="48" spans="1:14" s="58" customFormat="1" ht="15.75" hidden="1" customHeight="1">
      <c r="A48" s="25">
        <v>12</v>
      </c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8"/>
        <v>5.2632047223999994</v>
      </c>
      <c r="I48" s="12">
        <f t="shared" si="9"/>
        <v>2631.6023611999999</v>
      </c>
      <c r="J48" s="59"/>
      <c r="L48" s="18"/>
      <c r="M48" s="19"/>
      <c r="N48" s="28"/>
    </row>
    <row r="49" spans="1:22" s="58" customFormat="1" ht="15.75" hidden="1" customHeight="1">
      <c r="A49" s="25">
        <v>13</v>
      </c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8"/>
        <v>2.8068728447999995</v>
      </c>
      <c r="I49" s="12">
        <f>F49/2*G49</f>
        <v>1403.4364223999999</v>
      </c>
      <c r="J49" s="59"/>
      <c r="L49" s="18"/>
      <c r="M49" s="19"/>
      <c r="N49" s="28"/>
    </row>
    <row r="50" spans="1:22" s="58" customFormat="1" ht="15.75" hidden="1" customHeight="1">
      <c r="A50" s="25">
        <v>14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8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>
        <v>13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8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hidden="1" customHeight="1">
      <c r="A52" s="25">
        <v>14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8"/>
        <v>1.7513339999999997</v>
      </c>
      <c r="I52" s="12">
        <f t="shared" ref="I52:I53" si="10">F52/2*G52</f>
        <v>875.66699999999992</v>
      </c>
      <c r="J52" s="59"/>
      <c r="L52" s="18"/>
      <c r="M52" s="19"/>
      <c r="N52" s="28"/>
    </row>
    <row r="53" spans="1:22" s="58" customFormat="1" ht="15.75" hidden="1" customHeight="1">
      <c r="A53" s="25">
        <v>15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8"/>
        <v>0.12084260000000001</v>
      </c>
      <c r="I53" s="12">
        <f t="shared" si="10"/>
        <v>60.421300000000002</v>
      </c>
      <c r="J53" s="59"/>
      <c r="L53" s="18"/>
      <c r="M53" s="19"/>
      <c r="N53" s="28"/>
    </row>
    <row r="54" spans="1:22" s="58" customFormat="1" ht="15.75" hidden="1" customHeight="1">
      <c r="A54" s="25">
        <v>15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8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hidden="1" customHeight="1">
      <c r="A55" s="25">
        <v>16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8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173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hidden="1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hidden="1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hidden="1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hidden="1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10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11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11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>
        <v>19</v>
      </c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11"/>
        <v>32.5375613</v>
      </c>
      <c r="I68" s="12">
        <f>F68*G68</f>
        <v>32537.561299999998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>
        <v>20</v>
      </c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11"/>
        <v>2.5338236700000003</v>
      </c>
      <c r="I69" s="12">
        <f t="shared" ref="I69:I72" si="12">F69*G69</f>
        <v>2533.8236700000002</v>
      </c>
    </row>
    <row r="70" spans="1:21" s="58" customFormat="1" ht="15.75" hidden="1" customHeight="1">
      <c r="A70" s="25">
        <v>21</v>
      </c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11"/>
        <v>49.766983200000013</v>
      </c>
      <c r="I70" s="12">
        <f t="shared" si="12"/>
        <v>49766.98320000001</v>
      </c>
    </row>
    <row r="71" spans="1:21" s="58" customFormat="1" ht="15.75" hidden="1" customHeight="1">
      <c r="A71" s="25">
        <v>22</v>
      </c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11"/>
        <v>0.53252160000000004</v>
      </c>
      <c r="I71" s="12">
        <f t="shared" si="12"/>
        <v>532.52160000000003</v>
      </c>
    </row>
    <row r="72" spans="1:21" s="58" customFormat="1" ht="15.75" hidden="1" customHeight="1">
      <c r="A72" s="25">
        <v>23</v>
      </c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11"/>
        <v>0.49682880000000007</v>
      </c>
      <c r="I72" s="12">
        <f t="shared" si="12"/>
        <v>496.82880000000006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11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3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4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174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11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12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I16+I17+I18+I25+I26+I29+I30+I32+I33+I64+I83+I84</f>
        <v>55835.135640200009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13</v>
      </c>
      <c r="B87" s="42" t="s">
        <v>158</v>
      </c>
      <c r="C87" s="43" t="s">
        <v>96</v>
      </c>
      <c r="D87" s="13"/>
      <c r="E87" s="17"/>
      <c r="F87" s="12">
        <v>4</v>
      </c>
      <c r="G87" s="12">
        <v>140</v>
      </c>
      <c r="H87" s="78">
        <f t="shared" ref="H87:H96" si="15">G87*F87/1000</f>
        <v>0.56000000000000005</v>
      </c>
      <c r="I87" s="126">
        <f>G87*(1+1)</f>
        <v>280</v>
      </c>
    </row>
    <row r="88" spans="1:9" s="58" customFormat="1" ht="15.75" customHeight="1">
      <c r="A88" s="25">
        <v>14</v>
      </c>
      <c r="B88" s="42" t="s">
        <v>191</v>
      </c>
      <c r="C88" s="43" t="s">
        <v>96</v>
      </c>
      <c r="D88" s="13"/>
      <c r="E88" s="17"/>
      <c r="F88" s="12">
        <v>3</v>
      </c>
      <c r="G88" s="12">
        <v>118</v>
      </c>
      <c r="H88" s="78">
        <f t="shared" si="15"/>
        <v>0.35399999999999998</v>
      </c>
      <c r="I88" s="126">
        <f t="shared" ref="I88:I92" si="16">G88*(1+1)</f>
        <v>236</v>
      </c>
    </row>
    <row r="89" spans="1:9" s="58" customFormat="1" ht="15.75" customHeight="1">
      <c r="A89" s="25">
        <v>15</v>
      </c>
      <c r="B89" s="42" t="s">
        <v>194</v>
      </c>
      <c r="C89" s="43" t="s">
        <v>96</v>
      </c>
      <c r="D89" s="13"/>
      <c r="E89" s="17"/>
      <c r="F89" s="12">
        <v>6</v>
      </c>
      <c r="G89" s="12">
        <v>112</v>
      </c>
      <c r="H89" s="78">
        <f t="shared" si="15"/>
        <v>0.67200000000000004</v>
      </c>
      <c r="I89" s="126">
        <f>G89*(2+2)</f>
        <v>448</v>
      </c>
    </row>
    <row r="90" spans="1:9" s="58" customFormat="1" ht="15.75" customHeight="1">
      <c r="A90" s="25">
        <v>16</v>
      </c>
      <c r="B90" s="42" t="s">
        <v>163</v>
      </c>
      <c r="C90" s="43" t="s">
        <v>96</v>
      </c>
      <c r="D90" s="13"/>
      <c r="E90" s="17"/>
      <c r="F90" s="12">
        <v>2</v>
      </c>
      <c r="G90" s="12">
        <v>50</v>
      </c>
      <c r="H90" s="78">
        <f t="shared" si="15"/>
        <v>0.1</v>
      </c>
      <c r="I90" s="126">
        <f>G90</f>
        <v>50</v>
      </c>
    </row>
    <row r="91" spans="1:9" s="58" customFormat="1" ht="15.75" customHeight="1">
      <c r="A91" s="25">
        <v>17</v>
      </c>
      <c r="B91" s="120" t="s">
        <v>193</v>
      </c>
      <c r="C91" s="43" t="s">
        <v>96</v>
      </c>
      <c r="D91" s="13"/>
      <c r="E91" s="17"/>
      <c r="F91" s="12">
        <v>3</v>
      </c>
      <c r="G91" s="121">
        <v>108</v>
      </c>
      <c r="H91" s="78">
        <f t="shared" si="15"/>
        <v>0.32400000000000001</v>
      </c>
      <c r="I91" s="126">
        <f t="shared" si="16"/>
        <v>216</v>
      </c>
    </row>
    <row r="92" spans="1:9" s="58" customFormat="1" ht="15.75" customHeight="1">
      <c r="A92" s="25">
        <v>18</v>
      </c>
      <c r="B92" s="42" t="s">
        <v>159</v>
      </c>
      <c r="C92" s="60" t="s">
        <v>160</v>
      </c>
      <c r="D92" s="39"/>
      <c r="E92" s="12"/>
      <c r="F92" s="12">
        <v>4</v>
      </c>
      <c r="G92" s="12">
        <v>294.45</v>
      </c>
      <c r="H92" s="78">
        <f t="shared" si="15"/>
        <v>1.1778</v>
      </c>
      <c r="I92" s="126">
        <f t="shared" si="16"/>
        <v>588.9</v>
      </c>
    </row>
    <row r="93" spans="1:9" s="58" customFormat="1" ht="31.5" customHeight="1">
      <c r="A93" s="25">
        <v>19</v>
      </c>
      <c r="B93" s="42" t="s">
        <v>209</v>
      </c>
      <c r="C93" s="43" t="s">
        <v>154</v>
      </c>
      <c r="D93" s="39"/>
      <c r="E93" s="12"/>
      <c r="F93" s="12">
        <v>7</v>
      </c>
      <c r="G93" s="12">
        <v>1046.06</v>
      </c>
      <c r="H93" s="78">
        <f t="shared" si="15"/>
        <v>7.3224200000000002</v>
      </c>
      <c r="I93" s="126">
        <f>G93*(4+3)</f>
        <v>7322.42</v>
      </c>
    </row>
    <row r="94" spans="1:9" s="58" customFormat="1" ht="15.75" customHeight="1">
      <c r="A94" s="25">
        <v>20</v>
      </c>
      <c r="B94" s="42" t="s">
        <v>210</v>
      </c>
      <c r="C94" s="43" t="s">
        <v>96</v>
      </c>
      <c r="D94" s="39"/>
      <c r="E94" s="12"/>
      <c r="F94" s="12">
        <v>2</v>
      </c>
      <c r="G94" s="12">
        <v>63</v>
      </c>
      <c r="H94" s="78">
        <f t="shared" si="15"/>
        <v>0.126</v>
      </c>
      <c r="I94" s="126">
        <f>G94*(1+1)</f>
        <v>126</v>
      </c>
    </row>
    <row r="95" spans="1:9" s="58" customFormat="1" ht="15.75" customHeight="1">
      <c r="A95" s="25">
        <v>21</v>
      </c>
      <c r="B95" s="42" t="s">
        <v>211</v>
      </c>
      <c r="C95" s="43" t="s">
        <v>96</v>
      </c>
      <c r="D95" s="39"/>
      <c r="E95" s="12"/>
      <c r="F95" s="12">
        <v>3</v>
      </c>
      <c r="G95" s="12">
        <v>40</v>
      </c>
      <c r="H95" s="78">
        <f t="shared" si="15"/>
        <v>0.12</v>
      </c>
      <c r="I95" s="126">
        <f>G95*(1+2)</f>
        <v>120</v>
      </c>
    </row>
    <row r="96" spans="1:9" s="58" customFormat="1" ht="15.75" customHeight="1">
      <c r="A96" s="25">
        <v>22</v>
      </c>
      <c r="B96" s="42" t="s">
        <v>256</v>
      </c>
      <c r="C96" s="43" t="s">
        <v>33</v>
      </c>
      <c r="D96" s="32"/>
      <c r="E96" s="16"/>
      <c r="F96" s="31">
        <f>(31.27+53.73+90.59+87.34+81.27)-(9.504*6)</f>
        <v>287.17599999999999</v>
      </c>
      <c r="G96" s="31">
        <v>42.61</v>
      </c>
      <c r="H96" s="31">
        <f t="shared" si="15"/>
        <v>12.236569359999999</v>
      </c>
      <c r="I96" s="12">
        <f>G96*F96</f>
        <v>12236.56936</v>
      </c>
    </row>
    <row r="97" spans="1:9" ht="15.75" customHeight="1">
      <c r="A97" s="25"/>
      <c r="B97" s="87" t="s">
        <v>50</v>
      </c>
      <c r="C97" s="34"/>
      <c r="D97" s="40"/>
      <c r="E97" s="34">
        <v>1</v>
      </c>
      <c r="F97" s="34"/>
      <c r="G97" s="34"/>
      <c r="H97" s="34"/>
      <c r="I97" s="29">
        <f>SUM(I87:I96)</f>
        <v>21623.889360000001</v>
      </c>
    </row>
    <row r="98" spans="1:9" ht="15.75" customHeight="1">
      <c r="A98" s="25"/>
      <c r="B98" s="39" t="s">
        <v>78</v>
      </c>
      <c r="C98" s="14"/>
      <c r="D98" s="14"/>
      <c r="E98" s="35"/>
      <c r="F98" s="35"/>
      <c r="G98" s="36"/>
      <c r="H98" s="36"/>
      <c r="I98" s="16">
        <v>0</v>
      </c>
    </row>
    <row r="99" spans="1:9" ht="15.75" customHeight="1">
      <c r="A99" s="41"/>
      <c r="B99" s="38" t="s">
        <v>188</v>
      </c>
      <c r="C99" s="30"/>
      <c r="D99" s="30"/>
      <c r="E99" s="30"/>
      <c r="F99" s="30"/>
      <c r="G99" s="30"/>
      <c r="H99" s="30"/>
      <c r="I99" s="37">
        <f>I85+I97</f>
        <v>77459.02500020001</v>
      </c>
    </row>
    <row r="100" spans="1:9" ht="15.75">
      <c r="A100" s="187" t="s">
        <v>257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>
      <c r="A101" s="106"/>
      <c r="B101" s="181" t="s">
        <v>258</v>
      </c>
      <c r="C101" s="181"/>
      <c r="D101" s="181"/>
      <c r="E101" s="181"/>
      <c r="F101" s="181"/>
      <c r="G101" s="181"/>
      <c r="H101" s="57"/>
      <c r="I101" s="3"/>
    </row>
    <row r="102" spans="1:9">
      <c r="A102" s="105"/>
      <c r="B102" s="177" t="s">
        <v>6</v>
      </c>
      <c r="C102" s="177"/>
      <c r="D102" s="177"/>
      <c r="E102" s="177"/>
      <c r="F102" s="177"/>
      <c r="G102" s="177"/>
      <c r="H102" s="20"/>
      <c r="I102" s="5"/>
    </row>
    <row r="103" spans="1:9" ht="15.7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>
      <c r="A104" s="182" t="s">
        <v>7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15.75">
      <c r="A105" s="182" t="s">
        <v>8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15.75">
      <c r="A106" s="183" t="s">
        <v>60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 customHeight="1">
      <c r="A107" s="10"/>
    </row>
    <row r="108" spans="1:9" ht="15.75">
      <c r="A108" s="184" t="s">
        <v>9</v>
      </c>
      <c r="B108" s="184"/>
      <c r="C108" s="184"/>
      <c r="D108" s="184"/>
      <c r="E108" s="184"/>
      <c r="F108" s="184"/>
      <c r="G108" s="184"/>
      <c r="H108" s="184"/>
      <c r="I108" s="184"/>
    </row>
    <row r="109" spans="1:9" ht="15.75">
      <c r="A109" s="4"/>
    </row>
    <row r="110" spans="1:9" ht="15.75">
      <c r="B110" s="102" t="s">
        <v>10</v>
      </c>
      <c r="C110" s="176" t="s">
        <v>92</v>
      </c>
      <c r="D110" s="176"/>
      <c r="E110" s="176"/>
      <c r="F110" s="55"/>
      <c r="I110" s="104"/>
    </row>
    <row r="111" spans="1:9">
      <c r="A111" s="105"/>
      <c r="C111" s="177" t="s">
        <v>11</v>
      </c>
      <c r="D111" s="177"/>
      <c r="E111" s="177"/>
      <c r="F111" s="20"/>
      <c r="I111" s="103" t="s">
        <v>12</v>
      </c>
    </row>
    <row r="112" spans="1:9" ht="15.75">
      <c r="A112" s="21"/>
      <c r="C112" s="11"/>
      <c r="D112" s="11"/>
      <c r="G112" s="11"/>
      <c r="H112" s="11"/>
    </row>
    <row r="113" spans="1:9" ht="15.75">
      <c r="B113" s="102" t="s">
        <v>13</v>
      </c>
      <c r="C113" s="178"/>
      <c r="D113" s="178"/>
      <c r="E113" s="178"/>
      <c r="F113" s="56"/>
      <c r="I113" s="104"/>
    </row>
    <row r="114" spans="1:9">
      <c r="A114" s="105"/>
      <c r="C114" s="179" t="s">
        <v>11</v>
      </c>
      <c r="D114" s="179"/>
      <c r="E114" s="179"/>
      <c r="F114" s="105"/>
      <c r="I114" s="103" t="s">
        <v>12</v>
      </c>
    </row>
    <row r="115" spans="1:9" ht="15.75">
      <c r="A115" s="4" t="s">
        <v>14</v>
      </c>
    </row>
    <row r="116" spans="1:9">
      <c r="A116" s="180" t="s">
        <v>15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45" customHeight="1">
      <c r="A117" s="169" t="s">
        <v>16</v>
      </c>
      <c r="B117" s="169"/>
      <c r="C117" s="169"/>
      <c r="D117" s="169"/>
      <c r="E117" s="169"/>
      <c r="F117" s="169"/>
      <c r="G117" s="169"/>
      <c r="H117" s="169"/>
      <c r="I117" s="169"/>
    </row>
    <row r="118" spans="1:9" ht="30" customHeight="1">
      <c r="A118" s="169" t="s">
        <v>17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30" customHeight="1">
      <c r="A119" s="169" t="s">
        <v>21</v>
      </c>
      <c r="B119" s="169"/>
      <c r="C119" s="169"/>
      <c r="D119" s="169"/>
      <c r="E119" s="169"/>
      <c r="F119" s="169"/>
      <c r="G119" s="169"/>
      <c r="H119" s="169"/>
      <c r="I119" s="169"/>
    </row>
    <row r="120" spans="1:9" ht="15" customHeight="1">
      <c r="A120" s="169" t="s">
        <v>20</v>
      </c>
      <c r="B120" s="169"/>
      <c r="C120" s="169"/>
      <c r="D120" s="169"/>
      <c r="E120" s="169"/>
      <c r="F120" s="169"/>
      <c r="G120" s="169"/>
      <c r="H120" s="169"/>
      <c r="I120" s="169"/>
    </row>
  </sheetData>
  <autoFilter ref="I12:I62"/>
  <mergeCells count="29">
    <mergeCell ref="A116:I116"/>
    <mergeCell ref="A117:I117"/>
    <mergeCell ref="A118:I118"/>
    <mergeCell ref="A119:I119"/>
    <mergeCell ref="A120:I120"/>
    <mergeCell ref="R67:U67"/>
    <mergeCell ref="C114:E114"/>
    <mergeCell ref="A86:I86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175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212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42947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>
        <v>4</v>
      </c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f>F19/2*G19</f>
        <v>849.47300000000007</v>
      </c>
      <c r="J19" s="59"/>
    </row>
    <row r="20" spans="1:10" s="58" customFormat="1" ht="15.75" hidden="1" customHeight="1">
      <c r="A20" s="25">
        <v>5</v>
      </c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f t="shared" ref="I20:I21" si="1">F20/2*G20</f>
        <v>100.61712000000001</v>
      </c>
      <c r="J20" s="59"/>
    </row>
    <row r="21" spans="1:10" s="58" customFormat="1" ht="15.75" hidden="1" customHeight="1">
      <c r="A21" s="25">
        <v>6</v>
      </c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f t="shared" si="1"/>
        <v>23.287824000000001</v>
      </c>
      <c r="J21" s="59"/>
    </row>
    <row r="22" spans="1:10" s="58" customFormat="1" ht="15.75" hidden="1" customHeight="1">
      <c r="A22" s="25">
        <v>7</v>
      </c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f>F22*G22</f>
        <v>1849.6598399999998</v>
      </c>
      <c r="J22" s="59"/>
    </row>
    <row r="23" spans="1:10" s="58" customFormat="1" ht="15.75" hidden="1" customHeight="1">
      <c r="A23" s="25">
        <v>8</v>
      </c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f t="shared" ref="I23:I24" si="2">F23*G23</f>
        <v>16.705080000000002</v>
      </c>
      <c r="J23" s="59"/>
    </row>
    <row r="24" spans="1:10" s="58" customFormat="1" ht="15.75" hidden="1" customHeight="1">
      <c r="A24" s="25">
        <v>9</v>
      </c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f t="shared" si="2"/>
        <v>160.34112000000002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3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3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4">SUM(F29*G29/1000)</f>
        <v>9.6733725659999994</v>
      </c>
      <c r="I29" s="12">
        <f>F29/6*G29</f>
        <v>1612.2287609999998</v>
      </c>
      <c r="J29" s="59"/>
    </row>
    <row r="30" spans="1:10" s="58" customFormat="1" ht="31.5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4"/>
        <v>1.9199711232000003</v>
      </c>
      <c r="I30" s="12">
        <f t="shared" ref="I30:I33" si="5">F30/6*G30</f>
        <v>319.99518720000003</v>
      </c>
      <c r="J30" s="59"/>
    </row>
    <row r="31" spans="1:10" s="58" customFormat="1" ht="15.75" hidden="1" customHeight="1">
      <c r="A31" s="25">
        <v>8</v>
      </c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4"/>
        <v>3.6041344370999995</v>
      </c>
      <c r="I31" s="12">
        <f>F31*G31</f>
        <v>3604.1344370999996</v>
      </c>
      <c r="J31" s="59"/>
    </row>
    <row r="32" spans="1:10" s="58" customFormat="1" ht="15.75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5"/>
        <v>2157.3829999999998</v>
      </c>
      <c r="J32" s="59"/>
    </row>
    <row r="33" spans="1:14" s="58" customFormat="1" ht="15.75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5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6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6"/>
        <v>2.2726599999999997</v>
      </c>
      <c r="I35" s="12">
        <v>0</v>
      </c>
      <c r="J35" s="59"/>
    </row>
    <row r="36" spans="1:14" s="58" customFormat="1" ht="15.75" hidden="1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hidden="1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7">SUM(F37*G37/1000)</f>
        <v>13.060799999999999</v>
      </c>
      <c r="I37" s="12">
        <f>F37/6*G37</f>
        <v>2176.7999999999997</v>
      </c>
      <c r="J37" s="59"/>
    </row>
    <row r="38" spans="1:14" s="58" customFormat="1" ht="15.75" hidden="1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hidden="1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hidden="1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7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hidden="1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7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7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hidden="1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7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hidden="1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>
        <v>10</v>
      </c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8">SUM(F46*G46/1000)</f>
        <v>1.8752264999999999</v>
      </c>
      <c r="I46" s="12">
        <f t="shared" ref="I46:I48" si="9">F46/2*G46</f>
        <v>937.61324999999999</v>
      </c>
      <c r="J46" s="59"/>
      <c r="L46" s="18"/>
      <c r="M46" s="19"/>
      <c r="N46" s="28"/>
    </row>
    <row r="47" spans="1:14" s="58" customFormat="1" ht="15.75" hidden="1" customHeight="1">
      <c r="A47" s="25">
        <v>11</v>
      </c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8"/>
        <v>0.16353744000000001</v>
      </c>
      <c r="I47" s="12">
        <f t="shared" si="9"/>
        <v>81.768720000000002</v>
      </c>
      <c r="J47" s="59"/>
      <c r="L47" s="18"/>
      <c r="M47" s="19"/>
      <c r="N47" s="28"/>
    </row>
    <row r="48" spans="1:14" s="58" customFormat="1" ht="15.75" hidden="1" customHeight="1">
      <c r="A48" s="25">
        <v>12</v>
      </c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8"/>
        <v>5.2632047223999994</v>
      </c>
      <c r="I48" s="12">
        <f t="shared" si="9"/>
        <v>2631.6023611999999</v>
      </c>
      <c r="J48" s="59"/>
      <c r="L48" s="18"/>
      <c r="M48" s="19"/>
      <c r="N48" s="28"/>
    </row>
    <row r="49" spans="1:22" s="58" customFormat="1" ht="15.75" hidden="1" customHeight="1">
      <c r="A49" s="25">
        <v>13</v>
      </c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8"/>
        <v>2.8068728447999995</v>
      </c>
      <c r="I49" s="12">
        <f>F49/2*G49</f>
        <v>1403.4364223999999</v>
      </c>
      <c r="J49" s="59"/>
      <c r="L49" s="18"/>
      <c r="M49" s="19"/>
      <c r="N49" s="28"/>
    </row>
    <row r="50" spans="1:22" s="58" customFormat="1" ht="15.75" hidden="1" customHeight="1">
      <c r="A50" s="25">
        <v>14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8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>
        <v>13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8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hidden="1" customHeight="1">
      <c r="A52" s="25">
        <v>14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8"/>
        <v>1.7513339999999997</v>
      </c>
      <c r="I52" s="12">
        <f t="shared" ref="I52:I53" si="10">F52/2*G52</f>
        <v>875.66699999999992</v>
      </c>
      <c r="J52" s="59"/>
      <c r="L52" s="18"/>
      <c r="M52" s="19"/>
      <c r="N52" s="28"/>
    </row>
    <row r="53" spans="1:22" s="58" customFormat="1" ht="15.75" hidden="1" customHeight="1">
      <c r="A53" s="25">
        <v>15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8"/>
        <v>0.12084260000000001</v>
      </c>
      <c r="I53" s="12">
        <f t="shared" si="10"/>
        <v>60.421300000000002</v>
      </c>
      <c r="J53" s="59"/>
      <c r="L53" s="18"/>
      <c r="M53" s="19"/>
      <c r="N53" s="28"/>
    </row>
    <row r="54" spans="1:22" s="58" customFormat="1" ht="15.75" hidden="1" customHeight="1">
      <c r="A54" s="25">
        <v>15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8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hidden="1" customHeight="1">
      <c r="A55" s="25">
        <v>16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8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173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hidden="1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hidden="1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hidden="1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hidden="1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10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11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11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>
        <v>19</v>
      </c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11"/>
        <v>32.5375613</v>
      </c>
      <c r="I68" s="12">
        <f>F68*G68</f>
        <v>32537.561299999998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>
        <v>20</v>
      </c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11"/>
        <v>2.5338236700000003</v>
      </c>
      <c r="I69" s="12">
        <f t="shared" ref="I69:I72" si="12">F69*G69</f>
        <v>2533.8236700000002</v>
      </c>
    </row>
    <row r="70" spans="1:21" s="58" customFormat="1" ht="15.75" hidden="1" customHeight="1">
      <c r="A70" s="25">
        <v>21</v>
      </c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11"/>
        <v>49.766983200000013</v>
      </c>
      <c r="I70" s="12">
        <f t="shared" si="12"/>
        <v>49766.98320000001</v>
      </c>
    </row>
    <row r="71" spans="1:21" s="58" customFormat="1" ht="15.75" hidden="1" customHeight="1">
      <c r="A71" s="25">
        <v>22</v>
      </c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11"/>
        <v>0.53252160000000004</v>
      </c>
      <c r="I71" s="12">
        <f t="shared" si="12"/>
        <v>532.52160000000003</v>
      </c>
    </row>
    <row r="72" spans="1:21" s="58" customFormat="1" ht="15.75" hidden="1" customHeight="1">
      <c r="A72" s="25">
        <v>23</v>
      </c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11"/>
        <v>0.49682880000000007</v>
      </c>
      <c r="I72" s="12">
        <f t="shared" si="12"/>
        <v>496.82880000000006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11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3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4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174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11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12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I16+I17+I18+I25+I26+I29+I30+I32+I33+I64+I83+I84</f>
        <v>55835.135640200009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13</v>
      </c>
      <c r="B87" s="42" t="s">
        <v>159</v>
      </c>
      <c r="C87" s="60" t="s">
        <v>160</v>
      </c>
      <c r="D87" s="39"/>
      <c r="E87" s="12"/>
      <c r="F87" s="12">
        <v>4</v>
      </c>
      <c r="G87" s="12">
        <v>294.45</v>
      </c>
      <c r="H87" s="78">
        <f t="shared" ref="H87:H88" si="15">G87*F87/1000</f>
        <v>1.1778</v>
      </c>
      <c r="I87" s="126">
        <f>G87</f>
        <v>294.45</v>
      </c>
    </row>
    <row r="88" spans="1:9" s="58" customFormat="1" ht="31.5" customHeight="1">
      <c r="A88" s="25">
        <v>14</v>
      </c>
      <c r="B88" s="42" t="s">
        <v>213</v>
      </c>
      <c r="C88" s="43" t="s">
        <v>100</v>
      </c>
      <c r="D88" s="39"/>
      <c r="E88" s="12"/>
      <c r="F88" s="12">
        <f>16/10</f>
        <v>1.6</v>
      </c>
      <c r="G88" s="12">
        <v>2064.25</v>
      </c>
      <c r="H88" s="78">
        <f t="shared" si="15"/>
        <v>3.3028000000000004</v>
      </c>
      <c r="I88" s="126">
        <f>G88*1.6</f>
        <v>3302.8</v>
      </c>
    </row>
    <row r="89" spans="1:9" ht="15.75" customHeight="1">
      <c r="A89" s="25"/>
      <c r="B89" s="87" t="s">
        <v>50</v>
      </c>
      <c r="C89" s="34"/>
      <c r="D89" s="40"/>
      <c r="E89" s="34">
        <v>1</v>
      </c>
      <c r="F89" s="34"/>
      <c r="G89" s="34"/>
      <c r="H89" s="34"/>
      <c r="I89" s="29">
        <f>SUM(I87:I88)</f>
        <v>3597.25</v>
      </c>
    </row>
    <row r="90" spans="1:9" ht="15.75" customHeight="1">
      <c r="A90" s="25"/>
      <c r="B90" s="39" t="s">
        <v>78</v>
      </c>
      <c r="C90" s="14"/>
      <c r="D90" s="14"/>
      <c r="E90" s="35"/>
      <c r="F90" s="35"/>
      <c r="G90" s="36"/>
      <c r="H90" s="36"/>
      <c r="I90" s="16">
        <v>0</v>
      </c>
    </row>
    <row r="91" spans="1:9" ht="15.75" customHeight="1">
      <c r="A91" s="41"/>
      <c r="B91" s="38" t="s">
        <v>188</v>
      </c>
      <c r="C91" s="30"/>
      <c r="D91" s="30"/>
      <c r="E91" s="30"/>
      <c r="F91" s="30"/>
      <c r="G91" s="30"/>
      <c r="H91" s="30"/>
      <c r="I91" s="37">
        <f>I85+I89</f>
        <v>59432.385640200009</v>
      </c>
    </row>
    <row r="92" spans="1:9" ht="15.75">
      <c r="A92" s="187" t="s">
        <v>214</v>
      </c>
      <c r="B92" s="187"/>
      <c r="C92" s="187"/>
      <c r="D92" s="187"/>
      <c r="E92" s="187"/>
      <c r="F92" s="187"/>
      <c r="G92" s="187"/>
      <c r="H92" s="187"/>
      <c r="I92" s="187"/>
    </row>
    <row r="93" spans="1:9" ht="15.75">
      <c r="A93" s="106"/>
      <c r="B93" s="181" t="s">
        <v>215</v>
      </c>
      <c r="C93" s="181"/>
      <c r="D93" s="181"/>
      <c r="E93" s="181"/>
      <c r="F93" s="181"/>
      <c r="G93" s="181"/>
      <c r="H93" s="57"/>
      <c r="I93" s="3"/>
    </row>
    <row r="94" spans="1:9">
      <c r="A94" s="105"/>
      <c r="B94" s="177" t="s">
        <v>6</v>
      </c>
      <c r="C94" s="177"/>
      <c r="D94" s="177"/>
      <c r="E94" s="177"/>
      <c r="F94" s="177"/>
      <c r="G94" s="177"/>
      <c r="H94" s="20"/>
      <c r="I94" s="5"/>
    </row>
    <row r="95" spans="1:9" ht="15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5.75">
      <c r="A96" s="182" t="s">
        <v>7</v>
      </c>
      <c r="B96" s="182"/>
      <c r="C96" s="182"/>
      <c r="D96" s="182"/>
      <c r="E96" s="182"/>
      <c r="F96" s="182"/>
      <c r="G96" s="182"/>
      <c r="H96" s="182"/>
      <c r="I96" s="182"/>
    </row>
    <row r="97" spans="1:9" ht="15.75">
      <c r="A97" s="182" t="s">
        <v>8</v>
      </c>
      <c r="B97" s="182"/>
      <c r="C97" s="182"/>
      <c r="D97" s="182"/>
      <c r="E97" s="182"/>
      <c r="F97" s="182"/>
      <c r="G97" s="182"/>
      <c r="H97" s="182"/>
      <c r="I97" s="182"/>
    </row>
    <row r="98" spans="1:9" ht="15.75">
      <c r="A98" s="183" t="s">
        <v>60</v>
      </c>
      <c r="B98" s="183"/>
      <c r="C98" s="183"/>
      <c r="D98" s="183"/>
      <c r="E98" s="183"/>
      <c r="F98" s="183"/>
      <c r="G98" s="183"/>
      <c r="H98" s="183"/>
      <c r="I98" s="183"/>
    </row>
    <row r="99" spans="1:9" ht="15.75" customHeight="1">
      <c r="A99" s="10"/>
    </row>
    <row r="100" spans="1:9" ht="15.75">
      <c r="A100" s="184" t="s">
        <v>9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>
      <c r="A101" s="4"/>
    </row>
    <row r="102" spans="1:9" ht="15.75">
      <c r="B102" s="102" t="s">
        <v>10</v>
      </c>
      <c r="C102" s="176" t="s">
        <v>92</v>
      </c>
      <c r="D102" s="176"/>
      <c r="E102" s="176"/>
      <c r="F102" s="55"/>
      <c r="I102" s="104"/>
    </row>
    <row r="103" spans="1:9">
      <c r="A103" s="105"/>
      <c r="C103" s="177" t="s">
        <v>11</v>
      </c>
      <c r="D103" s="177"/>
      <c r="E103" s="177"/>
      <c r="F103" s="20"/>
      <c r="I103" s="103" t="s">
        <v>12</v>
      </c>
    </row>
    <row r="104" spans="1:9" ht="15.75">
      <c r="A104" s="21"/>
      <c r="C104" s="11"/>
      <c r="D104" s="11"/>
      <c r="G104" s="11"/>
      <c r="H104" s="11"/>
    </row>
    <row r="105" spans="1:9" ht="15.75">
      <c r="B105" s="102" t="s">
        <v>13</v>
      </c>
      <c r="C105" s="178"/>
      <c r="D105" s="178"/>
      <c r="E105" s="178"/>
      <c r="F105" s="56"/>
      <c r="I105" s="104"/>
    </row>
    <row r="106" spans="1:9">
      <c r="A106" s="105"/>
      <c r="C106" s="179" t="s">
        <v>11</v>
      </c>
      <c r="D106" s="179"/>
      <c r="E106" s="179"/>
      <c r="F106" s="105"/>
      <c r="I106" s="103" t="s">
        <v>12</v>
      </c>
    </row>
    <row r="107" spans="1:9" ht="15.75">
      <c r="A107" s="4" t="s">
        <v>14</v>
      </c>
    </row>
    <row r="108" spans="1:9">
      <c r="A108" s="180" t="s">
        <v>15</v>
      </c>
      <c r="B108" s="180"/>
      <c r="C108" s="180"/>
      <c r="D108" s="180"/>
      <c r="E108" s="180"/>
      <c r="F108" s="180"/>
      <c r="G108" s="180"/>
      <c r="H108" s="180"/>
      <c r="I108" s="180"/>
    </row>
    <row r="109" spans="1:9" ht="45" customHeight="1">
      <c r="A109" s="169" t="s">
        <v>16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30" customHeight="1">
      <c r="A110" s="169" t="s">
        <v>17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30" customHeight="1">
      <c r="A111" s="169" t="s">
        <v>21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15" customHeight="1">
      <c r="A112" s="169" t="s">
        <v>20</v>
      </c>
      <c r="B112" s="169"/>
      <c r="C112" s="169"/>
      <c r="D112" s="169"/>
      <c r="E112" s="169"/>
      <c r="F112" s="169"/>
      <c r="G112" s="169"/>
      <c r="H112" s="169"/>
      <c r="I112" s="169"/>
    </row>
  </sheetData>
  <autoFilter ref="I12:I62"/>
  <mergeCells count="29">
    <mergeCell ref="A108:I108"/>
    <mergeCell ref="A109:I109"/>
    <mergeCell ref="A110:I110"/>
    <mergeCell ref="A111:I111"/>
    <mergeCell ref="A112:I112"/>
    <mergeCell ref="R67:U67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176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216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42978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>
        <v>4</v>
      </c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f>F19/2*G19</f>
        <v>849.47300000000007</v>
      </c>
      <c r="J19" s="59"/>
    </row>
    <row r="20" spans="1:10" s="58" customFormat="1" ht="15.75" hidden="1" customHeight="1">
      <c r="A20" s="25">
        <v>5</v>
      </c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f t="shared" ref="I20:I21" si="1">F20/2*G20</f>
        <v>100.61712000000001</v>
      </c>
      <c r="J20" s="59"/>
    </row>
    <row r="21" spans="1:10" s="58" customFormat="1" ht="15.75" hidden="1" customHeight="1">
      <c r="A21" s="25">
        <v>6</v>
      </c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f t="shared" si="1"/>
        <v>23.287824000000001</v>
      </c>
      <c r="J21" s="59"/>
    </row>
    <row r="22" spans="1:10" s="58" customFormat="1" ht="15.75" hidden="1" customHeight="1">
      <c r="A22" s="25">
        <v>7</v>
      </c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f>F22*G22</f>
        <v>1849.6598399999998</v>
      </c>
      <c r="J22" s="59"/>
    </row>
    <row r="23" spans="1:10" s="58" customFormat="1" ht="15.75" hidden="1" customHeight="1">
      <c r="A23" s="25">
        <v>8</v>
      </c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f t="shared" ref="I23:I24" si="2">F23*G23</f>
        <v>16.705080000000002</v>
      </c>
      <c r="J23" s="59"/>
    </row>
    <row r="24" spans="1:10" s="58" customFormat="1" ht="15.75" hidden="1" customHeight="1">
      <c r="A24" s="25">
        <v>9</v>
      </c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f t="shared" si="2"/>
        <v>160.34112000000002</v>
      </c>
      <c r="J24" s="59"/>
    </row>
    <row r="25" spans="1:10" s="58" customFormat="1" ht="15.75" customHeight="1">
      <c r="A25" s="25">
        <v>4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3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5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3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customHeight="1">
      <c r="A29" s="25">
        <v>6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4">SUM(F29*G29/1000)</f>
        <v>9.6733725659999994</v>
      </c>
      <c r="I29" s="12">
        <f>F29/6*G29</f>
        <v>1612.2287609999998</v>
      </c>
      <c r="J29" s="59"/>
    </row>
    <row r="30" spans="1:10" s="58" customFormat="1" ht="31.5" customHeight="1">
      <c r="A30" s="25">
        <v>7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4"/>
        <v>1.9199711232000003</v>
      </c>
      <c r="I30" s="12">
        <f t="shared" ref="I30:I33" si="5">F30/6*G30</f>
        <v>319.99518720000003</v>
      </c>
      <c r="J30" s="59"/>
    </row>
    <row r="31" spans="1:10" s="58" customFormat="1" ht="15.75" hidden="1" customHeight="1">
      <c r="A31" s="25">
        <v>8</v>
      </c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4"/>
        <v>3.6041344370999995</v>
      </c>
      <c r="I31" s="12">
        <f>F31*G31</f>
        <v>3604.1344370999996</v>
      </c>
      <c r="J31" s="59"/>
    </row>
    <row r="32" spans="1:10" s="58" customFormat="1" ht="15.75" customHeight="1">
      <c r="A32" s="25">
        <v>8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5"/>
        <v>2157.3829999999998</v>
      </c>
      <c r="J32" s="59"/>
    </row>
    <row r="33" spans="1:14" s="58" customFormat="1" ht="15.75" customHeight="1">
      <c r="A33" s="25">
        <v>9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5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6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6"/>
        <v>2.2726599999999997</v>
      </c>
      <c r="I35" s="12">
        <v>0</v>
      </c>
      <c r="J35" s="59"/>
    </row>
    <row r="36" spans="1:14" s="58" customFormat="1" ht="15.75" hidden="1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hidden="1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7">SUM(F37*G37/1000)</f>
        <v>13.060799999999999</v>
      </c>
      <c r="I37" s="12">
        <f>F37/6*G37</f>
        <v>2176.7999999999997</v>
      </c>
      <c r="J37" s="59"/>
    </row>
    <row r="38" spans="1:14" s="58" customFormat="1" ht="15.75" hidden="1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hidden="1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hidden="1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7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hidden="1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7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7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hidden="1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7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hidden="1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hidden="1" customHeight="1">
      <c r="A46" s="25">
        <v>10</v>
      </c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8">SUM(F46*G46/1000)</f>
        <v>1.8752264999999999</v>
      </c>
      <c r="I46" s="12">
        <f t="shared" ref="I46:I48" si="9">F46/2*G46</f>
        <v>937.61324999999999</v>
      </c>
      <c r="J46" s="59"/>
      <c r="L46" s="18"/>
      <c r="M46" s="19"/>
      <c r="N46" s="28"/>
    </row>
    <row r="47" spans="1:14" s="58" customFormat="1" ht="15.75" hidden="1" customHeight="1">
      <c r="A47" s="25">
        <v>11</v>
      </c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8"/>
        <v>0.16353744000000001</v>
      </c>
      <c r="I47" s="12">
        <f t="shared" si="9"/>
        <v>81.768720000000002</v>
      </c>
      <c r="J47" s="59"/>
      <c r="L47" s="18"/>
      <c r="M47" s="19"/>
      <c r="N47" s="28"/>
    </row>
    <row r="48" spans="1:14" s="58" customFormat="1" ht="15.75" hidden="1" customHeight="1">
      <c r="A48" s="25">
        <v>12</v>
      </c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8"/>
        <v>5.2632047223999994</v>
      </c>
      <c r="I48" s="12">
        <f t="shared" si="9"/>
        <v>2631.6023611999999</v>
      </c>
      <c r="J48" s="59"/>
      <c r="L48" s="18"/>
      <c r="M48" s="19"/>
      <c r="N48" s="28"/>
    </row>
    <row r="49" spans="1:22" s="58" customFormat="1" ht="15.75" hidden="1" customHeight="1">
      <c r="A49" s="25">
        <v>13</v>
      </c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8"/>
        <v>2.8068728447999995</v>
      </c>
      <c r="I49" s="12">
        <f>F49/2*G49</f>
        <v>1403.4364223999999</v>
      </c>
      <c r="J49" s="59"/>
      <c r="L49" s="18"/>
      <c r="M49" s="19"/>
      <c r="N49" s="28"/>
    </row>
    <row r="50" spans="1:22" s="58" customFormat="1" ht="15.75" hidden="1" customHeight="1">
      <c r="A50" s="25">
        <v>14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8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hidden="1" customHeight="1">
      <c r="A51" s="25">
        <v>13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8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hidden="1" customHeight="1">
      <c r="A52" s="25">
        <v>14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8"/>
        <v>1.7513339999999997</v>
      </c>
      <c r="I52" s="12">
        <f t="shared" ref="I52:I53" si="10">F52/2*G52</f>
        <v>875.66699999999992</v>
      </c>
      <c r="J52" s="59"/>
      <c r="L52" s="18"/>
      <c r="M52" s="19"/>
      <c r="N52" s="28"/>
    </row>
    <row r="53" spans="1:22" s="58" customFormat="1" ht="15.75" hidden="1" customHeight="1">
      <c r="A53" s="25">
        <v>15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8"/>
        <v>0.12084260000000001</v>
      </c>
      <c r="I53" s="12">
        <f t="shared" si="10"/>
        <v>60.421300000000002</v>
      </c>
      <c r="J53" s="59"/>
      <c r="L53" s="18"/>
      <c r="M53" s="19"/>
      <c r="N53" s="28"/>
    </row>
    <row r="54" spans="1:22" s="58" customFormat="1" ht="15.75" hidden="1" customHeight="1">
      <c r="A54" s="25">
        <v>15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8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hidden="1" customHeight="1">
      <c r="A55" s="25">
        <v>16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8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173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hidden="1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hidden="1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hidden="1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hidden="1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10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hidden="1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hidden="1" customHeight="1">
      <c r="A66" s="25"/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11">SUM(F66*G66/1000)</f>
        <v>2.3774999999999999</v>
      </c>
      <c r="I66" s="12">
        <v>0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11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>
        <v>19</v>
      </c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11"/>
        <v>32.5375613</v>
      </c>
      <c r="I68" s="12">
        <f>F68*G68</f>
        <v>32537.561299999998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>
        <v>20</v>
      </c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11"/>
        <v>2.5338236700000003</v>
      </c>
      <c r="I69" s="12">
        <f t="shared" ref="I69:I72" si="12">F69*G69</f>
        <v>2533.8236700000002</v>
      </c>
    </row>
    <row r="70" spans="1:21" s="58" customFormat="1" ht="15.75" hidden="1" customHeight="1">
      <c r="A70" s="25">
        <v>21</v>
      </c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11"/>
        <v>49.766983200000013</v>
      </c>
      <c r="I70" s="12">
        <f t="shared" si="12"/>
        <v>49766.98320000001</v>
      </c>
    </row>
    <row r="71" spans="1:21" s="58" customFormat="1" ht="15.75" hidden="1" customHeight="1">
      <c r="A71" s="25">
        <v>22</v>
      </c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11"/>
        <v>0.53252160000000004</v>
      </c>
      <c r="I71" s="12">
        <f t="shared" si="12"/>
        <v>532.52160000000003</v>
      </c>
    </row>
    <row r="72" spans="1:21" s="58" customFormat="1" ht="15.75" hidden="1" customHeight="1">
      <c r="A72" s="25">
        <v>23</v>
      </c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11"/>
        <v>0.49682880000000007</v>
      </c>
      <c r="I72" s="12">
        <f t="shared" si="12"/>
        <v>496.82880000000006</v>
      </c>
    </row>
    <row r="73" spans="1:21" s="58" customFormat="1" ht="15.75" hidden="1" customHeight="1">
      <c r="A73" s="25"/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11"/>
        <v>0.2666</v>
      </c>
      <c r="I73" s="12">
        <v>0</v>
      </c>
    </row>
    <row r="74" spans="1:21" s="58" customFormat="1" ht="15.75" hidden="1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3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hidden="1" customHeight="1">
      <c r="A77" s="25"/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v>0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4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174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11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12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I16+I17+I18+I25+I26+I29+I30+I32+I33+I64+I83+I84</f>
        <v>55835.135640200009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15.75" customHeight="1">
      <c r="A87" s="25">
        <v>13</v>
      </c>
      <c r="B87" s="42" t="s">
        <v>82</v>
      </c>
      <c r="C87" s="43" t="s">
        <v>96</v>
      </c>
      <c r="D87" s="13"/>
      <c r="E87" s="17"/>
      <c r="F87" s="12">
        <v>3</v>
      </c>
      <c r="G87" s="12">
        <v>189.88</v>
      </c>
      <c r="H87" s="78">
        <f>G87*F87/1000</f>
        <v>0.56964000000000004</v>
      </c>
      <c r="I87" s="126">
        <f>G87</f>
        <v>189.88</v>
      </c>
    </row>
    <row r="88" spans="1:9" s="58" customFormat="1" ht="15.75" customHeight="1">
      <c r="A88" s="25">
        <v>14</v>
      </c>
      <c r="B88" s="127" t="s">
        <v>217</v>
      </c>
      <c r="C88" s="128" t="s">
        <v>154</v>
      </c>
      <c r="D88" s="32"/>
      <c r="E88" s="16"/>
      <c r="F88" s="31">
        <v>1</v>
      </c>
      <c r="G88" s="31">
        <f>1334.87+2373</f>
        <v>3707.87</v>
      </c>
      <c r="H88" s="31">
        <f t="shared" ref="H88" si="15">G88*F88/1000</f>
        <v>3.7078699999999998</v>
      </c>
      <c r="I88" s="126">
        <f>G88</f>
        <v>3707.87</v>
      </c>
    </row>
    <row r="89" spans="1:9" s="58" customFormat="1" ht="31.5" customHeight="1">
      <c r="A89" s="25">
        <v>15</v>
      </c>
      <c r="B89" s="42" t="s">
        <v>91</v>
      </c>
      <c r="C89" s="43" t="s">
        <v>154</v>
      </c>
      <c r="D89" s="32"/>
      <c r="E89" s="16"/>
      <c r="F89" s="31">
        <v>2</v>
      </c>
      <c r="G89" s="31">
        <v>589.84</v>
      </c>
      <c r="H89" s="118">
        <f>G89*F89/1000</f>
        <v>1.1796800000000001</v>
      </c>
      <c r="I89" s="126">
        <f>G89</f>
        <v>589.84</v>
      </c>
    </row>
    <row r="90" spans="1:9" ht="15.75" customHeight="1">
      <c r="A90" s="25"/>
      <c r="B90" s="87" t="s">
        <v>50</v>
      </c>
      <c r="C90" s="34"/>
      <c r="D90" s="40"/>
      <c r="E90" s="34">
        <v>1</v>
      </c>
      <c r="F90" s="34"/>
      <c r="G90" s="34"/>
      <c r="H90" s="34"/>
      <c r="I90" s="29">
        <f>SUM(I87:I89)</f>
        <v>4487.59</v>
      </c>
    </row>
    <row r="91" spans="1:9" ht="15.75" customHeight="1">
      <c r="A91" s="25"/>
      <c r="B91" s="39" t="s">
        <v>78</v>
      </c>
      <c r="C91" s="14"/>
      <c r="D91" s="14"/>
      <c r="E91" s="35"/>
      <c r="F91" s="35"/>
      <c r="G91" s="36"/>
      <c r="H91" s="36"/>
      <c r="I91" s="16">
        <v>0</v>
      </c>
    </row>
    <row r="92" spans="1:9" ht="15.75" customHeight="1">
      <c r="A92" s="41"/>
      <c r="B92" s="38" t="s">
        <v>188</v>
      </c>
      <c r="C92" s="30"/>
      <c r="D92" s="30"/>
      <c r="E92" s="30"/>
      <c r="F92" s="30"/>
      <c r="G92" s="30"/>
      <c r="H92" s="30"/>
      <c r="I92" s="37">
        <f>I85+I90</f>
        <v>60322.725640200006</v>
      </c>
    </row>
    <row r="93" spans="1:9" ht="15.75">
      <c r="A93" s="187" t="s">
        <v>218</v>
      </c>
      <c r="B93" s="187"/>
      <c r="C93" s="187"/>
      <c r="D93" s="187"/>
      <c r="E93" s="187"/>
      <c r="F93" s="187"/>
      <c r="G93" s="187"/>
      <c r="H93" s="187"/>
      <c r="I93" s="187"/>
    </row>
    <row r="94" spans="1:9" ht="15.75">
      <c r="A94" s="106"/>
      <c r="B94" s="181" t="s">
        <v>219</v>
      </c>
      <c r="C94" s="181"/>
      <c r="D94" s="181"/>
      <c r="E94" s="181"/>
      <c r="F94" s="181"/>
      <c r="G94" s="181"/>
      <c r="H94" s="57"/>
      <c r="I94" s="3"/>
    </row>
    <row r="95" spans="1:9">
      <c r="A95" s="105"/>
      <c r="B95" s="177" t="s">
        <v>6</v>
      </c>
      <c r="C95" s="177"/>
      <c r="D95" s="177"/>
      <c r="E95" s="177"/>
      <c r="F95" s="177"/>
      <c r="G95" s="177"/>
      <c r="H95" s="20"/>
      <c r="I95" s="5"/>
    </row>
    <row r="96" spans="1:9" ht="15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182" t="s">
        <v>7</v>
      </c>
      <c r="B97" s="182"/>
      <c r="C97" s="182"/>
      <c r="D97" s="182"/>
      <c r="E97" s="182"/>
      <c r="F97" s="182"/>
      <c r="G97" s="182"/>
      <c r="H97" s="182"/>
      <c r="I97" s="182"/>
    </row>
    <row r="98" spans="1:9" ht="15.75">
      <c r="A98" s="182" t="s">
        <v>8</v>
      </c>
      <c r="B98" s="182"/>
      <c r="C98" s="182"/>
      <c r="D98" s="182"/>
      <c r="E98" s="182"/>
      <c r="F98" s="182"/>
      <c r="G98" s="182"/>
      <c r="H98" s="182"/>
      <c r="I98" s="182"/>
    </row>
    <row r="99" spans="1:9" ht="15.75">
      <c r="A99" s="183" t="s">
        <v>60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 customHeight="1">
      <c r="A100" s="10"/>
    </row>
    <row r="101" spans="1:9" ht="15.75">
      <c r="A101" s="184" t="s">
        <v>9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>
      <c r="A102" s="4"/>
    </row>
    <row r="103" spans="1:9" ht="15.75">
      <c r="B103" s="102" t="s">
        <v>10</v>
      </c>
      <c r="C103" s="176" t="s">
        <v>92</v>
      </c>
      <c r="D103" s="176"/>
      <c r="E103" s="176"/>
      <c r="F103" s="55"/>
      <c r="I103" s="104"/>
    </row>
    <row r="104" spans="1:9">
      <c r="A104" s="105"/>
      <c r="C104" s="177" t="s">
        <v>11</v>
      </c>
      <c r="D104" s="177"/>
      <c r="E104" s="177"/>
      <c r="F104" s="20"/>
      <c r="I104" s="103" t="s">
        <v>12</v>
      </c>
    </row>
    <row r="105" spans="1:9" ht="15.75">
      <c r="A105" s="21"/>
      <c r="C105" s="11"/>
      <c r="D105" s="11"/>
      <c r="G105" s="11"/>
      <c r="H105" s="11"/>
    </row>
    <row r="106" spans="1:9" ht="15.75">
      <c r="B106" s="102" t="s">
        <v>13</v>
      </c>
      <c r="C106" s="178"/>
      <c r="D106" s="178"/>
      <c r="E106" s="178"/>
      <c r="F106" s="56"/>
      <c r="I106" s="104"/>
    </row>
    <row r="107" spans="1:9">
      <c r="A107" s="105"/>
      <c r="C107" s="179" t="s">
        <v>11</v>
      </c>
      <c r="D107" s="179"/>
      <c r="E107" s="179"/>
      <c r="F107" s="105"/>
      <c r="I107" s="103" t="s">
        <v>12</v>
      </c>
    </row>
    <row r="108" spans="1:9" ht="15.75">
      <c r="A108" s="4" t="s">
        <v>14</v>
      </c>
    </row>
    <row r="109" spans="1:9">
      <c r="A109" s="180" t="s">
        <v>15</v>
      </c>
      <c r="B109" s="180"/>
      <c r="C109" s="180"/>
      <c r="D109" s="180"/>
      <c r="E109" s="180"/>
      <c r="F109" s="180"/>
      <c r="G109" s="180"/>
      <c r="H109" s="180"/>
      <c r="I109" s="180"/>
    </row>
    <row r="110" spans="1:9" ht="45" customHeight="1">
      <c r="A110" s="169" t="s">
        <v>16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30" customHeight="1">
      <c r="A111" s="169" t="s">
        <v>17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30" customHeight="1">
      <c r="A112" s="169" t="s">
        <v>21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15" customHeight="1">
      <c r="A113" s="169" t="s">
        <v>20</v>
      </c>
      <c r="B113" s="169"/>
      <c r="C113" s="169"/>
      <c r="D113" s="169"/>
      <c r="E113" s="169"/>
      <c r="F113" s="169"/>
      <c r="G113" s="169"/>
      <c r="H113" s="169"/>
      <c r="I113" s="169"/>
    </row>
  </sheetData>
  <autoFilter ref="I12:I62"/>
  <mergeCells count="29">
    <mergeCell ref="A109:I109"/>
    <mergeCell ref="A110:I110"/>
    <mergeCell ref="A111:I111"/>
    <mergeCell ref="A112:I112"/>
    <mergeCell ref="A113:I113"/>
    <mergeCell ref="R67:U67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3" t="s">
        <v>89</v>
      </c>
      <c r="I1" s="22"/>
      <c r="J1" s="1"/>
      <c r="K1" s="1"/>
      <c r="L1" s="1"/>
      <c r="M1" s="1"/>
    </row>
    <row r="2" spans="1:13" ht="15.75" customHeight="1">
      <c r="A2" s="24" t="s">
        <v>61</v>
      </c>
      <c r="J2" s="2"/>
      <c r="K2" s="2"/>
      <c r="L2" s="2"/>
      <c r="M2" s="2"/>
    </row>
    <row r="3" spans="1:13" ht="15.75" customHeight="1">
      <c r="A3" s="192" t="s">
        <v>177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143</v>
      </c>
      <c r="B4" s="193"/>
      <c r="C4" s="193"/>
      <c r="D4" s="193"/>
      <c r="E4" s="193"/>
      <c r="F4" s="193"/>
      <c r="G4" s="193"/>
      <c r="H4" s="193"/>
      <c r="I4" s="193"/>
    </row>
    <row r="5" spans="1:13" ht="15.75">
      <c r="A5" s="192" t="s">
        <v>220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26">
        <v>43008</v>
      </c>
      <c r="J6" s="2"/>
      <c r="K6" s="2"/>
      <c r="L6" s="2"/>
      <c r="M6" s="2"/>
    </row>
    <row r="7" spans="1:13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6" t="s">
        <v>250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58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s="58" customFormat="1" ht="15.75" customHeight="1">
      <c r="A16" s="25">
        <v>1</v>
      </c>
      <c r="B16" s="61" t="s">
        <v>90</v>
      </c>
      <c r="C16" s="62" t="s">
        <v>103</v>
      </c>
      <c r="D16" s="61" t="s">
        <v>183</v>
      </c>
      <c r="E16" s="63">
        <v>95.04</v>
      </c>
      <c r="F16" s="64">
        <f>SUM(E16*156/100)</f>
        <v>148.26240000000001</v>
      </c>
      <c r="G16" s="64">
        <v>187.48</v>
      </c>
      <c r="H16" s="65">
        <f t="shared" ref="H16:H24" si="0">SUM(F16*G16/1000)</f>
        <v>27.796234752</v>
      </c>
      <c r="I16" s="12">
        <f>F16/12*G16</f>
        <v>2316.3528960000003</v>
      </c>
    </row>
    <row r="17" spans="1:10" s="58" customFormat="1" ht="15.75" customHeight="1">
      <c r="A17" s="25">
        <v>2</v>
      </c>
      <c r="B17" s="61" t="s">
        <v>101</v>
      </c>
      <c r="C17" s="62" t="s">
        <v>103</v>
      </c>
      <c r="D17" s="61" t="s">
        <v>182</v>
      </c>
      <c r="E17" s="63">
        <v>380.16</v>
      </c>
      <c r="F17" s="64">
        <f>SUM(E17*104/100)</f>
        <v>395.3664</v>
      </c>
      <c r="G17" s="64">
        <v>187.48</v>
      </c>
      <c r="H17" s="65">
        <f t="shared" si="0"/>
        <v>74.123292671999991</v>
      </c>
      <c r="I17" s="12">
        <f>F17/12*G17</f>
        <v>6176.9410559999997</v>
      </c>
      <c r="J17" s="59"/>
    </row>
    <row r="18" spans="1:10" s="58" customFormat="1" ht="15.75" customHeight="1">
      <c r="A18" s="25">
        <v>3</v>
      </c>
      <c r="B18" s="61" t="s">
        <v>102</v>
      </c>
      <c r="C18" s="62" t="s">
        <v>103</v>
      </c>
      <c r="D18" s="61" t="s">
        <v>181</v>
      </c>
      <c r="E18" s="63">
        <f>SUM(E16+E17)</f>
        <v>475.20000000000005</v>
      </c>
      <c r="F18" s="64">
        <f>SUM(E18*24/100)</f>
        <v>114.04800000000002</v>
      </c>
      <c r="G18" s="64">
        <v>539.30999999999995</v>
      </c>
      <c r="H18" s="65">
        <f t="shared" si="0"/>
        <v>61.507226880000005</v>
      </c>
      <c r="I18" s="12">
        <f>F18/12*G18</f>
        <v>5125.6022400000002</v>
      </c>
      <c r="J18" s="59"/>
    </row>
    <row r="19" spans="1:10" s="58" customFormat="1" ht="15.75" hidden="1" customHeight="1">
      <c r="A19" s="25">
        <v>4</v>
      </c>
      <c r="B19" s="61" t="s">
        <v>104</v>
      </c>
      <c r="C19" s="62" t="s">
        <v>105</v>
      </c>
      <c r="D19" s="61" t="s">
        <v>106</v>
      </c>
      <c r="E19" s="63">
        <v>93.4</v>
      </c>
      <c r="F19" s="64">
        <f>SUM(E19/10)</f>
        <v>9.34</v>
      </c>
      <c r="G19" s="64">
        <v>181.9</v>
      </c>
      <c r="H19" s="65">
        <f t="shared" si="0"/>
        <v>1.6989460000000001</v>
      </c>
      <c r="I19" s="12">
        <f>F19/2*G19</f>
        <v>849.47300000000007</v>
      </c>
      <c r="J19" s="59"/>
    </row>
    <row r="20" spans="1:10" s="58" customFormat="1" ht="15.75" customHeight="1">
      <c r="A20" s="25">
        <v>4</v>
      </c>
      <c r="B20" s="61" t="s">
        <v>107</v>
      </c>
      <c r="C20" s="62" t="s">
        <v>103</v>
      </c>
      <c r="D20" s="61" t="s">
        <v>41</v>
      </c>
      <c r="E20" s="63">
        <v>43.2</v>
      </c>
      <c r="F20" s="64">
        <f>SUM(E20*2/100)</f>
        <v>0.8640000000000001</v>
      </c>
      <c r="G20" s="64">
        <v>232.91</v>
      </c>
      <c r="H20" s="65">
        <f t="shared" si="0"/>
        <v>0.20123424000000004</v>
      </c>
      <c r="I20" s="12">
        <f t="shared" ref="I20:I21" si="1">F20/2*G20</f>
        <v>100.61712000000001</v>
      </c>
      <c r="J20" s="59"/>
    </row>
    <row r="21" spans="1:10" s="58" customFormat="1" ht="15.75" customHeight="1">
      <c r="A21" s="25">
        <v>5</v>
      </c>
      <c r="B21" s="61" t="s">
        <v>108</v>
      </c>
      <c r="C21" s="62" t="s">
        <v>103</v>
      </c>
      <c r="D21" s="61" t="s">
        <v>41</v>
      </c>
      <c r="E21" s="63">
        <v>10.08</v>
      </c>
      <c r="F21" s="64">
        <f>SUM(E21*2/100)</f>
        <v>0.2016</v>
      </c>
      <c r="G21" s="64">
        <v>231.03</v>
      </c>
      <c r="H21" s="65">
        <f t="shared" si="0"/>
        <v>4.6575648000000004E-2</v>
      </c>
      <c r="I21" s="12">
        <f t="shared" si="1"/>
        <v>23.287824000000001</v>
      </c>
      <c r="J21" s="59"/>
    </row>
    <row r="22" spans="1:10" s="58" customFormat="1" ht="15.75" hidden="1" customHeight="1">
      <c r="A22" s="25">
        <v>7</v>
      </c>
      <c r="B22" s="61" t="s">
        <v>109</v>
      </c>
      <c r="C22" s="62" t="s">
        <v>51</v>
      </c>
      <c r="D22" s="61" t="s">
        <v>106</v>
      </c>
      <c r="E22" s="63">
        <v>642.6</v>
      </c>
      <c r="F22" s="64">
        <f>SUM(E22/100)</f>
        <v>6.4260000000000002</v>
      </c>
      <c r="G22" s="64">
        <v>287.83999999999997</v>
      </c>
      <c r="H22" s="65">
        <f t="shared" si="0"/>
        <v>1.8496598399999997</v>
      </c>
      <c r="I22" s="12">
        <f>F22*G22</f>
        <v>1849.6598399999998</v>
      </c>
      <c r="J22" s="59"/>
    </row>
    <row r="23" spans="1:10" s="58" customFormat="1" ht="15.75" hidden="1" customHeight="1">
      <c r="A23" s="25">
        <v>8</v>
      </c>
      <c r="B23" s="61" t="s">
        <v>110</v>
      </c>
      <c r="C23" s="62" t="s">
        <v>51</v>
      </c>
      <c r="D23" s="61" t="s">
        <v>106</v>
      </c>
      <c r="E23" s="66">
        <v>35.28</v>
      </c>
      <c r="F23" s="64">
        <f>SUM(E23/100)</f>
        <v>0.3528</v>
      </c>
      <c r="G23" s="64">
        <v>47.35</v>
      </c>
      <c r="H23" s="65">
        <f t="shared" si="0"/>
        <v>1.6705080000000004E-2</v>
      </c>
      <c r="I23" s="12">
        <f t="shared" ref="I23:I24" si="2">F23*G23</f>
        <v>16.705080000000002</v>
      </c>
      <c r="J23" s="59"/>
    </row>
    <row r="24" spans="1:10" s="58" customFormat="1" ht="15.75" hidden="1" customHeight="1">
      <c r="A24" s="25">
        <v>9</v>
      </c>
      <c r="B24" s="61" t="s">
        <v>111</v>
      </c>
      <c r="C24" s="62" t="s">
        <v>51</v>
      </c>
      <c r="D24" s="61" t="s">
        <v>106</v>
      </c>
      <c r="E24" s="63">
        <v>28.8</v>
      </c>
      <c r="F24" s="64">
        <f>SUM(E24/100)</f>
        <v>0.28800000000000003</v>
      </c>
      <c r="G24" s="64">
        <v>556.74</v>
      </c>
      <c r="H24" s="65">
        <f t="shared" si="0"/>
        <v>0.16034112000000003</v>
      </c>
      <c r="I24" s="12">
        <f t="shared" si="2"/>
        <v>160.34112000000002</v>
      </c>
      <c r="J24" s="59"/>
    </row>
    <row r="25" spans="1:10" s="58" customFormat="1" ht="15.75" customHeight="1">
      <c r="A25" s="25">
        <v>6</v>
      </c>
      <c r="B25" s="61" t="s">
        <v>63</v>
      </c>
      <c r="C25" s="62" t="s">
        <v>33</v>
      </c>
      <c r="D25" s="61" t="s">
        <v>87</v>
      </c>
      <c r="E25" s="63">
        <v>0.1</v>
      </c>
      <c r="F25" s="64">
        <f>SUM(E25*365)</f>
        <v>36.5</v>
      </c>
      <c r="G25" s="64">
        <v>157.18</v>
      </c>
      <c r="H25" s="65">
        <f t="shared" ref="H25:H26" si="3">SUM(F25*G25/1000)</f>
        <v>5.737070000000001</v>
      </c>
      <c r="I25" s="12">
        <f>F25/12*G25</f>
        <v>478.08916666666664</v>
      </c>
      <c r="J25" s="59"/>
    </row>
    <row r="26" spans="1:10" s="58" customFormat="1" ht="15.75" customHeight="1">
      <c r="A26" s="25">
        <v>7</v>
      </c>
      <c r="B26" s="69" t="s">
        <v>23</v>
      </c>
      <c r="C26" s="62" t="s">
        <v>24</v>
      </c>
      <c r="D26" s="61" t="s">
        <v>87</v>
      </c>
      <c r="E26" s="63">
        <v>3931</v>
      </c>
      <c r="F26" s="64">
        <f>SUM(E26*12)</f>
        <v>47172</v>
      </c>
      <c r="G26" s="64">
        <v>5.33</v>
      </c>
      <c r="H26" s="65">
        <f t="shared" si="3"/>
        <v>251.42676</v>
      </c>
      <c r="I26" s="12">
        <f>F26/12*G26</f>
        <v>20952.23</v>
      </c>
      <c r="J26" s="59"/>
    </row>
    <row r="27" spans="1:10" s="58" customFormat="1" ht="15.75" customHeight="1">
      <c r="A27" s="170" t="s">
        <v>88</v>
      </c>
      <c r="B27" s="171"/>
      <c r="C27" s="171"/>
      <c r="D27" s="171"/>
      <c r="E27" s="171"/>
      <c r="F27" s="171"/>
      <c r="G27" s="171"/>
      <c r="H27" s="171"/>
      <c r="I27" s="172"/>
      <c r="J27" s="59"/>
    </row>
    <row r="28" spans="1:10" s="58" customFormat="1" ht="15.75" customHeight="1">
      <c r="A28" s="25"/>
      <c r="B28" s="88" t="s">
        <v>28</v>
      </c>
      <c r="C28" s="62"/>
      <c r="D28" s="61"/>
      <c r="E28" s="63"/>
      <c r="F28" s="64"/>
      <c r="G28" s="64"/>
      <c r="H28" s="65"/>
      <c r="I28" s="12"/>
      <c r="J28" s="59"/>
    </row>
    <row r="29" spans="1:10" s="58" customFormat="1" ht="15.75" customHeight="1">
      <c r="A29" s="25">
        <v>8</v>
      </c>
      <c r="B29" s="61" t="s">
        <v>112</v>
      </c>
      <c r="C29" s="62" t="s">
        <v>113</v>
      </c>
      <c r="D29" s="61" t="s">
        <v>114</v>
      </c>
      <c r="E29" s="64">
        <v>1116.27</v>
      </c>
      <c r="F29" s="64">
        <f>SUM(E29*52/1000)</f>
        <v>58.046039999999998</v>
      </c>
      <c r="G29" s="64">
        <v>166.65</v>
      </c>
      <c r="H29" s="65">
        <f t="shared" ref="H29:H31" si="4">SUM(F29*G29/1000)</f>
        <v>9.6733725659999994</v>
      </c>
      <c r="I29" s="12">
        <f>F29/6*G29</f>
        <v>1612.2287609999998</v>
      </c>
      <c r="J29" s="59"/>
    </row>
    <row r="30" spans="1:10" s="58" customFormat="1" ht="31.5" customHeight="1">
      <c r="A30" s="25">
        <v>9</v>
      </c>
      <c r="B30" s="61" t="s">
        <v>164</v>
      </c>
      <c r="C30" s="62" t="s">
        <v>113</v>
      </c>
      <c r="D30" s="61" t="s">
        <v>115</v>
      </c>
      <c r="E30" s="64">
        <v>89.03</v>
      </c>
      <c r="F30" s="64">
        <f>SUM(E30*78/1000)</f>
        <v>6.9443400000000004</v>
      </c>
      <c r="G30" s="64">
        <v>276.48</v>
      </c>
      <c r="H30" s="65">
        <f t="shared" si="4"/>
        <v>1.9199711232000003</v>
      </c>
      <c r="I30" s="12">
        <f t="shared" ref="I30:I33" si="5">F30/6*G30</f>
        <v>319.99518720000003</v>
      </c>
      <c r="J30" s="59"/>
    </row>
    <row r="31" spans="1:10" s="58" customFormat="1" ht="15.75" hidden="1" customHeight="1">
      <c r="A31" s="25">
        <v>8</v>
      </c>
      <c r="B31" s="61" t="s">
        <v>27</v>
      </c>
      <c r="C31" s="62" t="s">
        <v>113</v>
      </c>
      <c r="D31" s="61" t="s">
        <v>52</v>
      </c>
      <c r="E31" s="64">
        <v>1116.27</v>
      </c>
      <c r="F31" s="64">
        <f>SUM(E31/1000)</f>
        <v>1.1162699999999999</v>
      </c>
      <c r="G31" s="64">
        <v>3228.73</v>
      </c>
      <c r="H31" s="65">
        <f t="shared" si="4"/>
        <v>3.6041344370999995</v>
      </c>
      <c r="I31" s="12">
        <f>F31*G31</f>
        <v>3604.1344370999996</v>
      </c>
      <c r="J31" s="59"/>
    </row>
    <row r="32" spans="1:10" s="58" customFormat="1" ht="15.75" customHeight="1">
      <c r="A32" s="25">
        <v>10</v>
      </c>
      <c r="B32" s="61" t="s">
        <v>116</v>
      </c>
      <c r="C32" s="62" t="s">
        <v>39</v>
      </c>
      <c r="D32" s="61" t="s">
        <v>62</v>
      </c>
      <c r="E32" s="64">
        <v>6</v>
      </c>
      <c r="F32" s="64">
        <v>9.3000000000000007</v>
      </c>
      <c r="G32" s="64">
        <v>1391.86</v>
      </c>
      <c r="H32" s="65">
        <f>G32*F32/1000</f>
        <v>12.944298</v>
      </c>
      <c r="I32" s="12">
        <f t="shared" si="5"/>
        <v>2157.3829999999998</v>
      </c>
      <c r="J32" s="59"/>
    </row>
    <row r="33" spans="1:14" s="58" customFormat="1" ht="15.75" customHeight="1">
      <c r="A33" s="25">
        <v>11</v>
      </c>
      <c r="B33" s="61" t="s">
        <v>117</v>
      </c>
      <c r="C33" s="62" t="s">
        <v>31</v>
      </c>
      <c r="D33" s="61" t="s">
        <v>62</v>
      </c>
      <c r="E33" s="68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2">
        <f t="shared" si="5"/>
        <v>521.83333333333337</v>
      </c>
      <c r="J33" s="59"/>
    </row>
    <row r="34" spans="1:14" s="58" customFormat="1" ht="15.75" hidden="1" customHeight="1">
      <c r="A34" s="25"/>
      <c r="B34" s="61" t="s">
        <v>64</v>
      </c>
      <c r="C34" s="62" t="s">
        <v>33</v>
      </c>
      <c r="D34" s="61" t="s">
        <v>66</v>
      </c>
      <c r="E34" s="63"/>
      <c r="F34" s="64">
        <v>3</v>
      </c>
      <c r="G34" s="64">
        <v>204.52</v>
      </c>
      <c r="H34" s="65">
        <f t="shared" ref="H34:H35" si="6">SUM(F34*G34/1000)</f>
        <v>0.61356000000000011</v>
      </c>
      <c r="I34" s="12">
        <v>0</v>
      </c>
      <c r="J34" s="59"/>
    </row>
    <row r="35" spans="1:14" s="58" customFormat="1" ht="15.75" hidden="1" customHeight="1">
      <c r="A35" s="25"/>
      <c r="B35" s="61" t="s">
        <v>65</v>
      </c>
      <c r="C35" s="62" t="s">
        <v>32</v>
      </c>
      <c r="D35" s="61" t="s">
        <v>66</v>
      </c>
      <c r="E35" s="63"/>
      <c r="F35" s="64">
        <v>2</v>
      </c>
      <c r="G35" s="64">
        <v>1136.33</v>
      </c>
      <c r="H35" s="65">
        <f t="shared" si="6"/>
        <v>2.2726599999999997</v>
      </c>
      <c r="I35" s="12">
        <v>0</v>
      </c>
      <c r="J35" s="59"/>
    </row>
    <row r="36" spans="1:14" s="58" customFormat="1" ht="15.75" hidden="1" customHeight="1">
      <c r="A36" s="25"/>
      <c r="B36" s="88" t="s">
        <v>5</v>
      </c>
      <c r="C36" s="62"/>
      <c r="D36" s="61"/>
      <c r="E36" s="63"/>
      <c r="F36" s="64"/>
      <c r="G36" s="64"/>
      <c r="H36" s="65" t="s">
        <v>149</v>
      </c>
      <c r="I36" s="12"/>
      <c r="J36" s="59"/>
    </row>
    <row r="37" spans="1:14" s="58" customFormat="1" ht="15.75" hidden="1" customHeight="1">
      <c r="A37" s="25">
        <v>6</v>
      </c>
      <c r="B37" s="61" t="s">
        <v>26</v>
      </c>
      <c r="C37" s="62" t="s">
        <v>32</v>
      </c>
      <c r="D37" s="61"/>
      <c r="E37" s="63"/>
      <c r="F37" s="64">
        <v>8</v>
      </c>
      <c r="G37" s="64">
        <v>1632.6</v>
      </c>
      <c r="H37" s="65">
        <f t="shared" ref="H37:H44" si="7">SUM(F37*G37/1000)</f>
        <v>13.060799999999999</v>
      </c>
      <c r="I37" s="12">
        <f>F37/6*G37</f>
        <v>2176.7999999999997</v>
      </c>
      <c r="J37" s="59"/>
    </row>
    <row r="38" spans="1:14" s="58" customFormat="1" ht="15.75" hidden="1" customHeight="1">
      <c r="A38" s="25">
        <v>7</v>
      </c>
      <c r="B38" s="61" t="s">
        <v>93</v>
      </c>
      <c r="C38" s="62" t="s">
        <v>29</v>
      </c>
      <c r="D38" s="61" t="s">
        <v>118</v>
      </c>
      <c r="E38" s="63">
        <v>461.12</v>
      </c>
      <c r="F38" s="64">
        <f>E38*12/1000</f>
        <v>5.5334400000000006</v>
      </c>
      <c r="G38" s="64">
        <v>2247.8000000000002</v>
      </c>
      <c r="H38" s="65">
        <f>G38*F38/1000</f>
        <v>12.438066432000001</v>
      </c>
      <c r="I38" s="12">
        <f>F38/6*G38</f>
        <v>2073.0110720000002</v>
      </c>
      <c r="J38" s="59"/>
    </row>
    <row r="39" spans="1:14" s="58" customFormat="1" ht="15.75" hidden="1" customHeight="1">
      <c r="A39" s="25">
        <v>8</v>
      </c>
      <c r="B39" s="61" t="s">
        <v>119</v>
      </c>
      <c r="C39" s="62" t="s">
        <v>29</v>
      </c>
      <c r="D39" s="61" t="s">
        <v>120</v>
      </c>
      <c r="E39" s="63">
        <v>89.03</v>
      </c>
      <c r="F39" s="64">
        <f>E39*30/1000</f>
        <v>2.6709000000000001</v>
      </c>
      <c r="G39" s="64">
        <v>2247.8000000000002</v>
      </c>
      <c r="H39" s="65">
        <f>G39*F39/1000</f>
        <v>6.003649020000001</v>
      </c>
      <c r="I39" s="12">
        <f>F39/6*G39</f>
        <v>1000.6081700000001</v>
      </c>
      <c r="J39" s="59"/>
    </row>
    <row r="40" spans="1:14" s="58" customFormat="1" ht="15.75" hidden="1" customHeight="1">
      <c r="A40" s="25"/>
      <c r="B40" s="61" t="s">
        <v>121</v>
      </c>
      <c r="C40" s="62" t="s">
        <v>122</v>
      </c>
      <c r="D40" s="61" t="s">
        <v>66</v>
      </c>
      <c r="E40" s="63"/>
      <c r="F40" s="64">
        <v>135</v>
      </c>
      <c r="G40" s="64">
        <v>213.2</v>
      </c>
      <c r="H40" s="65">
        <f>G40*F40/1000</f>
        <v>28.782</v>
      </c>
      <c r="I40" s="12">
        <v>0</v>
      </c>
      <c r="J40" s="59"/>
      <c r="L40" s="18"/>
      <c r="M40" s="19"/>
      <c r="N40" s="28"/>
    </row>
    <row r="41" spans="1:14" s="58" customFormat="1" ht="15.75" hidden="1" customHeight="1">
      <c r="A41" s="25">
        <v>9</v>
      </c>
      <c r="B41" s="61" t="s">
        <v>67</v>
      </c>
      <c r="C41" s="62" t="s">
        <v>29</v>
      </c>
      <c r="D41" s="61" t="s">
        <v>123</v>
      </c>
      <c r="E41" s="64">
        <v>89.03</v>
      </c>
      <c r="F41" s="64">
        <f>SUM(E41*155/1000)</f>
        <v>13.79965</v>
      </c>
      <c r="G41" s="64">
        <v>374.95</v>
      </c>
      <c r="H41" s="65">
        <f t="shared" si="7"/>
        <v>5.1741787674999999</v>
      </c>
      <c r="I41" s="12">
        <f>F41/6*G41</f>
        <v>862.36312791666671</v>
      </c>
      <c r="J41" s="59"/>
      <c r="L41" s="18"/>
      <c r="M41" s="19"/>
      <c r="N41" s="28"/>
    </row>
    <row r="42" spans="1:14" s="58" customFormat="1" ht="47.25" hidden="1" customHeight="1">
      <c r="A42" s="25">
        <v>10</v>
      </c>
      <c r="B42" s="61" t="s">
        <v>84</v>
      </c>
      <c r="C42" s="62" t="s">
        <v>113</v>
      </c>
      <c r="D42" s="61" t="s">
        <v>124</v>
      </c>
      <c r="E42" s="64">
        <v>89.03</v>
      </c>
      <c r="F42" s="64">
        <f>SUM(E42*24/1000)</f>
        <v>2.1367200000000004</v>
      </c>
      <c r="G42" s="64">
        <v>6203.71</v>
      </c>
      <c r="H42" s="65">
        <f t="shared" si="7"/>
        <v>13.255591231200002</v>
      </c>
      <c r="I42" s="12">
        <f>F42/6*G42</f>
        <v>2209.2652052000003</v>
      </c>
      <c r="J42" s="59"/>
      <c r="L42" s="18"/>
      <c r="M42" s="19"/>
      <c r="N42" s="28"/>
    </row>
    <row r="43" spans="1:14" s="58" customFormat="1" ht="15.75" hidden="1" customHeight="1">
      <c r="A43" s="25">
        <v>11</v>
      </c>
      <c r="B43" s="61" t="s">
        <v>125</v>
      </c>
      <c r="C43" s="62" t="s">
        <v>113</v>
      </c>
      <c r="D43" s="61" t="s">
        <v>68</v>
      </c>
      <c r="E43" s="64">
        <v>89.03</v>
      </c>
      <c r="F43" s="64">
        <f>SUM(E43*45/1000)</f>
        <v>4.0063500000000003</v>
      </c>
      <c r="G43" s="64">
        <v>458.28</v>
      </c>
      <c r="H43" s="65">
        <f t="shared" si="7"/>
        <v>1.8360300780000001</v>
      </c>
      <c r="I43" s="12">
        <f>F43/6*G43</f>
        <v>306.00501299999996</v>
      </c>
      <c r="J43" s="59"/>
      <c r="L43" s="18"/>
      <c r="M43" s="19"/>
      <c r="N43" s="28"/>
    </row>
    <row r="44" spans="1:14" s="58" customFormat="1" ht="15.75" hidden="1" customHeight="1">
      <c r="A44" s="25">
        <v>12</v>
      </c>
      <c r="B44" s="61" t="s">
        <v>69</v>
      </c>
      <c r="C44" s="62" t="s">
        <v>33</v>
      </c>
      <c r="D44" s="61"/>
      <c r="E44" s="63"/>
      <c r="F44" s="64">
        <v>0.9</v>
      </c>
      <c r="G44" s="64">
        <v>798</v>
      </c>
      <c r="H44" s="65">
        <f t="shared" si="7"/>
        <v>0.71820000000000006</v>
      </c>
      <c r="I44" s="12">
        <f>F44/6*G44</f>
        <v>119.69999999999999</v>
      </c>
      <c r="J44" s="59"/>
      <c r="L44" s="18"/>
      <c r="M44" s="19"/>
      <c r="N44" s="28"/>
    </row>
    <row r="45" spans="1:14" s="58" customFormat="1" ht="15.75" customHeight="1">
      <c r="A45" s="170" t="s">
        <v>165</v>
      </c>
      <c r="B45" s="171"/>
      <c r="C45" s="171"/>
      <c r="D45" s="171"/>
      <c r="E45" s="171"/>
      <c r="F45" s="171"/>
      <c r="G45" s="171"/>
      <c r="H45" s="171"/>
      <c r="I45" s="172"/>
      <c r="J45" s="59"/>
      <c r="L45" s="18"/>
      <c r="M45" s="19"/>
      <c r="N45" s="28"/>
    </row>
    <row r="46" spans="1:14" s="58" customFormat="1" ht="15.75" customHeight="1">
      <c r="A46" s="25">
        <v>12</v>
      </c>
      <c r="B46" s="61" t="s">
        <v>126</v>
      </c>
      <c r="C46" s="62" t="s">
        <v>113</v>
      </c>
      <c r="D46" s="61" t="s">
        <v>41</v>
      </c>
      <c r="E46" s="63">
        <v>1032.5</v>
      </c>
      <c r="F46" s="64">
        <f>SUM(E46*2/1000)</f>
        <v>2.0649999999999999</v>
      </c>
      <c r="G46" s="12">
        <v>908.1</v>
      </c>
      <c r="H46" s="65">
        <f t="shared" ref="H46:H55" si="8">SUM(F46*G46/1000)</f>
        <v>1.8752264999999999</v>
      </c>
      <c r="I46" s="12">
        <f t="shared" ref="I46:I48" si="9">F46/2*G46</f>
        <v>937.61324999999999</v>
      </c>
      <c r="J46" s="59"/>
      <c r="L46" s="18"/>
      <c r="M46" s="19"/>
      <c r="N46" s="28"/>
    </row>
    <row r="47" spans="1:14" s="58" customFormat="1" ht="15.75" customHeight="1">
      <c r="A47" s="25">
        <v>13</v>
      </c>
      <c r="B47" s="61" t="s">
        <v>34</v>
      </c>
      <c r="C47" s="62" t="s">
        <v>113</v>
      </c>
      <c r="D47" s="61" t="s">
        <v>41</v>
      </c>
      <c r="E47" s="63">
        <v>132</v>
      </c>
      <c r="F47" s="64">
        <f>E47*2/1000</f>
        <v>0.26400000000000001</v>
      </c>
      <c r="G47" s="12">
        <v>619.46</v>
      </c>
      <c r="H47" s="65">
        <f t="shared" si="8"/>
        <v>0.16353744000000001</v>
      </c>
      <c r="I47" s="12">
        <f t="shared" si="9"/>
        <v>81.768720000000002</v>
      </c>
      <c r="J47" s="59"/>
      <c r="L47" s="18"/>
      <c r="M47" s="19"/>
      <c r="N47" s="28"/>
    </row>
    <row r="48" spans="1:14" s="58" customFormat="1" ht="15.75" customHeight="1">
      <c r="A48" s="25">
        <v>14</v>
      </c>
      <c r="B48" s="61" t="s">
        <v>35</v>
      </c>
      <c r="C48" s="62" t="s">
        <v>113</v>
      </c>
      <c r="D48" s="61" t="s">
        <v>41</v>
      </c>
      <c r="E48" s="63">
        <v>4248.22</v>
      </c>
      <c r="F48" s="64">
        <f>SUM(E48*2/1000)</f>
        <v>8.4964399999999998</v>
      </c>
      <c r="G48" s="12">
        <v>619.46</v>
      </c>
      <c r="H48" s="65">
        <f t="shared" si="8"/>
        <v>5.2632047223999994</v>
      </c>
      <c r="I48" s="12">
        <f t="shared" si="9"/>
        <v>2631.6023611999999</v>
      </c>
      <c r="J48" s="59"/>
      <c r="L48" s="18"/>
      <c r="M48" s="19"/>
      <c r="N48" s="28"/>
    </row>
    <row r="49" spans="1:22" s="58" customFormat="1" ht="15.75" customHeight="1">
      <c r="A49" s="25">
        <v>15</v>
      </c>
      <c r="B49" s="61" t="s">
        <v>36</v>
      </c>
      <c r="C49" s="62" t="s">
        <v>113</v>
      </c>
      <c r="D49" s="61" t="s">
        <v>41</v>
      </c>
      <c r="E49" s="63">
        <v>2163.66</v>
      </c>
      <c r="F49" s="64">
        <f>SUM(E49*2/1000)</f>
        <v>4.3273199999999994</v>
      </c>
      <c r="G49" s="12">
        <v>648.64</v>
      </c>
      <c r="H49" s="65">
        <f t="shared" si="8"/>
        <v>2.8068728447999995</v>
      </c>
      <c r="I49" s="12">
        <f>F49/2*G49</f>
        <v>1403.4364223999999</v>
      </c>
      <c r="J49" s="59"/>
      <c r="L49" s="18"/>
      <c r="M49" s="19"/>
      <c r="N49" s="28"/>
    </row>
    <row r="50" spans="1:22" s="58" customFormat="1" ht="15.75" customHeight="1">
      <c r="A50" s="25">
        <v>16</v>
      </c>
      <c r="B50" s="61" t="s">
        <v>55</v>
      </c>
      <c r="C50" s="62" t="s">
        <v>113</v>
      </c>
      <c r="D50" s="61" t="s">
        <v>184</v>
      </c>
      <c r="E50" s="63">
        <v>1017.5</v>
      </c>
      <c r="F50" s="64">
        <f>SUM(E50*5/1000)</f>
        <v>5.0875000000000004</v>
      </c>
      <c r="G50" s="12">
        <v>1297.28</v>
      </c>
      <c r="H50" s="65">
        <f t="shared" si="8"/>
        <v>6.5999120000000007</v>
      </c>
      <c r="I50" s="12">
        <f>F50/5*G50</f>
        <v>1319.9824000000001</v>
      </c>
      <c r="J50" s="59"/>
      <c r="L50" s="18"/>
      <c r="M50" s="19"/>
      <c r="N50" s="28"/>
    </row>
    <row r="51" spans="1:22" s="58" customFormat="1" ht="31.5" customHeight="1">
      <c r="A51" s="25">
        <v>17</v>
      </c>
      <c r="B51" s="61" t="s">
        <v>127</v>
      </c>
      <c r="C51" s="62" t="s">
        <v>113</v>
      </c>
      <c r="D51" s="61" t="s">
        <v>41</v>
      </c>
      <c r="E51" s="63">
        <v>1017.5</v>
      </c>
      <c r="F51" s="64">
        <f>SUM(E51*2/1000)</f>
        <v>2.0350000000000001</v>
      </c>
      <c r="G51" s="12">
        <v>1297.28</v>
      </c>
      <c r="H51" s="65">
        <f t="shared" si="8"/>
        <v>2.6399648</v>
      </c>
      <c r="I51" s="12">
        <f>F51/2*G51</f>
        <v>1319.9824000000001</v>
      </c>
      <c r="J51" s="59"/>
      <c r="L51" s="18"/>
      <c r="M51" s="19"/>
      <c r="N51" s="28"/>
    </row>
    <row r="52" spans="1:22" s="58" customFormat="1" ht="31.5" customHeight="1">
      <c r="A52" s="25">
        <v>18</v>
      </c>
      <c r="B52" s="61" t="s">
        <v>128</v>
      </c>
      <c r="C52" s="62" t="s">
        <v>37</v>
      </c>
      <c r="D52" s="61" t="s">
        <v>41</v>
      </c>
      <c r="E52" s="63">
        <v>30</v>
      </c>
      <c r="F52" s="64">
        <f>SUM(E52*2/100)</f>
        <v>0.6</v>
      </c>
      <c r="G52" s="12">
        <v>2918.89</v>
      </c>
      <c r="H52" s="65">
        <f t="shared" si="8"/>
        <v>1.7513339999999997</v>
      </c>
      <c r="I52" s="12">
        <f t="shared" ref="I52:I53" si="10">F52/2*G52</f>
        <v>875.66699999999992</v>
      </c>
      <c r="J52" s="59"/>
      <c r="L52" s="18"/>
      <c r="M52" s="19"/>
      <c r="N52" s="28"/>
    </row>
    <row r="53" spans="1:22" s="58" customFormat="1" ht="15.75" customHeight="1">
      <c r="A53" s="25">
        <v>19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12">
        <v>6042.13</v>
      </c>
      <c r="H53" s="65">
        <f t="shared" si="8"/>
        <v>0.12084260000000001</v>
      </c>
      <c r="I53" s="12">
        <f t="shared" si="10"/>
        <v>60.421300000000002</v>
      </c>
      <c r="J53" s="59"/>
      <c r="L53" s="18"/>
      <c r="M53" s="19"/>
      <c r="N53" s="28"/>
    </row>
    <row r="54" spans="1:22" s="58" customFormat="1" ht="15.75" customHeight="1">
      <c r="A54" s="25">
        <v>20</v>
      </c>
      <c r="B54" s="61" t="s">
        <v>129</v>
      </c>
      <c r="C54" s="62" t="s">
        <v>96</v>
      </c>
      <c r="D54" s="61" t="s">
        <v>70</v>
      </c>
      <c r="E54" s="63">
        <v>90</v>
      </c>
      <c r="F54" s="64">
        <f>E54*4</f>
        <v>360</v>
      </c>
      <c r="G54" s="12">
        <v>150.86000000000001</v>
      </c>
      <c r="H54" s="65">
        <f t="shared" si="8"/>
        <v>54.309600000000003</v>
      </c>
      <c r="I54" s="12">
        <f>E54*G54</f>
        <v>13577.400000000001</v>
      </c>
      <c r="J54" s="59"/>
      <c r="L54" s="18"/>
      <c r="M54" s="19"/>
      <c r="N54" s="28"/>
    </row>
    <row r="55" spans="1:22" s="58" customFormat="1" ht="15.75" customHeight="1">
      <c r="A55" s="25">
        <v>21</v>
      </c>
      <c r="B55" s="61" t="s">
        <v>40</v>
      </c>
      <c r="C55" s="62" t="s">
        <v>96</v>
      </c>
      <c r="D55" s="61" t="s">
        <v>70</v>
      </c>
      <c r="E55" s="63">
        <v>180</v>
      </c>
      <c r="F55" s="64">
        <f>SUM(E55)*3</f>
        <v>540</v>
      </c>
      <c r="G55" s="12">
        <v>70.2</v>
      </c>
      <c r="H55" s="65">
        <f t="shared" si="8"/>
        <v>37.908000000000001</v>
      </c>
      <c r="I55" s="12">
        <f>E55*G55</f>
        <v>12636</v>
      </c>
      <c r="J55" s="59"/>
      <c r="L55" s="18"/>
      <c r="M55" s="19"/>
      <c r="N55" s="28"/>
    </row>
    <row r="56" spans="1:22" s="58" customFormat="1" ht="15.75" customHeight="1">
      <c r="A56" s="170" t="s">
        <v>166</v>
      </c>
      <c r="B56" s="171"/>
      <c r="C56" s="171"/>
      <c r="D56" s="171"/>
      <c r="E56" s="171"/>
      <c r="F56" s="171"/>
      <c r="G56" s="171"/>
      <c r="H56" s="171"/>
      <c r="I56" s="172"/>
      <c r="J56" s="59"/>
      <c r="L56" s="18"/>
      <c r="M56" s="19"/>
      <c r="N56" s="28"/>
    </row>
    <row r="57" spans="1:22" s="58" customFormat="1" ht="15.75" hidden="1" customHeight="1">
      <c r="A57" s="25"/>
      <c r="B57" s="88" t="s">
        <v>42</v>
      </c>
      <c r="C57" s="62"/>
      <c r="D57" s="61"/>
      <c r="E57" s="63"/>
      <c r="F57" s="64"/>
      <c r="G57" s="64"/>
      <c r="H57" s="65"/>
      <c r="I57" s="12"/>
      <c r="J57" s="59"/>
      <c r="L57" s="18"/>
      <c r="M57" s="19"/>
      <c r="N57" s="28"/>
    </row>
    <row r="58" spans="1:22" s="58" customFormat="1" ht="31.5" hidden="1" customHeight="1">
      <c r="A58" s="25">
        <v>13</v>
      </c>
      <c r="B58" s="61" t="s">
        <v>144</v>
      </c>
      <c r="C58" s="62" t="s">
        <v>103</v>
      </c>
      <c r="D58" s="61" t="s">
        <v>130</v>
      </c>
      <c r="E58" s="63">
        <v>103.25</v>
      </c>
      <c r="F58" s="64">
        <f>SUM(E58*6/100)</f>
        <v>6.1950000000000003</v>
      </c>
      <c r="G58" s="12">
        <v>1654.04</v>
      </c>
      <c r="H58" s="65">
        <f>SUM(F58*G58/1000)</f>
        <v>10.2467778</v>
      </c>
      <c r="I58" s="12">
        <f>F58/6*G58</f>
        <v>1707.7963</v>
      </c>
      <c r="J58" s="59"/>
      <c r="L58" s="18"/>
      <c r="M58" s="19"/>
      <c r="N58" s="28"/>
    </row>
    <row r="59" spans="1:22" s="58" customFormat="1" ht="31.5" hidden="1" customHeight="1">
      <c r="A59" s="25">
        <v>14</v>
      </c>
      <c r="B59" s="61" t="s">
        <v>94</v>
      </c>
      <c r="C59" s="62" t="s">
        <v>103</v>
      </c>
      <c r="D59" s="61" t="s">
        <v>95</v>
      </c>
      <c r="E59" s="63">
        <v>39.700000000000003</v>
      </c>
      <c r="F59" s="64">
        <f>SUM(E59*12/100)</f>
        <v>4.7640000000000002</v>
      </c>
      <c r="G59" s="12">
        <v>1654.04</v>
      </c>
      <c r="H59" s="65">
        <f>SUM(F59*G59/1000)</f>
        <v>7.8798465599999998</v>
      </c>
      <c r="I59" s="12">
        <f>F59/6*G59</f>
        <v>1313.3077600000001</v>
      </c>
      <c r="J59" s="59"/>
      <c r="L59" s="18"/>
      <c r="M59" s="19"/>
      <c r="N59" s="28"/>
    </row>
    <row r="60" spans="1:22" s="58" customFormat="1" ht="15.75" hidden="1" customHeight="1">
      <c r="A60" s="25">
        <v>18</v>
      </c>
      <c r="B60" s="70" t="s">
        <v>131</v>
      </c>
      <c r="C60" s="71" t="s">
        <v>132</v>
      </c>
      <c r="D60" s="70" t="s">
        <v>41</v>
      </c>
      <c r="E60" s="72">
        <v>8</v>
      </c>
      <c r="F60" s="73">
        <v>16</v>
      </c>
      <c r="G60" s="12">
        <v>193.25</v>
      </c>
      <c r="H60" s="65">
        <f>SUM(F60*G60/1000)</f>
        <v>3.0920000000000001</v>
      </c>
      <c r="I60" s="12">
        <v>0</v>
      </c>
      <c r="J60" s="59"/>
      <c r="L60" s="18"/>
    </row>
    <row r="61" spans="1:22" s="58" customFormat="1" ht="15.75" hidden="1" customHeight="1">
      <c r="A61" s="25">
        <v>15</v>
      </c>
      <c r="B61" s="61" t="s">
        <v>133</v>
      </c>
      <c r="C61" s="62" t="s">
        <v>103</v>
      </c>
      <c r="D61" s="61" t="s">
        <v>130</v>
      </c>
      <c r="E61" s="63">
        <v>41.73</v>
      </c>
      <c r="F61" s="64">
        <f>SUM(E61*6/100)</f>
        <v>2.5038</v>
      </c>
      <c r="G61" s="12">
        <v>1654.04</v>
      </c>
      <c r="H61" s="65">
        <f>SUM(F61*G61/1000)</f>
        <v>4.1413853520000004</v>
      </c>
      <c r="I61" s="12">
        <f>F61/6*G61</f>
        <v>690.23089200000004</v>
      </c>
      <c r="J61" s="59"/>
      <c r="L61" s="18"/>
    </row>
    <row r="62" spans="1:22" s="58" customFormat="1" ht="15.75" customHeight="1">
      <c r="A62" s="25"/>
      <c r="B62" s="89" t="s">
        <v>43</v>
      </c>
      <c r="C62" s="71"/>
      <c r="D62" s="70"/>
      <c r="E62" s="72"/>
      <c r="F62" s="73"/>
      <c r="G62" s="12"/>
      <c r="H62" s="74"/>
      <c r="I62" s="12"/>
    </row>
    <row r="63" spans="1:22" s="58" customFormat="1" ht="15.75" hidden="1" customHeight="1">
      <c r="A63" s="90"/>
      <c r="B63" s="70" t="s">
        <v>150</v>
      </c>
      <c r="C63" s="71" t="s">
        <v>51</v>
      </c>
      <c r="D63" s="70" t="s">
        <v>52</v>
      </c>
      <c r="E63" s="72">
        <v>1017.5</v>
      </c>
      <c r="F63" s="73">
        <v>10.154</v>
      </c>
      <c r="G63" s="85">
        <v>848.37</v>
      </c>
      <c r="H63" s="74">
        <f>F63*G63/1000</f>
        <v>8.6143489800000008</v>
      </c>
      <c r="I63" s="85">
        <v>0</v>
      </c>
    </row>
    <row r="64" spans="1:22" s="58" customFormat="1" ht="15.75" customHeight="1">
      <c r="A64" s="25">
        <v>22</v>
      </c>
      <c r="B64" s="13" t="s">
        <v>98</v>
      </c>
      <c r="C64" s="15" t="s">
        <v>25</v>
      </c>
      <c r="D64" s="13" t="s">
        <v>30</v>
      </c>
      <c r="E64" s="17">
        <v>203.5</v>
      </c>
      <c r="F64" s="12">
        <f>E64*12</f>
        <v>2442</v>
      </c>
      <c r="G64" s="12">
        <v>2.6</v>
      </c>
      <c r="H64" s="12">
        <f>F64*G64/1000</f>
        <v>6.3491999999999997</v>
      </c>
      <c r="I64" s="12">
        <f>F64/12*G64</f>
        <v>529.1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1" s="58" customFormat="1" ht="15.75" customHeight="1">
      <c r="A65" s="94"/>
      <c r="B65" s="113" t="s">
        <v>44</v>
      </c>
      <c r="C65" s="114"/>
      <c r="D65" s="115"/>
      <c r="E65" s="66"/>
      <c r="F65" s="116"/>
      <c r="G65" s="116"/>
      <c r="H65" s="117" t="s">
        <v>149</v>
      </c>
      <c r="I65" s="98"/>
      <c r="J65" s="77"/>
      <c r="K65" s="77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1:21" s="58" customFormat="1" ht="15.75" customHeight="1">
      <c r="A66" s="25">
        <v>23</v>
      </c>
      <c r="B66" s="13" t="s">
        <v>45</v>
      </c>
      <c r="C66" s="15" t="s">
        <v>96</v>
      </c>
      <c r="D66" s="13" t="s">
        <v>66</v>
      </c>
      <c r="E66" s="17">
        <v>10</v>
      </c>
      <c r="F66" s="64">
        <v>10</v>
      </c>
      <c r="G66" s="12">
        <v>237.75</v>
      </c>
      <c r="H66" s="78">
        <f t="shared" ref="H66:H73" si="11">SUM(F66*G66/1000)</f>
        <v>2.3774999999999999</v>
      </c>
      <c r="I66" s="12">
        <f>G66*2</f>
        <v>475.5</v>
      </c>
      <c r="J66" s="75"/>
      <c r="K66" s="75"/>
      <c r="L66" s="75"/>
      <c r="M66" s="75"/>
      <c r="N66" s="75"/>
      <c r="O66" s="75"/>
      <c r="P66" s="75"/>
      <c r="Q66" s="75"/>
      <c r="S66" s="75"/>
      <c r="T66" s="75"/>
      <c r="U66" s="75"/>
    </row>
    <row r="67" spans="1:21" s="58" customFormat="1" ht="15.75" hidden="1" customHeight="1">
      <c r="A67" s="25"/>
      <c r="B67" s="13" t="s">
        <v>46</v>
      </c>
      <c r="C67" s="15" t="s">
        <v>96</v>
      </c>
      <c r="D67" s="13" t="s">
        <v>66</v>
      </c>
      <c r="E67" s="17">
        <v>5</v>
      </c>
      <c r="F67" s="64">
        <v>5</v>
      </c>
      <c r="G67" s="12">
        <v>81.510000000000005</v>
      </c>
      <c r="H67" s="78">
        <f t="shared" si="11"/>
        <v>0.40755000000000002</v>
      </c>
      <c r="I67" s="12">
        <v>0</v>
      </c>
      <c r="J67" s="79"/>
      <c r="K67" s="79"/>
      <c r="L67" s="79"/>
      <c r="M67" s="79"/>
      <c r="N67" s="79"/>
      <c r="O67" s="79"/>
      <c r="P67" s="79"/>
      <c r="Q67" s="79"/>
      <c r="R67" s="186"/>
      <c r="S67" s="186"/>
      <c r="T67" s="186"/>
      <c r="U67" s="186"/>
    </row>
    <row r="68" spans="1:21" s="58" customFormat="1" ht="15.75" hidden="1" customHeight="1">
      <c r="A68" s="25">
        <v>19</v>
      </c>
      <c r="B68" s="13" t="s">
        <v>47</v>
      </c>
      <c r="C68" s="15" t="s">
        <v>134</v>
      </c>
      <c r="D68" s="13" t="s">
        <v>52</v>
      </c>
      <c r="E68" s="63">
        <v>14347</v>
      </c>
      <c r="F68" s="12">
        <f>SUM(E68/100)</f>
        <v>143.47</v>
      </c>
      <c r="G68" s="12">
        <v>226.79</v>
      </c>
      <c r="H68" s="78">
        <f t="shared" si="11"/>
        <v>32.5375613</v>
      </c>
      <c r="I68" s="12">
        <f>F68*G68</f>
        <v>32537.561299999998</v>
      </c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</row>
    <row r="69" spans="1:21" s="58" customFormat="1" ht="15.75" hidden="1" customHeight="1">
      <c r="A69" s="25">
        <v>20</v>
      </c>
      <c r="B69" s="13" t="s">
        <v>48</v>
      </c>
      <c r="C69" s="15" t="s">
        <v>135</v>
      </c>
      <c r="D69" s="13"/>
      <c r="E69" s="63">
        <v>14347</v>
      </c>
      <c r="F69" s="12">
        <f>SUM(E69/1000)</f>
        <v>14.347</v>
      </c>
      <c r="G69" s="12">
        <v>176.61</v>
      </c>
      <c r="H69" s="78">
        <f t="shared" si="11"/>
        <v>2.5338236700000003</v>
      </c>
      <c r="I69" s="12">
        <f t="shared" ref="I69:I72" si="12">F69*G69</f>
        <v>2533.8236700000002</v>
      </c>
    </row>
    <row r="70" spans="1:21" s="58" customFormat="1" ht="15.75" hidden="1" customHeight="1">
      <c r="A70" s="25">
        <v>21</v>
      </c>
      <c r="B70" s="13" t="s">
        <v>49</v>
      </c>
      <c r="C70" s="15" t="s">
        <v>76</v>
      </c>
      <c r="D70" s="13" t="s">
        <v>52</v>
      </c>
      <c r="E70" s="63">
        <v>2244</v>
      </c>
      <c r="F70" s="12">
        <f>SUM(E70/100)</f>
        <v>22.44</v>
      </c>
      <c r="G70" s="12">
        <v>2217.7800000000002</v>
      </c>
      <c r="H70" s="78">
        <f t="shared" si="11"/>
        <v>49.766983200000013</v>
      </c>
      <c r="I70" s="12">
        <f t="shared" si="12"/>
        <v>49766.98320000001</v>
      </c>
    </row>
    <row r="71" spans="1:21" s="58" customFormat="1" ht="15.75" hidden="1" customHeight="1">
      <c r="A71" s="25">
        <v>22</v>
      </c>
      <c r="B71" s="80" t="s">
        <v>136</v>
      </c>
      <c r="C71" s="15" t="s">
        <v>33</v>
      </c>
      <c r="D71" s="13"/>
      <c r="E71" s="63">
        <v>12.48</v>
      </c>
      <c r="F71" s="12">
        <f>SUM(E71)</f>
        <v>12.48</v>
      </c>
      <c r="G71" s="12">
        <v>42.67</v>
      </c>
      <c r="H71" s="78">
        <f t="shared" si="11"/>
        <v>0.53252160000000004</v>
      </c>
      <c r="I71" s="12">
        <f t="shared" si="12"/>
        <v>532.52160000000003</v>
      </c>
    </row>
    <row r="72" spans="1:21" s="58" customFormat="1" ht="15.75" hidden="1" customHeight="1">
      <c r="A72" s="25">
        <v>23</v>
      </c>
      <c r="B72" s="80" t="s">
        <v>137</v>
      </c>
      <c r="C72" s="15" t="s">
        <v>33</v>
      </c>
      <c r="D72" s="13"/>
      <c r="E72" s="63">
        <v>12.48</v>
      </c>
      <c r="F72" s="12">
        <f>SUM(E72)</f>
        <v>12.48</v>
      </c>
      <c r="G72" s="12">
        <v>39.81</v>
      </c>
      <c r="H72" s="78">
        <f t="shared" si="11"/>
        <v>0.49682880000000007</v>
      </c>
      <c r="I72" s="12">
        <f t="shared" si="12"/>
        <v>496.82880000000006</v>
      </c>
    </row>
    <row r="73" spans="1:21" s="58" customFormat="1" ht="15.75" customHeight="1">
      <c r="A73" s="25">
        <v>24</v>
      </c>
      <c r="B73" s="13" t="s">
        <v>56</v>
      </c>
      <c r="C73" s="15" t="s">
        <v>57</v>
      </c>
      <c r="D73" s="13" t="s">
        <v>52</v>
      </c>
      <c r="E73" s="17">
        <v>5</v>
      </c>
      <c r="F73" s="64">
        <v>5</v>
      </c>
      <c r="G73" s="12">
        <v>53.32</v>
      </c>
      <c r="H73" s="78">
        <f t="shared" si="11"/>
        <v>0.2666</v>
      </c>
      <c r="I73" s="12">
        <f>F73*G73</f>
        <v>266.60000000000002</v>
      </c>
    </row>
    <row r="74" spans="1:21" s="58" customFormat="1" ht="15.75" customHeight="1">
      <c r="A74" s="25"/>
      <c r="B74" s="100" t="s">
        <v>71</v>
      </c>
      <c r="C74" s="15"/>
      <c r="D74" s="13"/>
      <c r="E74" s="17"/>
      <c r="F74" s="12"/>
      <c r="G74" s="12"/>
      <c r="H74" s="78" t="s">
        <v>149</v>
      </c>
      <c r="I74" s="12"/>
    </row>
    <row r="75" spans="1:21" s="58" customFormat="1" ht="15.75" hidden="1" customHeight="1">
      <c r="A75" s="25"/>
      <c r="B75" s="13" t="s">
        <v>72</v>
      </c>
      <c r="C75" s="15" t="s">
        <v>74</v>
      </c>
      <c r="D75" s="13"/>
      <c r="E75" s="17">
        <v>2</v>
      </c>
      <c r="F75" s="12">
        <v>0.2</v>
      </c>
      <c r="G75" s="12">
        <v>536.23</v>
      </c>
      <c r="H75" s="78">
        <f t="shared" ref="H75" si="13">SUM(F75*G75/1000)</f>
        <v>0.10724600000000001</v>
      </c>
      <c r="I75" s="12">
        <v>0</v>
      </c>
    </row>
    <row r="76" spans="1:21" s="58" customFormat="1" ht="15.75" hidden="1" customHeight="1">
      <c r="A76" s="25">
        <v>21</v>
      </c>
      <c r="B76" s="13" t="s">
        <v>73</v>
      </c>
      <c r="C76" s="15" t="s">
        <v>31</v>
      </c>
      <c r="D76" s="13"/>
      <c r="E76" s="17">
        <v>1</v>
      </c>
      <c r="F76" s="53">
        <v>1</v>
      </c>
      <c r="G76" s="12">
        <v>911.85</v>
      </c>
      <c r="H76" s="78">
        <f>F76*G76/1000</f>
        <v>0.91185000000000005</v>
      </c>
      <c r="I76" s="12">
        <v>0</v>
      </c>
    </row>
    <row r="77" spans="1:21" s="58" customFormat="1" ht="15.75" customHeight="1">
      <c r="A77" s="25">
        <v>25</v>
      </c>
      <c r="B77" s="13" t="s">
        <v>140</v>
      </c>
      <c r="C77" s="15" t="s">
        <v>31</v>
      </c>
      <c r="D77" s="13"/>
      <c r="E77" s="17">
        <v>1</v>
      </c>
      <c r="F77" s="12">
        <v>1</v>
      </c>
      <c r="G77" s="12">
        <v>383.25</v>
      </c>
      <c r="H77" s="78">
        <f>G77*F77/1000</f>
        <v>0.38324999999999998</v>
      </c>
      <c r="I77" s="12">
        <f>G77</f>
        <v>383.25</v>
      </c>
    </row>
    <row r="78" spans="1:21" s="58" customFormat="1" ht="15.75" hidden="1" customHeight="1">
      <c r="A78" s="25"/>
      <c r="B78" s="82" t="s">
        <v>75</v>
      </c>
      <c r="C78" s="15"/>
      <c r="D78" s="13"/>
      <c r="E78" s="17"/>
      <c r="F78" s="12"/>
      <c r="G78" s="12" t="s">
        <v>149</v>
      </c>
      <c r="H78" s="78" t="s">
        <v>149</v>
      </c>
      <c r="I78" s="12"/>
    </row>
    <row r="79" spans="1:21" s="58" customFormat="1" ht="15.75" hidden="1" customHeight="1">
      <c r="A79" s="25"/>
      <c r="B79" s="39" t="s">
        <v>141</v>
      </c>
      <c r="C79" s="15" t="s">
        <v>76</v>
      </c>
      <c r="D79" s="13"/>
      <c r="E79" s="17"/>
      <c r="F79" s="12">
        <v>1</v>
      </c>
      <c r="G79" s="12">
        <v>2949.84</v>
      </c>
      <c r="H79" s="78">
        <f t="shared" ref="H79" si="14">SUM(F79*G79/1000)</f>
        <v>2.94984</v>
      </c>
      <c r="I79" s="12">
        <v>0</v>
      </c>
    </row>
    <row r="80" spans="1:21" s="58" customFormat="1" ht="15.75" hidden="1" customHeight="1">
      <c r="A80" s="25"/>
      <c r="B80" s="100" t="s">
        <v>138</v>
      </c>
      <c r="C80" s="82"/>
      <c r="D80" s="27"/>
      <c r="E80" s="29"/>
      <c r="F80" s="67"/>
      <c r="G80" s="67"/>
      <c r="H80" s="83">
        <f>SUM(H58:H79)</f>
        <v>133.59511326200004</v>
      </c>
      <c r="I80" s="67"/>
    </row>
    <row r="81" spans="1:9" s="58" customFormat="1" ht="15.75" hidden="1" customHeight="1">
      <c r="A81" s="90">
        <v>20</v>
      </c>
      <c r="B81" s="70" t="s">
        <v>139</v>
      </c>
      <c r="C81" s="91"/>
      <c r="D81" s="92"/>
      <c r="E81" s="54"/>
      <c r="F81" s="85">
        <v>1</v>
      </c>
      <c r="G81" s="85">
        <v>30235</v>
      </c>
      <c r="H81" s="93">
        <f>G81*F81/1000</f>
        <v>30.234999999999999</v>
      </c>
      <c r="I81" s="85">
        <f>G81</f>
        <v>30235</v>
      </c>
    </row>
    <row r="82" spans="1:9" s="58" customFormat="1" ht="15.75" customHeight="1">
      <c r="A82" s="173" t="s">
        <v>167</v>
      </c>
      <c r="B82" s="174"/>
      <c r="C82" s="174"/>
      <c r="D82" s="174"/>
      <c r="E82" s="174"/>
      <c r="F82" s="174"/>
      <c r="G82" s="174"/>
      <c r="H82" s="174"/>
      <c r="I82" s="175"/>
    </row>
    <row r="83" spans="1:9" s="58" customFormat="1" ht="15.75" customHeight="1">
      <c r="A83" s="94">
        <v>26</v>
      </c>
      <c r="B83" s="95" t="s">
        <v>142</v>
      </c>
      <c r="C83" s="96" t="s">
        <v>53</v>
      </c>
      <c r="D83" s="97" t="s">
        <v>54</v>
      </c>
      <c r="E83" s="98">
        <v>3931</v>
      </c>
      <c r="F83" s="98">
        <f>SUM(E83*12)</f>
        <v>47172</v>
      </c>
      <c r="G83" s="98">
        <v>2.2400000000000002</v>
      </c>
      <c r="H83" s="99">
        <f>SUM(F83*G83/1000)</f>
        <v>105.66528000000001</v>
      </c>
      <c r="I83" s="98">
        <f>F83/12*G83</f>
        <v>8805.44</v>
      </c>
    </row>
    <row r="84" spans="1:9" s="58" customFormat="1" ht="31.5" customHeight="1">
      <c r="A84" s="25">
        <v>27</v>
      </c>
      <c r="B84" s="13" t="s">
        <v>77</v>
      </c>
      <c r="C84" s="15"/>
      <c r="D84" s="84" t="s">
        <v>54</v>
      </c>
      <c r="E84" s="63">
        <f>E83</f>
        <v>3931</v>
      </c>
      <c r="F84" s="12">
        <f>E84*12</f>
        <v>47172</v>
      </c>
      <c r="G84" s="12">
        <v>1.74</v>
      </c>
      <c r="H84" s="78">
        <f>F84*G84/1000</f>
        <v>82.079279999999997</v>
      </c>
      <c r="I84" s="12">
        <f>F84/12*G84</f>
        <v>6839.94</v>
      </c>
    </row>
    <row r="85" spans="1:9" s="58" customFormat="1" ht="15.75" customHeight="1">
      <c r="A85" s="25"/>
      <c r="B85" s="33" t="s">
        <v>80</v>
      </c>
      <c r="C85" s="82"/>
      <c r="D85" s="81"/>
      <c r="E85" s="67"/>
      <c r="F85" s="67"/>
      <c r="G85" s="67"/>
      <c r="H85" s="83">
        <f>H84</f>
        <v>82.079279999999997</v>
      </c>
      <c r="I85" s="67">
        <f>I16+I17+I18+I20+I21+I25+I26+I29+I30+I32+I33+I46+I47+I48+I49+I50+I51+I52+I53+I54+I55+I64+I66+I73+I77+I83+I84</f>
        <v>91928.26443780004</v>
      </c>
    </row>
    <row r="86" spans="1:9" s="58" customFormat="1" ht="15.75" customHeight="1">
      <c r="A86" s="188" t="s">
        <v>59</v>
      </c>
      <c r="B86" s="189"/>
      <c r="C86" s="189"/>
      <c r="D86" s="189"/>
      <c r="E86" s="189"/>
      <c r="F86" s="189"/>
      <c r="G86" s="189"/>
      <c r="H86" s="189"/>
      <c r="I86" s="190"/>
    </row>
    <row r="87" spans="1:9" s="58" customFormat="1" ht="31.5" customHeight="1">
      <c r="A87" s="25">
        <v>28</v>
      </c>
      <c r="B87" s="42" t="s">
        <v>83</v>
      </c>
      <c r="C87" s="43" t="s">
        <v>37</v>
      </c>
      <c r="D87" s="13"/>
      <c r="E87" s="17"/>
      <c r="F87" s="12">
        <v>0.02</v>
      </c>
      <c r="G87" s="12">
        <v>3581.13</v>
      </c>
      <c r="H87" s="78">
        <f t="shared" ref="H87" si="15">G87*F87/1000</f>
        <v>7.1622600000000008E-2</v>
      </c>
      <c r="I87" s="85">
        <f>G87*0.01</f>
        <v>35.811300000000003</v>
      </c>
    </row>
    <row r="88" spans="1:9" s="58" customFormat="1" ht="31.5" customHeight="1">
      <c r="A88" s="25">
        <v>29</v>
      </c>
      <c r="B88" s="42" t="s">
        <v>79</v>
      </c>
      <c r="C88" s="43" t="s">
        <v>96</v>
      </c>
      <c r="D88" s="13"/>
      <c r="E88" s="17"/>
      <c r="F88" s="12">
        <v>3</v>
      </c>
      <c r="G88" s="12">
        <v>83.36</v>
      </c>
      <c r="H88" s="78">
        <f>G88*F88/1000</f>
        <v>0.25007999999999997</v>
      </c>
      <c r="I88" s="85">
        <f>G88</f>
        <v>83.36</v>
      </c>
    </row>
    <row r="89" spans="1:9" s="58" customFormat="1" ht="31.5" customHeight="1">
      <c r="A89" s="25">
        <v>30</v>
      </c>
      <c r="B89" s="42" t="s">
        <v>91</v>
      </c>
      <c r="C89" s="43" t="s">
        <v>154</v>
      </c>
      <c r="D89" s="13"/>
      <c r="E89" s="17"/>
      <c r="F89" s="12">
        <v>2</v>
      </c>
      <c r="G89" s="12">
        <v>589.84</v>
      </c>
      <c r="H89" s="78">
        <f>G89*F89/1000</f>
        <v>1.1796800000000001</v>
      </c>
      <c r="I89" s="126">
        <f>G89</f>
        <v>589.84</v>
      </c>
    </row>
    <row r="90" spans="1:9" s="58" customFormat="1" ht="31.5" customHeight="1">
      <c r="A90" s="25">
        <v>31</v>
      </c>
      <c r="B90" s="42" t="s">
        <v>153</v>
      </c>
      <c r="C90" s="43" t="s">
        <v>81</v>
      </c>
      <c r="D90" s="13"/>
      <c r="E90" s="17"/>
      <c r="F90" s="12">
        <v>1</v>
      </c>
      <c r="G90" s="12">
        <v>1272</v>
      </c>
      <c r="H90" s="78">
        <f t="shared" ref="H90:H91" si="16">G90*F90/1000</f>
        <v>1.272</v>
      </c>
      <c r="I90" s="126">
        <f t="shared" ref="I90:I91" si="17">G90</f>
        <v>1272</v>
      </c>
    </row>
    <row r="91" spans="1:9" s="58" customFormat="1" ht="31.5" customHeight="1">
      <c r="A91" s="25">
        <v>32</v>
      </c>
      <c r="B91" s="42" t="s">
        <v>221</v>
      </c>
      <c r="C91" s="43" t="s">
        <v>154</v>
      </c>
      <c r="D91" s="13"/>
      <c r="E91" s="17"/>
      <c r="F91" s="12">
        <v>1</v>
      </c>
      <c r="G91" s="12">
        <v>4369.6099999999997</v>
      </c>
      <c r="H91" s="78">
        <f t="shared" si="16"/>
        <v>4.3696099999999998</v>
      </c>
      <c r="I91" s="126">
        <f t="shared" si="17"/>
        <v>4369.6099999999997</v>
      </c>
    </row>
    <row r="92" spans="1:9" s="58" customFormat="1" ht="47.25" customHeight="1">
      <c r="A92" s="25">
        <v>33</v>
      </c>
      <c r="B92" s="42" t="s">
        <v>157</v>
      </c>
      <c r="C92" s="43" t="s">
        <v>100</v>
      </c>
      <c r="D92" s="13"/>
      <c r="E92" s="17"/>
      <c r="F92" s="12">
        <f>20/10</f>
        <v>2</v>
      </c>
      <c r="G92" s="12">
        <v>4084.72</v>
      </c>
      <c r="H92" s="78">
        <f>G92*F92/1000</f>
        <v>8.1694399999999998</v>
      </c>
      <c r="I92" s="126">
        <f>G92*((15+20)/10)</f>
        <v>14296.519999999999</v>
      </c>
    </row>
    <row r="93" spans="1:9" s="58" customFormat="1" ht="15.75" customHeight="1">
      <c r="A93" s="25">
        <v>34</v>
      </c>
      <c r="B93" s="42" t="s">
        <v>161</v>
      </c>
      <c r="C93" s="43" t="s">
        <v>162</v>
      </c>
      <c r="D93" s="39"/>
      <c r="E93" s="12"/>
      <c r="F93" s="12">
        <v>2</v>
      </c>
      <c r="G93" s="12">
        <v>1582</v>
      </c>
      <c r="H93" s="78">
        <f>G93*F93/1000</f>
        <v>3.1640000000000001</v>
      </c>
      <c r="I93" s="126">
        <f>G93*(1+2)</f>
        <v>4746</v>
      </c>
    </row>
    <row r="94" spans="1:9" s="58" customFormat="1" ht="15.75" customHeight="1">
      <c r="A94" s="25">
        <v>35</v>
      </c>
      <c r="B94" s="42" t="s">
        <v>259</v>
      </c>
      <c r="C94" s="60" t="s">
        <v>160</v>
      </c>
      <c r="D94" s="161"/>
      <c r="E94" s="31"/>
      <c r="F94" s="31">
        <v>3</v>
      </c>
      <c r="G94" s="31">
        <v>294.45</v>
      </c>
      <c r="H94" s="118">
        <f t="shared" ref="H94" si="18">G94*F94/1000</f>
        <v>0.88334999999999986</v>
      </c>
      <c r="I94" s="126">
        <f>G94*3</f>
        <v>883.34999999999991</v>
      </c>
    </row>
    <row r="95" spans="1:9" s="58" customFormat="1" ht="31.5" customHeight="1">
      <c r="A95" s="25">
        <v>36</v>
      </c>
      <c r="B95" s="42" t="s">
        <v>222</v>
      </c>
      <c r="C95" s="60" t="s">
        <v>223</v>
      </c>
      <c r="D95" s="39"/>
      <c r="E95" s="12"/>
      <c r="F95" s="12">
        <f>0.9/10</f>
        <v>0.09</v>
      </c>
      <c r="G95" s="12">
        <v>14419.85</v>
      </c>
      <c r="H95" s="78">
        <f>G95*F95/1000</f>
        <v>1.2977865</v>
      </c>
      <c r="I95" s="126">
        <f>G95*0.09</f>
        <v>1297.7864999999999</v>
      </c>
    </row>
    <row r="96" spans="1:9" ht="15.75" customHeight="1">
      <c r="A96" s="25"/>
      <c r="B96" s="87" t="s">
        <v>50</v>
      </c>
      <c r="C96" s="34"/>
      <c r="D96" s="40"/>
      <c r="E96" s="34">
        <v>1</v>
      </c>
      <c r="F96" s="34"/>
      <c r="G96" s="34"/>
      <c r="H96" s="34"/>
      <c r="I96" s="29">
        <f>SUM(I87:I95)</f>
        <v>27574.277799999996</v>
      </c>
    </row>
    <row r="97" spans="1:9" ht="15.75" customHeight="1">
      <c r="A97" s="25"/>
      <c r="B97" s="39" t="s">
        <v>78</v>
      </c>
      <c r="C97" s="14"/>
      <c r="D97" s="14"/>
      <c r="E97" s="35"/>
      <c r="F97" s="35"/>
      <c r="G97" s="36"/>
      <c r="H97" s="36"/>
      <c r="I97" s="16">
        <v>0</v>
      </c>
    </row>
    <row r="98" spans="1:9" ht="15.75" customHeight="1">
      <c r="A98" s="41"/>
      <c r="B98" s="38" t="s">
        <v>188</v>
      </c>
      <c r="C98" s="30"/>
      <c r="D98" s="30"/>
      <c r="E98" s="30"/>
      <c r="F98" s="30"/>
      <c r="G98" s="30"/>
      <c r="H98" s="30"/>
      <c r="I98" s="37">
        <f>I85+I96</f>
        <v>119502.54223780004</v>
      </c>
    </row>
    <row r="99" spans="1:9" ht="15.75">
      <c r="A99" s="187" t="s">
        <v>260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>
      <c r="A100" s="106"/>
      <c r="B100" s="181" t="s">
        <v>261</v>
      </c>
      <c r="C100" s="181"/>
      <c r="D100" s="181"/>
      <c r="E100" s="181"/>
      <c r="F100" s="181"/>
      <c r="G100" s="181"/>
      <c r="H100" s="57"/>
      <c r="I100" s="3"/>
    </row>
    <row r="101" spans="1:9">
      <c r="A101" s="105"/>
      <c r="B101" s="177" t="s">
        <v>6</v>
      </c>
      <c r="C101" s="177"/>
      <c r="D101" s="177"/>
      <c r="E101" s="177"/>
      <c r="F101" s="177"/>
      <c r="G101" s="177"/>
      <c r="H101" s="20"/>
      <c r="I101" s="5"/>
    </row>
    <row r="102" spans="1:9" ht="15.7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182" t="s">
        <v>7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>
      <c r="A104" s="182" t="s">
        <v>8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15.75">
      <c r="A105" s="183" t="s">
        <v>60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 customHeight="1">
      <c r="A106" s="10"/>
    </row>
    <row r="107" spans="1:9" ht="15.75">
      <c r="A107" s="184" t="s">
        <v>9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4"/>
    </row>
    <row r="109" spans="1:9" ht="15.75">
      <c r="B109" s="102" t="s">
        <v>10</v>
      </c>
      <c r="C109" s="176" t="s">
        <v>92</v>
      </c>
      <c r="D109" s="176"/>
      <c r="E109" s="176"/>
      <c r="F109" s="55"/>
      <c r="I109" s="104"/>
    </row>
    <row r="110" spans="1:9">
      <c r="A110" s="105"/>
      <c r="C110" s="177" t="s">
        <v>11</v>
      </c>
      <c r="D110" s="177"/>
      <c r="E110" s="177"/>
      <c r="F110" s="20"/>
      <c r="I110" s="103" t="s">
        <v>12</v>
      </c>
    </row>
    <row r="111" spans="1:9" ht="15.75">
      <c r="A111" s="21"/>
      <c r="C111" s="11"/>
      <c r="D111" s="11"/>
      <c r="G111" s="11"/>
      <c r="H111" s="11"/>
    </row>
    <row r="112" spans="1:9" ht="15.75">
      <c r="B112" s="102" t="s">
        <v>13</v>
      </c>
      <c r="C112" s="178"/>
      <c r="D112" s="178"/>
      <c r="E112" s="178"/>
      <c r="F112" s="56"/>
      <c r="I112" s="104"/>
    </row>
    <row r="113" spans="1:9">
      <c r="A113" s="105"/>
      <c r="C113" s="179" t="s">
        <v>11</v>
      </c>
      <c r="D113" s="179"/>
      <c r="E113" s="179"/>
      <c r="F113" s="105"/>
      <c r="I113" s="103" t="s">
        <v>12</v>
      </c>
    </row>
    <row r="114" spans="1:9" ht="15.75">
      <c r="A114" s="4" t="s">
        <v>14</v>
      </c>
    </row>
    <row r="115" spans="1:9">
      <c r="A115" s="180" t="s">
        <v>15</v>
      </c>
      <c r="B115" s="180"/>
      <c r="C115" s="180"/>
      <c r="D115" s="180"/>
      <c r="E115" s="180"/>
      <c r="F115" s="180"/>
      <c r="G115" s="180"/>
      <c r="H115" s="180"/>
      <c r="I115" s="180"/>
    </row>
    <row r="116" spans="1:9" ht="45" customHeight="1">
      <c r="A116" s="169" t="s">
        <v>16</v>
      </c>
      <c r="B116" s="169"/>
      <c r="C116" s="169"/>
      <c r="D116" s="169"/>
      <c r="E116" s="169"/>
      <c r="F116" s="169"/>
      <c r="G116" s="169"/>
      <c r="H116" s="169"/>
      <c r="I116" s="169"/>
    </row>
    <row r="117" spans="1:9" ht="30" customHeight="1">
      <c r="A117" s="169" t="s">
        <v>17</v>
      </c>
      <c r="B117" s="169"/>
      <c r="C117" s="169"/>
      <c r="D117" s="169"/>
      <c r="E117" s="169"/>
      <c r="F117" s="169"/>
      <c r="G117" s="169"/>
      <c r="H117" s="169"/>
      <c r="I117" s="169"/>
    </row>
    <row r="118" spans="1:9" ht="30" customHeight="1">
      <c r="A118" s="169" t="s">
        <v>21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15" customHeight="1">
      <c r="A119" s="169" t="s">
        <v>20</v>
      </c>
      <c r="B119" s="169"/>
      <c r="C119" s="169"/>
      <c r="D119" s="169"/>
      <c r="E119" s="169"/>
      <c r="F119" s="169"/>
      <c r="G119" s="169"/>
      <c r="H119" s="169"/>
      <c r="I119" s="169"/>
    </row>
  </sheetData>
  <autoFilter ref="I12:I62"/>
  <mergeCells count="29">
    <mergeCell ref="A115:I115"/>
    <mergeCell ref="A116:I116"/>
    <mergeCell ref="A117:I117"/>
    <mergeCell ref="A118:I118"/>
    <mergeCell ref="A119:I119"/>
    <mergeCell ref="R67:U67"/>
    <mergeCell ref="C113:E113"/>
    <mergeCell ref="A86:I86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2017-11-30T07:23:28Z</cp:lastPrinted>
  <dcterms:created xsi:type="dcterms:W3CDTF">2016-03-25T08:33:47Z</dcterms:created>
  <dcterms:modified xsi:type="dcterms:W3CDTF">2018-03-29T07:17:56Z</dcterms:modified>
</cp:coreProperties>
</file>