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315" windowWidth="15975" windowHeight="5565"/>
  </bookViews>
  <sheets>
    <sheet name="Нефт.,7" sheetId="1" r:id="rId1"/>
  </sheets>
  <definedNames>
    <definedName name="_xlnm.Print_Area" localSheetId="0">'Нефт.,7'!$A$1:$U$117</definedName>
  </definedNames>
  <calcPr calcId="124519"/>
</workbook>
</file>

<file path=xl/calcChain.xml><?xml version="1.0" encoding="utf-8"?>
<calcChain xmlns="http://schemas.openxmlformats.org/spreadsheetml/2006/main">
  <c r="L39" i="1"/>
  <c r="K39"/>
  <c r="C115"/>
  <c r="C112"/>
  <c r="T57"/>
  <c r="R104"/>
  <c r="U83"/>
  <c r="U59"/>
  <c r="U61"/>
  <c r="U62"/>
  <c r="U71"/>
  <c r="U72"/>
  <c r="U73"/>
  <c r="U74"/>
  <c r="U77"/>
  <c r="U30"/>
  <c r="U31"/>
  <c r="P104"/>
  <c r="U104" s="1"/>
  <c r="O103"/>
  <c r="U103" s="1"/>
  <c r="F103"/>
  <c r="H103"/>
  <c r="N102" l="1"/>
  <c r="U102" s="1"/>
  <c r="F102"/>
  <c r="H102" s="1"/>
  <c r="R53" l="1"/>
  <c r="N53"/>
  <c r="I53"/>
  <c r="R52"/>
  <c r="N52"/>
  <c r="I52"/>
  <c r="L96"/>
  <c r="M101"/>
  <c r="U101" s="1"/>
  <c r="H101"/>
  <c r="L57"/>
  <c r="U57" s="1"/>
  <c r="L100"/>
  <c r="U100" s="1"/>
  <c r="H100"/>
  <c r="U52" l="1"/>
  <c r="U53"/>
  <c r="L99"/>
  <c r="U99" s="1"/>
  <c r="H99"/>
  <c r="L98"/>
  <c r="U98" s="1"/>
  <c r="H98"/>
  <c r="L97"/>
  <c r="U97" s="1"/>
  <c r="H97"/>
  <c r="J79"/>
  <c r="U79" s="1"/>
  <c r="J96"/>
  <c r="U96" s="1"/>
  <c r="H96"/>
  <c r="J95"/>
  <c r="U95" s="1"/>
  <c r="H95"/>
  <c r="J94"/>
  <c r="U94" s="1"/>
  <c r="H94"/>
  <c r="J93" l="1"/>
  <c r="U93" s="1"/>
  <c r="H93"/>
  <c r="I75" l="1"/>
  <c r="U75" s="1"/>
  <c r="I92"/>
  <c r="U92" s="1"/>
  <c r="H90"/>
  <c r="I90"/>
  <c r="U90" s="1"/>
  <c r="H92"/>
  <c r="I91" l="1"/>
  <c r="H91"/>
  <c r="U91" l="1"/>
  <c r="U105" s="1"/>
  <c r="C114" s="1"/>
  <c r="H104"/>
  <c r="H105" s="1"/>
  <c r="T40"/>
  <c r="T35"/>
  <c r="S35"/>
  <c r="R51" l="1"/>
  <c r="S40" l="1"/>
  <c r="F68"/>
  <c r="H68" l="1"/>
  <c r="Q68"/>
  <c r="U68" s="1"/>
  <c r="F75"/>
  <c r="H75" s="1"/>
  <c r="H74"/>
  <c r="F73"/>
  <c r="H73" s="1"/>
  <c r="H72"/>
  <c r="F71"/>
  <c r="H71"/>
  <c r="F69"/>
  <c r="F32"/>
  <c r="E69"/>
  <c r="E67"/>
  <c r="E64"/>
  <c r="F61"/>
  <c r="H57"/>
  <c r="F53"/>
  <c r="E49"/>
  <c r="F47"/>
  <c r="Q47" s="1"/>
  <c r="E39"/>
  <c r="F39" s="1"/>
  <c r="E38"/>
  <c r="F38" s="1"/>
  <c r="F36"/>
  <c r="E28"/>
  <c r="F27"/>
  <c r="F16"/>
  <c r="F15"/>
  <c r="Q16" l="1"/>
  <c r="M16"/>
  <c r="U16" s="1"/>
  <c r="Q15"/>
  <c r="M15"/>
  <c r="U15" s="1"/>
  <c r="O27"/>
  <c r="N27"/>
  <c r="M27"/>
  <c r="O69"/>
  <c r="N69"/>
  <c r="M69"/>
  <c r="K69"/>
  <c r="L69"/>
  <c r="J69"/>
  <c r="I69"/>
  <c r="T38"/>
  <c r="S38"/>
  <c r="T69"/>
  <c r="R69"/>
  <c r="P69"/>
  <c r="S69"/>
  <c r="Q69"/>
  <c r="H27"/>
  <c r="Q27"/>
  <c r="R27"/>
  <c r="T36"/>
  <c r="S36"/>
  <c r="T32"/>
  <c r="Q32"/>
  <c r="S32"/>
  <c r="R32"/>
  <c r="P27"/>
  <c r="U27" l="1"/>
  <c r="U69"/>
  <c r="M51"/>
  <c r="U51" s="1"/>
  <c r="M20"/>
  <c r="U20" s="1"/>
  <c r="M19"/>
  <c r="U19" s="1"/>
  <c r="L40" l="1"/>
  <c r="L35"/>
  <c r="K35"/>
  <c r="K40" l="1"/>
  <c r="J35"/>
  <c r="F52" l="1"/>
  <c r="F28" l="1"/>
  <c r="H79"/>
  <c r="J40"/>
  <c r="I40"/>
  <c r="U40" s="1"/>
  <c r="I35"/>
  <c r="U35" s="1"/>
  <c r="Q28" l="1"/>
  <c r="R28"/>
  <c r="P28"/>
  <c r="O28"/>
  <c r="N28"/>
  <c r="M28"/>
  <c r="U28" s="1"/>
  <c r="L38" l="1"/>
  <c r="K38"/>
  <c r="J38"/>
  <c r="I38"/>
  <c r="U38" s="1"/>
  <c r="F59" l="1"/>
  <c r="H59" s="1"/>
  <c r="F56"/>
  <c r="S56" l="1"/>
  <c r="T56"/>
  <c r="L56"/>
  <c r="K56"/>
  <c r="I56"/>
  <c r="J56"/>
  <c r="H52"/>
  <c r="F48"/>
  <c r="H19"/>
  <c r="H20"/>
  <c r="H56"/>
  <c r="U56" l="1"/>
  <c r="Q48"/>
  <c r="T48"/>
  <c r="M48"/>
  <c r="I48"/>
  <c r="H47"/>
  <c r="M47"/>
  <c r="U47" s="1"/>
  <c r="J48"/>
  <c r="U48" l="1"/>
  <c r="H107"/>
  <c r="F108"/>
  <c r="E82"/>
  <c r="H86" s="1"/>
  <c r="F80"/>
  <c r="H77"/>
  <c r="H69"/>
  <c r="F67"/>
  <c r="F66"/>
  <c r="F65"/>
  <c r="F64"/>
  <c r="F63"/>
  <c r="H62"/>
  <c r="H61"/>
  <c r="H53"/>
  <c r="H51"/>
  <c r="F50"/>
  <c r="R50" s="1"/>
  <c r="F49"/>
  <c r="R49" s="1"/>
  <c r="F46"/>
  <c r="Q46" s="1"/>
  <c r="F45"/>
  <c r="Q45" s="1"/>
  <c r="F44"/>
  <c r="Q44" s="1"/>
  <c r="F43"/>
  <c r="Q43" s="1"/>
  <c r="H40"/>
  <c r="H38"/>
  <c r="F37"/>
  <c r="H35"/>
  <c r="H31"/>
  <c r="H30"/>
  <c r="F29"/>
  <c r="H28"/>
  <c r="F26"/>
  <c r="F25"/>
  <c r="F24"/>
  <c r="F21"/>
  <c r="F18"/>
  <c r="F17"/>
  <c r="F14"/>
  <c r="E13"/>
  <c r="F13" s="1"/>
  <c r="I13" s="1"/>
  <c r="F12"/>
  <c r="I12" s="1"/>
  <c r="F11"/>
  <c r="T12" l="1"/>
  <c r="R12"/>
  <c r="Q12"/>
  <c r="S12"/>
  <c r="S11"/>
  <c r="T11"/>
  <c r="Q11"/>
  <c r="R11"/>
  <c r="P11"/>
  <c r="T13"/>
  <c r="Q13"/>
  <c r="S13"/>
  <c r="R13"/>
  <c r="Q25"/>
  <c r="R25"/>
  <c r="R24"/>
  <c r="P24"/>
  <c r="Q24"/>
  <c r="S29"/>
  <c r="T29"/>
  <c r="Q29"/>
  <c r="R29"/>
  <c r="P29"/>
  <c r="T37"/>
  <c r="S37"/>
  <c r="T80"/>
  <c r="S80"/>
  <c r="R80"/>
  <c r="P80"/>
  <c r="Q80"/>
  <c r="O80"/>
  <c r="H21"/>
  <c r="M21"/>
  <c r="U21" s="1"/>
  <c r="H14"/>
  <c r="M14"/>
  <c r="U14" s="1"/>
  <c r="H18"/>
  <c r="M18"/>
  <c r="U18" s="1"/>
  <c r="O29"/>
  <c r="N29"/>
  <c r="M29"/>
  <c r="K29"/>
  <c r="L29"/>
  <c r="J29"/>
  <c r="H44"/>
  <c r="M44"/>
  <c r="U44" s="1"/>
  <c r="H46"/>
  <c r="M46"/>
  <c r="U46" s="1"/>
  <c r="H50"/>
  <c r="M50"/>
  <c r="U50" s="1"/>
  <c r="H64"/>
  <c r="M64"/>
  <c r="U64" s="1"/>
  <c r="H66"/>
  <c r="M66"/>
  <c r="U66" s="1"/>
  <c r="N80"/>
  <c r="M80"/>
  <c r="L80"/>
  <c r="K80"/>
  <c r="J80"/>
  <c r="H17"/>
  <c r="M17"/>
  <c r="U17" s="1"/>
  <c r="P32"/>
  <c r="O32"/>
  <c r="N32"/>
  <c r="M32"/>
  <c r="K32"/>
  <c r="L32"/>
  <c r="J32"/>
  <c r="L37"/>
  <c r="K37"/>
  <c r="H43"/>
  <c r="M43"/>
  <c r="U43" s="1"/>
  <c r="U54" s="1"/>
  <c r="H45"/>
  <c r="M45"/>
  <c r="U45" s="1"/>
  <c r="H49"/>
  <c r="M49"/>
  <c r="U49" s="1"/>
  <c r="H63"/>
  <c r="M63"/>
  <c r="U63" s="1"/>
  <c r="H65"/>
  <c r="M65"/>
  <c r="U65" s="1"/>
  <c r="H67"/>
  <c r="M67"/>
  <c r="U67" s="1"/>
  <c r="L36"/>
  <c r="K36"/>
  <c r="H26"/>
  <c r="M26"/>
  <c r="U26" s="1"/>
  <c r="H25"/>
  <c r="P25"/>
  <c r="O25"/>
  <c r="N25"/>
  <c r="M25"/>
  <c r="H24"/>
  <c r="O24"/>
  <c r="N24"/>
  <c r="M24"/>
  <c r="O11"/>
  <c r="N11"/>
  <c r="M11"/>
  <c r="L11"/>
  <c r="K11"/>
  <c r="J11"/>
  <c r="J13"/>
  <c r="U13" s="1"/>
  <c r="P13"/>
  <c r="N13"/>
  <c r="M13"/>
  <c r="O13"/>
  <c r="L13"/>
  <c r="K13"/>
  <c r="J12"/>
  <c r="U12" s="1"/>
  <c r="P12"/>
  <c r="O12"/>
  <c r="N12"/>
  <c r="M12"/>
  <c r="L12"/>
  <c r="K12"/>
  <c r="I11"/>
  <c r="U11" s="1"/>
  <c r="H32"/>
  <c r="I32"/>
  <c r="U32" s="1"/>
  <c r="H36"/>
  <c r="J36"/>
  <c r="I36"/>
  <c r="I80"/>
  <c r="U80" s="1"/>
  <c r="I29"/>
  <c r="U29" s="1"/>
  <c r="H37"/>
  <c r="J37"/>
  <c r="I37"/>
  <c r="U37" s="1"/>
  <c r="H39"/>
  <c r="H80"/>
  <c r="H81" s="1"/>
  <c r="H29"/>
  <c r="H48"/>
  <c r="H11"/>
  <c r="H12"/>
  <c r="H16"/>
  <c r="H13"/>
  <c r="H15"/>
  <c r="F82"/>
  <c r="U39" l="1"/>
  <c r="U36"/>
  <c r="U24"/>
  <c r="U25"/>
  <c r="U81"/>
  <c r="T82"/>
  <c r="R82"/>
  <c r="P82"/>
  <c r="S82"/>
  <c r="Q82"/>
  <c r="Q108" s="1"/>
  <c r="S108"/>
  <c r="R108"/>
  <c r="T108"/>
  <c r="H78"/>
  <c r="H54"/>
  <c r="H41"/>
  <c r="O82"/>
  <c r="H33"/>
  <c r="N82"/>
  <c r="M82"/>
  <c r="M108" s="1"/>
  <c r="L82"/>
  <c r="L108" s="1"/>
  <c r="K82"/>
  <c r="J82"/>
  <c r="K108"/>
  <c r="N108"/>
  <c r="U78"/>
  <c r="O108"/>
  <c r="P108"/>
  <c r="I82"/>
  <c r="U41"/>
  <c r="U33"/>
  <c r="J108"/>
  <c r="U22"/>
  <c r="H22"/>
  <c r="H82"/>
  <c r="H84" s="1"/>
  <c r="U82" l="1"/>
  <c r="U84" s="1"/>
  <c r="U85" s="1"/>
  <c r="U108" s="1"/>
  <c r="H85"/>
  <c r="H87" s="1"/>
  <c r="G108" s="1"/>
  <c r="H108" s="1"/>
  <c r="I108"/>
  <c r="C113" l="1"/>
  <c r="C117" s="1"/>
</calcChain>
</file>

<file path=xl/sharedStrings.xml><?xml version="1.0" encoding="utf-8"?>
<sst xmlns="http://schemas.openxmlformats.org/spreadsheetml/2006/main" count="325" uniqueCount="241">
  <si>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</si>
  <si>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</si>
  <si>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</si>
  <si>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</si>
  <si>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</si>
  <si>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</si>
  <si>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</si>
  <si>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</si>
  <si>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</si>
  <si>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</si>
  <si>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</si>
  <si>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</si>
  <si>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Влажное подметание лестничных клеток 1 этажа</t>
  </si>
  <si>
    <t>100м2</t>
  </si>
  <si>
    <t>3 раза в неделю 156 раз в год</t>
  </si>
  <si>
    <t>2 раза в неделю 104 раза в год</t>
  </si>
  <si>
    <t>Мытье окон</t>
  </si>
  <si>
    <t>10м2</t>
  </si>
  <si>
    <t>Влажная протирка перил</t>
  </si>
  <si>
    <t>Влажная протирка почтовых ящиков</t>
  </si>
  <si>
    <t xml:space="preserve">Влажная уборка стен </t>
  </si>
  <si>
    <t>100 м2</t>
  </si>
  <si>
    <t>Влажная протирка дверей</t>
  </si>
  <si>
    <t>Влажная протирка отопительных приборов</t>
  </si>
  <si>
    <t>итого:</t>
  </si>
  <si>
    <t>Летняя уборка</t>
  </si>
  <si>
    <t>2 раза в неделю 52 раза в сезон</t>
  </si>
  <si>
    <t>1000м2</t>
  </si>
  <si>
    <t>3 раза в неделю 78 раз за сезон</t>
  </si>
  <si>
    <t>Уборка газонов сильной загрязненности</t>
  </si>
  <si>
    <t>1 раз в год</t>
  </si>
  <si>
    <t xml:space="preserve"> - Уборка контейнерной площадки (16 кв.м.)</t>
  </si>
  <si>
    <t>шт.</t>
  </si>
  <si>
    <t>155 раз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</si>
  <si>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</si>
  <si>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</si>
  <si>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</si>
  <si>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</si>
  <si>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</si>
  <si>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</si>
  <si>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</si>
  <si>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</si>
  <si>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</si>
  <si>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</si>
  <si>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 xml:space="preserve">Сдвигание снега в дни снегопада </t>
  </si>
  <si>
    <t>1000 м2</t>
  </si>
  <si>
    <t>155 раз за сезон</t>
  </si>
  <si>
    <t xml:space="preserve"> II. Плановые осмотры</t>
  </si>
  <si>
    <t>2 раза в год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</si>
  <si>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</si>
  <si>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</si>
  <si>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</si>
  <si>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 xml:space="preserve">Осмотр СО </t>
  </si>
  <si>
    <t>1 раз в месяц (5 раз за сезон)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</si>
  <si>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</si>
  <si>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</si>
  <si>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100 лест.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</si>
  <si>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</si>
  <si>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</si>
  <si>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</si>
  <si>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</si>
  <si>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</si>
  <si>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</si>
  <si>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</si>
  <si>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</si>
  <si>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</si>
  <si>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</si>
  <si>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</si>
  <si>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100м3</t>
  </si>
  <si>
    <t>Спуск воды и наполнение системы без осмотра</t>
  </si>
  <si>
    <t>1000м3</t>
  </si>
  <si>
    <t>Гидравлическое испытание СО</t>
  </si>
  <si>
    <t>100м</t>
  </si>
  <si>
    <t>Электроснабжение</t>
  </si>
  <si>
    <t>Замена ламп ДРЛ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</si>
  <si>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</si>
  <si>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</si>
  <si>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</si>
  <si>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</si>
  <si>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</si>
  <si>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</si>
  <si>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</si>
  <si>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</si>
  <si>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</si>
  <si>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</si>
  <si>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</si>
  <si>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</si>
  <si>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</si>
  <si>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</si>
  <si>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</si>
  <si>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</si>
  <si>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>3 раза в год</t>
  </si>
  <si>
    <t>Вода для промывки СО</t>
  </si>
  <si>
    <t>Спуск воды после промывки СО в канализацию</t>
  </si>
  <si>
    <t>Смена плавкой вставки в электрощите</t>
  </si>
  <si>
    <t>Генеральный директор ООО "Жилсервис"_______Ю.Л.Куканов</t>
  </si>
  <si>
    <t>водосток</t>
  </si>
  <si>
    <t>Влажная протирка подоконников</t>
  </si>
  <si>
    <t>Влажная протирка шкафов для щитов и слаботочн.устройств</t>
  </si>
  <si>
    <t>Осмотр деревянных конструкций стропил</t>
  </si>
  <si>
    <t>100 м3</t>
  </si>
  <si>
    <t>2-1-1а</t>
  </si>
  <si>
    <t>Проверка дымоходов</t>
  </si>
  <si>
    <t>6 раз за сезон</t>
  </si>
  <si>
    <t>Очистка от мусора</t>
  </si>
  <si>
    <t>10 шт.</t>
  </si>
  <si>
    <t>Смена ламп накаливания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</si>
  <si>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</si>
  <si>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</si>
  <si>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</si>
  <si>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</si>
  <si>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май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</si>
  <si>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</si>
  <si>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</si>
  <si>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</si>
  <si>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</si>
  <si>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</si>
  <si>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</si>
  <si>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</si>
  <si>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3 этажа, 3 подъезда</t>
  </si>
  <si>
    <t>Стоимость (руб.)</t>
  </si>
  <si>
    <t>договор</t>
  </si>
  <si>
    <t>ТО внутридомового газ.оборудования</t>
  </si>
  <si>
    <t>калькуляция</t>
  </si>
  <si>
    <t>Работа автовышки</t>
  </si>
  <si>
    <t xml:space="preserve"> - Подметание территории с усовершенствованным покрытием асф.: крыльца, контейнерн пл., проезд, тротуар</t>
  </si>
  <si>
    <t xml:space="preserve">Погрузка травы, ветвей </t>
  </si>
  <si>
    <t>Вывоз смета, травы, ветвей и т.п.- м/ч</t>
  </si>
  <si>
    <t xml:space="preserve">Подметание снега с тротуара, крылец, конт. площадок 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</si>
  <si>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</si>
  <si>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 xml:space="preserve">Пескопосыпка территории: крыльца и тротуары </t>
  </si>
  <si>
    <t>Стоимость песка -100м2-0,002м3</t>
  </si>
  <si>
    <t>Очистка края кровли от слежавшегося снега со сбрасыванием сосулек (10% от S кровли и козырьки)</t>
  </si>
  <si>
    <t>Внеплановый осмотр электросетей, армазуры и электрооборудования на лестничных клетках</t>
  </si>
  <si>
    <t>ТЕР 51-001</t>
  </si>
  <si>
    <t>ТЕР 51-009</t>
  </si>
  <si>
    <t>ТЕР 51-031</t>
  </si>
  <si>
    <t>ТЕР 51-025</t>
  </si>
  <si>
    <t>ТЕР 51-023</t>
  </si>
  <si>
    <t>ТЕР 51-018</t>
  </si>
  <si>
    <t>ТЕР 51-019</t>
  </si>
  <si>
    <t>ТЕР 51-020</t>
  </si>
  <si>
    <t>ТЕР 51-022</t>
  </si>
  <si>
    <t>ТЕР 51-024</t>
  </si>
  <si>
    <t>ТЕР 53-020</t>
  </si>
  <si>
    <t>ТЕР 53-001</t>
  </si>
  <si>
    <t>ТЕР 53-021</t>
  </si>
  <si>
    <t>ТЕР 52-033</t>
  </si>
  <si>
    <t>пр.ТЕР 52-003</t>
  </si>
  <si>
    <t>ТЕР 53-030</t>
  </si>
  <si>
    <t>ТЕР 54-013</t>
  </si>
  <si>
    <t>ТЕР 54-003</t>
  </si>
  <si>
    <t>ТЕР 54-022</t>
  </si>
  <si>
    <t>ТЕР 54-025</t>
  </si>
  <si>
    <t>ТЕР 3-7-1в</t>
  </si>
  <si>
    <t>ТЕР 42-007</t>
  </si>
  <si>
    <t>ТЕР 42-009</t>
  </si>
  <si>
    <t>ТЕР 42-010</t>
  </si>
  <si>
    <t>ТЕР 42-011</t>
  </si>
  <si>
    <t>ТЕР 42-013</t>
  </si>
  <si>
    <t>ТЕР 42-012</t>
  </si>
  <si>
    <t>ТЕР 42-014</t>
  </si>
  <si>
    <t>ТЕР 42-003</t>
  </si>
  <si>
    <t xml:space="preserve">ТЕР 54-041 </t>
  </si>
  <si>
    <t>ТЕР 51-034</t>
  </si>
  <si>
    <t>ТЕР 31-065</t>
  </si>
  <si>
    <t>ТЕР 31-064</t>
  </si>
  <si>
    <t>ТЕР 31-052</t>
  </si>
  <si>
    <t>ТЕР 31-043</t>
  </si>
  <si>
    <t>ТЕР 31-068</t>
  </si>
  <si>
    <t>ТЕР 33-019</t>
  </si>
  <si>
    <t>ТЕР 33-049</t>
  </si>
  <si>
    <t>ТЕР 33-043</t>
  </si>
  <si>
    <t>Влажное подметание лестничных клеток 2-3 этажа</t>
  </si>
  <si>
    <t>Мытье лестничных  площадок и маршей 1-3 этаж.</t>
  </si>
  <si>
    <t xml:space="preserve">2 раза в месяц 24 раза в год </t>
  </si>
  <si>
    <t xml:space="preserve"> - Уборка газонов, грунта</t>
  </si>
  <si>
    <t>ТЕР 53-003</t>
  </si>
  <si>
    <t>Очистка урн от мусора</t>
  </si>
  <si>
    <t>30 раз за сезон</t>
  </si>
  <si>
    <t>35 раз за сезон</t>
  </si>
  <si>
    <t>20 раз за сезон</t>
  </si>
  <si>
    <t>2 раз в год</t>
  </si>
  <si>
    <t>маш-час</t>
  </si>
  <si>
    <t>ТО внутренних сетей водопровода и канализации</t>
  </si>
  <si>
    <t>руб/м2 в мес.</t>
  </si>
  <si>
    <t>пр.ТЕР 33-024</t>
  </si>
  <si>
    <t>Смена светодиодных светильников</t>
  </si>
  <si>
    <t>1 шт.</t>
  </si>
  <si>
    <t>счёт</t>
  </si>
  <si>
    <t>Стоимость светодиодного светильника</t>
  </si>
  <si>
    <t>руб.</t>
  </si>
  <si>
    <t>ТЕР 31-045</t>
  </si>
  <si>
    <t>Проверка на прогрев отопительных приборов</t>
  </si>
  <si>
    <t>прибор</t>
  </si>
  <si>
    <t>Осмотр шиферной кровли</t>
  </si>
  <si>
    <t>10 м2</t>
  </si>
  <si>
    <t>Возмещение затрат управляющей компании по косметическому ремонту подъездов</t>
  </si>
  <si>
    <t>руб</t>
  </si>
  <si>
    <t>Баланс выполненных работ на 01.01.2017 г. ( -долг за предприятием, +долг за населением)</t>
  </si>
  <si>
    <r>
      <t xml:space="preserve">по адресу:  </t>
    </r>
    <r>
      <rPr>
        <b/>
        <sz val="14"/>
        <color indexed="10"/>
        <rFont val="Arial"/>
        <family val="2"/>
        <charset val="204"/>
      </rPr>
      <t>ул. Нефтяников, 7</t>
    </r>
    <r>
      <rPr>
        <b/>
        <sz val="14"/>
        <rFont val="Arial"/>
        <family val="2"/>
        <charset val="204"/>
      </rPr>
      <t xml:space="preserve">  (п. Ярега)  </t>
    </r>
    <r>
      <rPr>
        <b/>
        <sz val="14"/>
        <color indexed="10"/>
        <rFont val="Arial"/>
        <family val="2"/>
        <charset val="204"/>
      </rPr>
      <t>за 2017 год</t>
    </r>
  </si>
  <si>
    <t>Подключение и отключение сварочного аппарата</t>
  </si>
  <si>
    <t>ТЕР 33-060</t>
  </si>
  <si>
    <t>Начислено за содержание и текущий ремонт за 2017 г.</t>
  </si>
  <si>
    <t>Выполнено работ по содержанию за 2017 г.</t>
  </si>
  <si>
    <t>Выполнено работ по текущему ремонту за 2017 г.</t>
  </si>
  <si>
    <t>Фактически оплачено за 2017 г.</t>
  </si>
  <si>
    <t>1м</t>
  </si>
  <si>
    <t>пр.ТЕР 32-093</t>
  </si>
  <si>
    <t>Прочистка фановой трубы</t>
  </si>
  <si>
    <t>Смена отдельных участков наружной проводки</t>
  </si>
  <si>
    <t>м</t>
  </si>
  <si>
    <t>ТЕР 33-034</t>
  </si>
  <si>
    <t>смета</t>
  </si>
  <si>
    <t>тыс.руб.</t>
  </si>
  <si>
    <t>Смена трубопроводов на металл-полимерные трубы диаметром 20 мм</t>
  </si>
  <si>
    <t>ТЕР 32-027</t>
  </si>
  <si>
    <t>Смена арматуры - вентилей и клапанов обратных муфтовых диаметром до 20 мм</t>
  </si>
  <si>
    <t>1 шт</t>
  </si>
  <si>
    <t>Ремонт и регулировка доводчика (со стоимостью доводчика)</t>
  </si>
  <si>
    <t>1шт.</t>
  </si>
  <si>
    <t>ТЕР 2-1-1а</t>
  </si>
  <si>
    <t>Внеплановая проверка дымоходов</t>
  </si>
  <si>
    <t>пр.ТЕР 32-067</t>
  </si>
  <si>
    <t>Смена прокладок без снятия оборудования с места</t>
  </si>
  <si>
    <t>Смена арматуры - вентилей и клапанов обратных муфтовых диаметром до 32 мм</t>
  </si>
  <si>
    <t>ТЕР 32-028</t>
  </si>
  <si>
    <t xml:space="preserve">Смена сгонов у трубопроводов диаметром до 20 мм </t>
  </si>
  <si>
    <t>1 сгон</t>
  </si>
  <si>
    <t>ТЕР 31-009</t>
  </si>
  <si>
    <t>1 м</t>
  </si>
  <si>
    <t>Смена трубопроводов на полипропиленовые трубы PN25 диаметром 25мм</t>
  </si>
  <si>
    <t>Смена дверных приборов (замки навесные)</t>
  </si>
  <si>
    <t>ТЕР 15-051</t>
  </si>
  <si>
    <t>ТЕР 17-006</t>
  </si>
  <si>
    <t>Ремонт отдельных мест покрытия из асбоцементных листов обыкновенного профиля</t>
  </si>
  <si>
    <t>Демонтаж ограждения кровли</t>
  </si>
  <si>
    <t>100 м</t>
  </si>
  <si>
    <t>пр.ТЕР 12-01-012-1</t>
  </si>
  <si>
    <t>Баланс выполненных работ на 01.01.2018 г. ( -долг за предприятием, +долг за населением)</t>
  </si>
  <si>
    <t>Просроченная задолженность по Вашему дому по статье "Содержание и текущий ремонт МКД" на конец декабря 2017 г., составляет:</t>
  </si>
</sst>
</file>

<file path=xl/styles.xml><?xml version="1.0" encoding="utf-8"?>
<styleSheet xmlns="http://schemas.openxmlformats.org/spreadsheetml/2006/main">
  <numFmts count="1">
    <numFmt numFmtId="164" formatCode="0.000"/>
  </numFmts>
  <fonts count="20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name val="Arial"/>
      <family val="2"/>
      <charset val="204"/>
    </font>
    <font>
      <sz val="10"/>
      <color indexed="8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3" borderId="0" xfId="0" applyFont="1" applyFill="1"/>
    <xf numFmtId="0" fontId="0" fillId="3" borderId="0" xfId="0" applyFill="1"/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1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vertical="center"/>
    </xf>
    <xf numFmtId="4" fontId="1" fillId="8" borderId="7" xfId="0" applyNumberFormat="1" applyFont="1" applyFill="1" applyBorder="1" applyAlignment="1">
      <alignment vertical="center"/>
    </xf>
    <xf numFmtId="0" fontId="1" fillId="8" borderId="3" xfId="0" applyFont="1" applyFill="1" applyBorder="1"/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8" borderId="3" xfId="0" applyNumberFormat="1" applyFont="1" applyFill="1" applyBorder="1" applyAlignment="1">
      <alignment horizontal="center" vertical="center"/>
    </xf>
    <xf numFmtId="4" fontId="1" fillId="8" borderId="7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4" fontId="1" fillId="4" borderId="3" xfId="0" applyNumberFormat="1" applyFont="1" applyFill="1" applyBorder="1" applyAlignment="1">
      <alignment horizontal="center" vertical="center" wrapText="1"/>
    </xf>
    <xf numFmtId="4" fontId="1" fillId="4" borderId="15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11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4" fontId="3" fillId="10" borderId="2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4" fontId="1" fillId="4" borderId="13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5" xfId="0" applyNumberFormat="1" applyFont="1" applyFill="1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 vertical="center"/>
    </xf>
    <xf numFmtId="4" fontId="1" fillId="4" borderId="14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4" fontId="1" fillId="7" borderId="3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10" borderId="7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 applyProtection="1">
      <alignment horizontal="center" vertical="center" wrapText="1"/>
    </xf>
    <xf numFmtId="0" fontId="1" fillId="4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4" fontId="14" fillId="2" borderId="6" xfId="0" applyNumberFormat="1" applyFont="1" applyFill="1" applyBorder="1" applyAlignment="1">
      <alignment horizontal="center" vertical="center"/>
    </xf>
    <xf numFmtId="4" fontId="14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horizontal="center" vertical="center"/>
    </xf>
    <xf numFmtId="4" fontId="14" fillId="4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4" fontId="1" fillId="2" borderId="8" xfId="0" applyNumberFormat="1" applyFont="1" applyFill="1" applyBorder="1" applyAlignment="1">
      <alignment horizontal="center" vertical="center"/>
    </xf>
    <xf numFmtId="4" fontId="14" fillId="2" borderId="8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0" fontId="1" fillId="0" borderId="0" xfId="0" applyFont="1"/>
    <xf numFmtId="4" fontId="1" fillId="0" borderId="0" xfId="0" applyNumberFormat="1" applyFont="1"/>
    <xf numFmtId="4" fontId="15" fillId="0" borderId="0" xfId="0" applyNumberFormat="1" applyFont="1"/>
    <xf numFmtId="0" fontId="15" fillId="0" borderId="0" xfId="0" applyFont="1"/>
    <xf numFmtId="0" fontId="16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4" fontId="3" fillId="10" borderId="3" xfId="0" applyNumberFormat="1" applyFont="1" applyFill="1" applyBorder="1" applyAlignment="1">
      <alignment horizontal="center" vertical="center"/>
    </xf>
    <xf numFmtId="4" fontId="14" fillId="2" borderId="3" xfId="0" applyNumberFormat="1" applyFont="1" applyFill="1" applyBorder="1" applyAlignment="1">
      <alignment horizontal="center" vertical="center"/>
    </xf>
    <xf numFmtId="4" fontId="14" fillId="8" borderId="3" xfId="0" applyNumberFormat="1" applyFont="1" applyFill="1" applyBorder="1" applyAlignment="1">
      <alignment horizontal="center" vertical="center"/>
    </xf>
    <xf numFmtId="4" fontId="3" fillId="8" borderId="3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 wrapText="1"/>
    </xf>
    <xf numFmtId="0" fontId="17" fillId="0" borderId="0" xfId="0" applyFont="1" applyAlignment="1"/>
    <xf numFmtId="4" fontId="1" fillId="4" borderId="7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vertical="center"/>
    </xf>
    <xf numFmtId="4" fontId="1" fillId="2" borderId="21" xfId="0" applyNumberFormat="1" applyFont="1" applyFill="1" applyBorder="1" applyAlignment="1">
      <alignment horizontal="center" vertical="center" wrapText="1"/>
    </xf>
    <xf numFmtId="0" fontId="1" fillId="0" borderId="20" xfId="0" applyFont="1" applyBorder="1"/>
    <xf numFmtId="4" fontId="1" fillId="4" borderId="22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0" fontId="1" fillId="4" borderId="3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9" fillId="4" borderId="3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left" vertical="center" wrapText="1"/>
    </xf>
    <xf numFmtId="4" fontId="1" fillId="0" borderId="3" xfId="0" applyNumberFormat="1" applyFont="1" applyFill="1" applyBorder="1" applyAlignment="1">
      <alignment horizontal="center" vertical="center"/>
    </xf>
    <xf numFmtId="4" fontId="1" fillId="0" borderId="7" xfId="0" applyNumberFormat="1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left" vertical="center"/>
    </xf>
    <xf numFmtId="0" fontId="1" fillId="4" borderId="3" xfId="0" applyNumberFormat="1" applyFont="1" applyFill="1" applyBorder="1" applyAlignment="1" applyProtection="1">
      <alignment horizontal="left" vertical="center"/>
    </xf>
    <xf numFmtId="4" fontId="1" fillId="8" borderId="1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U121"/>
  <sheetViews>
    <sheetView tabSelected="1" view="pageBreakPreview" zoomScaleNormal="75" zoomScaleSheetLayoutView="100" workbookViewId="0">
      <pane ySplit="7" topLeftCell="A113" activePane="bottomLeft" state="frozen"/>
      <selection activeCell="B1" sqref="B1"/>
      <selection pane="bottomLeft" activeCell="B118" sqref="B118"/>
    </sheetView>
  </sheetViews>
  <sheetFormatPr defaultRowHeight="12.75"/>
  <cols>
    <col min="1" max="1" width="14.42578125" customWidth="1"/>
    <col min="2" max="2" width="42.85546875" customWidth="1"/>
    <col min="3" max="3" width="9.140625" customWidth="1"/>
    <col min="4" max="4" width="22" customWidth="1"/>
    <col min="5" max="7" width="10.140625" customWidth="1"/>
    <col min="8" max="8" width="11.5703125" customWidth="1"/>
    <col min="9" max="20" width="9.85546875" customWidth="1"/>
    <col min="21" max="21" width="12.28515625" customWidth="1"/>
  </cols>
  <sheetData>
    <row r="1" spans="1:21" ht="14.25" customHeight="1"/>
    <row r="3" spans="1:21" ht="18">
      <c r="A3" s="124"/>
      <c r="B3" s="160" t="s">
        <v>0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09"/>
      <c r="N3" s="109"/>
      <c r="O3" s="109"/>
      <c r="P3" s="109"/>
      <c r="Q3" s="109"/>
      <c r="R3" s="109"/>
      <c r="S3" s="109"/>
      <c r="T3" s="109"/>
      <c r="U3" s="109"/>
    </row>
    <row r="4" spans="1:21" ht="34.5" customHeight="1">
      <c r="A4" s="109"/>
      <c r="B4" s="161" t="s">
        <v>1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09"/>
      <c r="N4" s="109"/>
      <c r="O4" s="109"/>
      <c r="P4" s="109"/>
      <c r="Q4" s="109"/>
      <c r="R4" s="109"/>
      <c r="S4" s="109"/>
      <c r="T4" s="109"/>
      <c r="U4" s="109"/>
    </row>
    <row r="5" spans="1:21" ht="18">
      <c r="A5" s="109"/>
      <c r="B5" s="161" t="s">
        <v>200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09"/>
      <c r="N5" s="109"/>
      <c r="O5" s="109"/>
      <c r="P5" s="109"/>
      <c r="Q5" s="109"/>
      <c r="R5" s="109"/>
      <c r="S5" s="109"/>
      <c r="T5" s="109"/>
      <c r="U5" s="109"/>
    </row>
    <row r="6" spans="1:21" ht="15">
      <c r="A6" s="109"/>
      <c r="B6" s="162" t="s">
        <v>119</v>
      </c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09"/>
      <c r="N6" s="109"/>
      <c r="O6" s="109"/>
      <c r="P6" s="109"/>
      <c r="Q6" s="109"/>
      <c r="R6" s="109"/>
      <c r="S6" s="109"/>
      <c r="T6" s="109"/>
      <c r="U6" s="109"/>
    </row>
    <row r="7" spans="1:21" ht="48.75" customHeight="1">
      <c r="A7" s="128" t="s">
        <v>2</v>
      </c>
      <c r="B7" s="129" t="s">
        <v>3</v>
      </c>
      <c r="C7" s="129" t="s">
        <v>4</v>
      </c>
      <c r="D7" s="129" t="s">
        <v>5</v>
      </c>
      <c r="E7" s="129" t="s">
        <v>6</v>
      </c>
      <c r="F7" s="129" t="s">
        <v>7</v>
      </c>
      <c r="G7" s="129" t="s">
        <v>8</v>
      </c>
      <c r="H7" s="130" t="s">
        <v>9</v>
      </c>
      <c r="I7" s="24" t="s">
        <v>107</v>
      </c>
      <c r="J7" s="24" t="s">
        <v>108</v>
      </c>
      <c r="K7" s="24" t="s">
        <v>109</v>
      </c>
      <c r="L7" s="24" t="s">
        <v>110</v>
      </c>
      <c r="M7" s="24" t="s">
        <v>111</v>
      </c>
      <c r="N7" s="24" t="s">
        <v>112</v>
      </c>
      <c r="O7" s="24" t="s">
        <v>113</v>
      </c>
      <c r="P7" s="24" t="s">
        <v>114</v>
      </c>
      <c r="Q7" s="24" t="s">
        <v>115</v>
      </c>
      <c r="R7" s="24" t="s">
        <v>116</v>
      </c>
      <c r="S7" s="24" t="s">
        <v>117</v>
      </c>
      <c r="T7" s="24" t="s">
        <v>118</v>
      </c>
      <c r="U7" s="24" t="s">
        <v>120</v>
      </c>
    </row>
    <row r="8" spans="1:21">
      <c r="A8" s="131">
        <v>1</v>
      </c>
      <c r="B8" s="8">
        <v>2</v>
      </c>
      <c r="C8" s="25">
        <v>3</v>
      </c>
      <c r="D8" s="8">
        <v>4</v>
      </c>
      <c r="E8" s="8">
        <v>5</v>
      </c>
      <c r="F8" s="25">
        <v>6</v>
      </c>
      <c r="G8" s="25">
        <v>7</v>
      </c>
      <c r="H8" s="26">
        <v>8</v>
      </c>
      <c r="I8" s="27">
        <v>9</v>
      </c>
      <c r="J8" s="27">
        <v>10</v>
      </c>
      <c r="K8" s="27">
        <v>11</v>
      </c>
      <c r="L8" s="27">
        <v>12</v>
      </c>
      <c r="M8" s="27">
        <v>13</v>
      </c>
      <c r="N8" s="27">
        <v>14</v>
      </c>
      <c r="O8" s="27">
        <v>15</v>
      </c>
      <c r="P8" s="27">
        <v>16</v>
      </c>
      <c r="Q8" s="27">
        <v>17</v>
      </c>
      <c r="R8" s="27">
        <v>18</v>
      </c>
      <c r="S8" s="27">
        <v>19</v>
      </c>
      <c r="T8" s="27">
        <v>20</v>
      </c>
      <c r="U8" s="27">
        <v>21</v>
      </c>
    </row>
    <row r="9" spans="1:21" ht="38.25">
      <c r="A9" s="131"/>
      <c r="B9" s="10" t="s">
        <v>10</v>
      </c>
      <c r="C9" s="25"/>
      <c r="D9" s="11"/>
      <c r="E9" s="11"/>
      <c r="F9" s="25"/>
      <c r="G9" s="25"/>
      <c r="H9" s="28"/>
      <c r="I9" s="29"/>
      <c r="J9" s="29"/>
      <c r="K9" s="29"/>
      <c r="L9" s="29"/>
      <c r="M9" s="30"/>
      <c r="N9" s="31"/>
      <c r="O9" s="31"/>
      <c r="P9" s="31"/>
      <c r="Q9" s="31"/>
      <c r="R9" s="31"/>
      <c r="S9" s="31"/>
      <c r="T9" s="31"/>
      <c r="U9" s="31"/>
    </row>
    <row r="10" spans="1:21">
      <c r="A10" s="131"/>
      <c r="B10" s="10" t="s">
        <v>11</v>
      </c>
      <c r="C10" s="25"/>
      <c r="D10" s="11"/>
      <c r="E10" s="11"/>
      <c r="F10" s="25"/>
      <c r="G10" s="25"/>
      <c r="H10" s="28"/>
      <c r="I10" s="29"/>
      <c r="J10" s="29"/>
      <c r="K10" s="29"/>
      <c r="L10" s="29"/>
      <c r="M10" s="30"/>
      <c r="N10" s="31"/>
      <c r="O10" s="31"/>
      <c r="P10" s="31"/>
      <c r="Q10" s="31"/>
      <c r="R10" s="31"/>
      <c r="S10" s="31"/>
      <c r="T10" s="31"/>
      <c r="U10" s="31"/>
    </row>
    <row r="11" spans="1:21" ht="25.5">
      <c r="A11" s="131" t="s">
        <v>134</v>
      </c>
      <c r="B11" s="11" t="s">
        <v>12</v>
      </c>
      <c r="C11" s="25" t="s">
        <v>13</v>
      </c>
      <c r="D11" s="11" t="s">
        <v>14</v>
      </c>
      <c r="E11" s="32">
        <v>54.2</v>
      </c>
      <c r="F11" s="33">
        <f>SUM(E11*156/100)</f>
        <v>84.552000000000007</v>
      </c>
      <c r="G11" s="33">
        <v>218.21</v>
      </c>
      <c r="H11" s="34">
        <f t="shared" ref="H11:H21" si="0">SUM(F11*G11/1000)</f>
        <v>18.450091920000002</v>
      </c>
      <c r="I11" s="35">
        <f>F11/12*G11</f>
        <v>1537.5076600000002</v>
      </c>
      <c r="J11" s="35">
        <f>F11/12*G11</f>
        <v>1537.5076600000002</v>
      </c>
      <c r="K11" s="35">
        <f>F11/12*G11</f>
        <v>1537.5076600000002</v>
      </c>
      <c r="L11" s="35">
        <f>F11/12*G11</f>
        <v>1537.5076600000002</v>
      </c>
      <c r="M11" s="35">
        <f>F11/12*G11</f>
        <v>1537.5076600000002</v>
      </c>
      <c r="N11" s="35">
        <f>F11/12*G11</f>
        <v>1537.5076600000002</v>
      </c>
      <c r="O11" s="35">
        <f>F11/12*G11</f>
        <v>1537.5076600000002</v>
      </c>
      <c r="P11" s="35">
        <f>F11/12*G11</f>
        <v>1537.5076600000002</v>
      </c>
      <c r="Q11" s="35">
        <f>F11/12*G11</f>
        <v>1537.5076600000002</v>
      </c>
      <c r="R11" s="35">
        <f>F11/12*G11</f>
        <v>1537.5076600000002</v>
      </c>
      <c r="S11" s="35">
        <f>F11/12*G11</f>
        <v>1537.5076600000002</v>
      </c>
      <c r="T11" s="35">
        <f>F11/12*G11</f>
        <v>1537.5076600000002</v>
      </c>
      <c r="U11" s="35">
        <f>SUM(I11:T11)</f>
        <v>18450.091919999999</v>
      </c>
    </row>
    <row r="12" spans="1:21" ht="25.5">
      <c r="A12" s="131" t="s">
        <v>134</v>
      </c>
      <c r="B12" s="11" t="s">
        <v>173</v>
      </c>
      <c r="C12" s="25" t="s">
        <v>13</v>
      </c>
      <c r="D12" s="11" t="s">
        <v>15</v>
      </c>
      <c r="E12" s="32">
        <v>108.5</v>
      </c>
      <c r="F12" s="33">
        <f>SUM(E12*104/100)</f>
        <v>112.84</v>
      </c>
      <c r="G12" s="33">
        <v>218.21</v>
      </c>
      <c r="H12" s="34">
        <f t="shared" si="0"/>
        <v>24.622816400000005</v>
      </c>
      <c r="I12" s="35">
        <f t="shared" ref="I12:I13" si="1">F12/12*G12</f>
        <v>2051.9013666666669</v>
      </c>
      <c r="J12" s="35">
        <f>F12/12*G12</f>
        <v>2051.9013666666669</v>
      </c>
      <c r="K12" s="35">
        <f t="shared" ref="K12:K13" si="2">F12/12*G12</f>
        <v>2051.9013666666669</v>
      </c>
      <c r="L12" s="35">
        <f t="shared" ref="L12:L13" si="3">F12/12*G12</f>
        <v>2051.9013666666669</v>
      </c>
      <c r="M12" s="35">
        <f t="shared" ref="M12:M13" si="4">F12/12*G12</f>
        <v>2051.9013666666669</v>
      </c>
      <c r="N12" s="35">
        <f t="shared" ref="N12:N13" si="5">F12/12*G12</f>
        <v>2051.9013666666669</v>
      </c>
      <c r="O12" s="35">
        <f t="shared" ref="O12:O13" si="6">F12/12*G12</f>
        <v>2051.9013666666669</v>
      </c>
      <c r="P12" s="35">
        <f t="shared" ref="P12:P13" si="7">F12/12*G12</f>
        <v>2051.9013666666669</v>
      </c>
      <c r="Q12" s="35">
        <f t="shared" ref="Q12:Q13" si="8">F12/12*G12</f>
        <v>2051.9013666666669</v>
      </c>
      <c r="R12" s="35">
        <f t="shared" ref="R12:R13" si="9">F12/12*G12</f>
        <v>2051.9013666666669</v>
      </c>
      <c r="S12" s="35">
        <f t="shared" ref="S12:S13" si="10">F12/12*G12</f>
        <v>2051.9013666666669</v>
      </c>
      <c r="T12" s="35">
        <f t="shared" ref="T12:T13" si="11">F12/12*G12</f>
        <v>2051.9013666666669</v>
      </c>
      <c r="U12" s="35">
        <f t="shared" ref="U12:U21" si="12">SUM(I12:T12)</f>
        <v>24622.816399999996</v>
      </c>
    </row>
    <row r="13" spans="1:21" ht="25.5">
      <c r="A13" s="131" t="s">
        <v>135</v>
      </c>
      <c r="B13" s="11" t="s">
        <v>174</v>
      </c>
      <c r="C13" s="25" t="s">
        <v>13</v>
      </c>
      <c r="D13" s="11" t="s">
        <v>175</v>
      </c>
      <c r="E13" s="32">
        <f>SUM(E11+E12)</f>
        <v>162.69999999999999</v>
      </c>
      <c r="F13" s="33">
        <f>SUM(E13*24/100)</f>
        <v>39.047999999999995</v>
      </c>
      <c r="G13" s="33">
        <v>627.77</v>
      </c>
      <c r="H13" s="34">
        <f t="shared" si="0"/>
        <v>24.513162959999995</v>
      </c>
      <c r="I13" s="35">
        <f t="shared" si="1"/>
        <v>2042.7635799999996</v>
      </c>
      <c r="J13" s="35">
        <f>F13/12*G13</f>
        <v>2042.7635799999996</v>
      </c>
      <c r="K13" s="35">
        <f t="shared" si="2"/>
        <v>2042.7635799999996</v>
      </c>
      <c r="L13" s="35">
        <f t="shared" si="3"/>
        <v>2042.7635799999996</v>
      </c>
      <c r="M13" s="35">
        <f t="shared" si="4"/>
        <v>2042.7635799999996</v>
      </c>
      <c r="N13" s="35">
        <f t="shared" si="5"/>
        <v>2042.7635799999996</v>
      </c>
      <c r="O13" s="35">
        <f t="shared" si="6"/>
        <v>2042.7635799999996</v>
      </c>
      <c r="P13" s="35">
        <f t="shared" si="7"/>
        <v>2042.7635799999996</v>
      </c>
      <c r="Q13" s="35">
        <f t="shared" si="8"/>
        <v>2042.7635799999996</v>
      </c>
      <c r="R13" s="35">
        <f t="shared" si="9"/>
        <v>2042.7635799999996</v>
      </c>
      <c r="S13" s="35">
        <f t="shared" si="10"/>
        <v>2042.7635799999996</v>
      </c>
      <c r="T13" s="35">
        <f t="shared" si="11"/>
        <v>2042.7635799999996</v>
      </c>
      <c r="U13" s="35">
        <f t="shared" si="12"/>
        <v>24513.162959999991</v>
      </c>
    </row>
    <row r="14" spans="1:21">
      <c r="A14" s="131" t="s">
        <v>136</v>
      </c>
      <c r="B14" s="11" t="s">
        <v>16</v>
      </c>
      <c r="C14" s="25" t="s">
        <v>17</v>
      </c>
      <c r="D14" s="11" t="s">
        <v>90</v>
      </c>
      <c r="E14" s="32">
        <v>15.3</v>
      </c>
      <c r="F14" s="33">
        <f>SUM(E14/10)</f>
        <v>1.53</v>
      </c>
      <c r="G14" s="33">
        <v>211.74</v>
      </c>
      <c r="H14" s="34">
        <f t="shared" si="0"/>
        <v>0.32396219999999998</v>
      </c>
      <c r="I14" s="35">
        <v>0</v>
      </c>
      <c r="J14" s="35">
        <v>0</v>
      </c>
      <c r="K14" s="35">
        <v>0</v>
      </c>
      <c r="L14" s="35">
        <v>0</v>
      </c>
      <c r="M14" s="35">
        <f>F14/2*G14</f>
        <v>161.9811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f t="shared" si="12"/>
        <v>161.9811</v>
      </c>
    </row>
    <row r="15" spans="1:21">
      <c r="A15" s="131" t="s">
        <v>137</v>
      </c>
      <c r="B15" s="11" t="s">
        <v>18</v>
      </c>
      <c r="C15" s="25" t="s">
        <v>13</v>
      </c>
      <c r="D15" s="11" t="s">
        <v>48</v>
      </c>
      <c r="E15" s="32">
        <v>19.62</v>
      </c>
      <c r="F15" s="33">
        <f>SUM(E15*2/100)</f>
        <v>0.39240000000000003</v>
      </c>
      <c r="G15" s="33">
        <v>271.12</v>
      </c>
      <c r="H15" s="34">
        <f t="shared" si="0"/>
        <v>0.106387488</v>
      </c>
      <c r="I15" s="35">
        <v>0</v>
      </c>
      <c r="J15" s="35">
        <v>0</v>
      </c>
      <c r="K15" s="35">
        <v>0</v>
      </c>
      <c r="L15" s="35">
        <v>0</v>
      </c>
      <c r="M15" s="35">
        <f>F15/2*G15</f>
        <v>53.193744000000002</v>
      </c>
      <c r="N15" s="35">
        <v>0</v>
      </c>
      <c r="O15" s="35">
        <v>0</v>
      </c>
      <c r="P15" s="35">
        <v>0</v>
      </c>
      <c r="Q15" s="35">
        <f>F15/2*G15</f>
        <v>53.193744000000002</v>
      </c>
      <c r="R15" s="35">
        <v>0</v>
      </c>
      <c r="S15" s="35">
        <v>0</v>
      </c>
      <c r="T15" s="35">
        <v>0</v>
      </c>
      <c r="U15" s="35">
        <f t="shared" si="12"/>
        <v>106.387488</v>
      </c>
    </row>
    <row r="16" spans="1:21">
      <c r="A16" s="131" t="s">
        <v>138</v>
      </c>
      <c r="B16" s="11" t="s">
        <v>19</v>
      </c>
      <c r="C16" s="25" t="s">
        <v>13</v>
      </c>
      <c r="D16" s="11" t="s">
        <v>48</v>
      </c>
      <c r="E16" s="32">
        <v>8.68</v>
      </c>
      <c r="F16" s="33">
        <f>SUM(E16*2/100)</f>
        <v>0.1736</v>
      </c>
      <c r="G16" s="33">
        <v>268.92</v>
      </c>
      <c r="H16" s="34">
        <f t="shared" si="0"/>
        <v>4.6684512000000004E-2</v>
      </c>
      <c r="I16" s="35">
        <v>0</v>
      </c>
      <c r="J16" s="35">
        <v>0</v>
      </c>
      <c r="K16" s="35">
        <v>0</v>
      </c>
      <c r="L16" s="35">
        <v>0</v>
      </c>
      <c r="M16" s="35">
        <f>F16/2*G16</f>
        <v>23.342256000000003</v>
      </c>
      <c r="N16" s="35">
        <v>0</v>
      </c>
      <c r="O16" s="35">
        <v>0</v>
      </c>
      <c r="P16" s="35">
        <v>0</v>
      </c>
      <c r="Q16" s="35">
        <f>F16/2*G16</f>
        <v>23.342256000000003</v>
      </c>
      <c r="R16" s="35">
        <v>0</v>
      </c>
      <c r="S16" s="35">
        <v>0</v>
      </c>
      <c r="T16" s="35">
        <v>0</v>
      </c>
      <c r="U16" s="35">
        <f t="shared" si="12"/>
        <v>46.684512000000005</v>
      </c>
    </row>
    <row r="17" spans="1:21">
      <c r="A17" s="131" t="s">
        <v>139</v>
      </c>
      <c r="B17" s="11" t="s">
        <v>20</v>
      </c>
      <c r="C17" s="25" t="s">
        <v>21</v>
      </c>
      <c r="D17" s="11" t="s">
        <v>90</v>
      </c>
      <c r="E17" s="32">
        <v>215</v>
      </c>
      <c r="F17" s="33">
        <f>SUM(E17/100)</f>
        <v>2.15</v>
      </c>
      <c r="G17" s="33">
        <v>335.05</v>
      </c>
      <c r="H17" s="34">
        <f t="shared" si="0"/>
        <v>0.72035749999999998</v>
      </c>
      <c r="I17" s="35">
        <v>0</v>
      </c>
      <c r="J17" s="35">
        <v>0</v>
      </c>
      <c r="K17" s="35">
        <v>0</v>
      </c>
      <c r="L17" s="35">
        <v>0</v>
      </c>
      <c r="M17" s="35">
        <f>F17*G17</f>
        <v>720.35749999999996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f t="shared" si="12"/>
        <v>720.35749999999996</v>
      </c>
    </row>
    <row r="18" spans="1:21">
      <c r="A18" s="131" t="s">
        <v>140</v>
      </c>
      <c r="B18" s="11" t="s">
        <v>22</v>
      </c>
      <c r="C18" s="25" t="s">
        <v>21</v>
      </c>
      <c r="D18" s="11" t="s">
        <v>90</v>
      </c>
      <c r="E18" s="37">
        <v>17.64</v>
      </c>
      <c r="F18" s="33">
        <f>SUM(E18/100)</f>
        <v>0.1764</v>
      </c>
      <c r="G18" s="33">
        <v>55.1</v>
      </c>
      <c r="H18" s="34">
        <f t="shared" si="0"/>
        <v>9.7196399999999999E-3</v>
      </c>
      <c r="I18" s="35">
        <v>0</v>
      </c>
      <c r="J18" s="35">
        <v>0</v>
      </c>
      <c r="K18" s="35">
        <v>0</v>
      </c>
      <c r="L18" s="35">
        <v>0</v>
      </c>
      <c r="M18" s="35">
        <f>F18*G18</f>
        <v>9.7196400000000001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35">
        <f t="shared" si="12"/>
        <v>9.7196400000000001</v>
      </c>
    </row>
    <row r="19" spans="1:21">
      <c r="A19" s="131" t="s">
        <v>141</v>
      </c>
      <c r="B19" s="11" t="s">
        <v>97</v>
      </c>
      <c r="C19" s="25" t="s">
        <v>21</v>
      </c>
      <c r="D19" s="11" t="s">
        <v>90</v>
      </c>
      <c r="E19" s="38">
        <v>4.5</v>
      </c>
      <c r="F19" s="39">
        <v>0.05</v>
      </c>
      <c r="G19" s="33">
        <v>484.94</v>
      </c>
      <c r="H19" s="34">
        <f>F19*G19/1000</f>
        <v>2.4247000000000001E-2</v>
      </c>
      <c r="I19" s="35">
        <v>0</v>
      </c>
      <c r="J19" s="35">
        <v>0</v>
      </c>
      <c r="K19" s="35">
        <v>0</v>
      </c>
      <c r="L19" s="35">
        <v>0</v>
      </c>
      <c r="M19" s="35">
        <f>F19*G19</f>
        <v>24.247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35">
        <f t="shared" si="12"/>
        <v>24.247</v>
      </c>
    </row>
    <row r="20" spans="1:21" ht="25.5">
      <c r="A20" s="131" t="s">
        <v>142</v>
      </c>
      <c r="B20" s="11" t="s">
        <v>98</v>
      </c>
      <c r="C20" s="25" t="s">
        <v>21</v>
      </c>
      <c r="D20" s="11" t="s">
        <v>90</v>
      </c>
      <c r="E20" s="37">
        <v>9.4499999999999993</v>
      </c>
      <c r="F20" s="33">
        <v>0.09</v>
      </c>
      <c r="G20" s="33">
        <v>268.92</v>
      </c>
      <c r="H20" s="34">
        <f>F20*G20/1000</f>
        <v>2.42028E-2</v>
      </c>
      <c r="I20" s="35">
        <v>0</v>
      </c>
      <c r="J20" s="35">
        <v>0</v>
      </c>
      <c r="K20" s="35">
        <v>0</v>
      </c>
      <c r="L20" s="35">
        <v>0</v>
      </c>
      <c r="M20" s="35">
        <f>F20*G20</f>
        <v>24.2028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5">
        <v>0</v>
      </c>
      <c r="U20" s="35">
        <f t="shared" si="12"/>
        <v>24.2028</v>
      </c>
    </row>
    <row r="21" spans="1:21">
      <c r="A21" s="131" t="s">
        <v>143</v>
      </c>
      <c r="B21" s="11" t="s">
        <v>23</v>
      </c>
      <c r="C21" s="25" t="s">
        <v>21</v>
      </c>
      <c r="D21" s="11" t="s">
        <v>90</v>
      </c>
      <c r="E21" s="32">
        <v>14.4</v>
      </c>
      <c r="F21" s="33">
        <f>SUM(E21/100)</f>
        <v>0.14400000000000002</v>
      </c>
      <c r="G21" s="33">
        <v>648.04999999999995</v>
      </c>
      <c r="H21" s="34">
        <f t="shared" si="0"/>
        <v>9.3319200000000005E-2</v>
      </c>
      <c r="I21" s="35">
        <v>0</v>
      </c>
      <c r="J21" s="35">
        <v>0</v>
      </c>
      <c r="K21" s="35">
        <v>0</v>
      </c>
      <c r="L21" s="35">
        <v>0</v>
      </c>
      <c r="M21" s="35">
        <f>F21*G21</f>
        <v>93.319200000000009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5">
        <v>0</v>
      </c>
      <c r="U21" s="35">
        <f t="shared" si="12"/>
        <v>93.319200000000009</v>
      </c>
    </row>
    <row r="22" spans="1:21" s="19" customFormat="1">
      <c r="A22" s="132"/>
      <c r="B22" s="20" t="s">
        <v>24</v>
      </c>
      <c r="C22" s="40"/>
      <c r="D22" s="20"/>
      <c r="E22" s="41"/>
      <c r="F22" s="42"/>
      <c r="G22" s="42"/>
      <c r="H22" s="43">
        <f>SUM(H11:H21)</f>
        <v>68.934951619999993</v>
      </c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>
        <f>SUM(U11:U21)</f>
        <v>68772.970519999988</v>
      </c>
    </row>
    <row r="23" spans="1:21">
      <c r="A23" s="131"/>
      <c r="B23" s="12" t="s">
        <v>25</v>
      </c>
      <c r="C23" s="25"/>
      <c r="D23" s="11"/>
      <c r="E23" s="32"/>
      <c r="F23" s="33"/>
      <c r="G23" s="33"/>
      <c r="H23" s="34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</row>
    <row r="24" spans="1:21" ht="25.5" customHeight="1">
      <c r="A24" s="131" t="s">
        <v>144</v>
      </c>
      <c r="B24" s="11" t="s">
        <v>176</v>
      </c>
      <c r="C24" s="25" t="s">
        <v>27</v>
      </c>
      <c r="D24" s="11" t="s">
        <v>26</v>
      </c>
      <c r="E24" s="33">
        <v>58</v>
      </c>
      <c r="F24" s="33">
        <f>SUM(E24*52/1000)</f>
        <v>3.016</v>
      </c>
      <c r="G24" s="33">
        <v>193.97</v>
      </c>
      <c r="H24" s="34">
        <f t="shared" ref="H24:H32" si="13">SUM(F24*G24/1000)</f>
        <v>0.58501351999999995</v>
      </c>
      <c r="I24" s="35">
        <v>0</v>
      </c>
      <c r="J24" s="35">
        <v>0</v>
      </c>
      <c r="K24" s="35">
        <v>0</v>
      </c>
      <c r="L24" s="35">
        <v>0</v>
      </c>
      <c r="M24" s="35">
        <f>F24/6*G24</f>
        <v>97.502253333333343</v>
      </c>
      <c r="N24" s="35">
        <f>F24/6*G24</f>
        <v>97.502253333333343</v>
      </c>
      <c r="O24" s="35">
        <f>F24/6*G24</f>
        <v>97.502253333333343</v>
      </c>
      <c r="P24" s="35">
        <f>F24/6*G24</f>
        <v>97.502253333333343</v>
      </c>
      <c r="Q24" s="35">
        <f>F24/6*G24</f>
        <v>97.502253333333343</v>
      </c>
      <c r="R24" s="35">
        <f>F24/6*G24</f>
        <v>97.502253333333343</v>
      </c>
      <c r="S24" s="35">
        <v>0</v>
      </c>
      <c r="T24" s="35">
        <v>0</v>
      </c>
      <c r="U24" s="35">
        <f t="shared" ref="U24:U32" si="14">SUM(I24:T24)</f>
        <v>585.01352000000009</v>
      </c>
    </row>
    <row r="25" spans="1:21" ht="38.25" customHeight="1">
      <c r="A25" s="131" t="s">
        <v>145</v>
      </c>
      <c r="B25" s="11" t="s">
        <v>125</v>
      </c>
      <c r="C25" s="25" t="s">
        <v>27</v>
      </c>
      <c r="D25" s="11" t="s">
        <v>28</v>
      </c>
      <c r="E25" s="33">
        <v>48.3</v>
      </c>
      <c r="F25" s="33">
        <f>SUM(E25*78/1000)</f>
        <v>3.7673999999999994</v>
      </c>
      <c r="G25" s="33">
        <v>321.82</v>
      </c>
      <c r="H25" s="34">
        <f t="shared" si="13"/>
        <v>1.2124246679999999</v>
      </c>
      <c r="I25" s="35">
        <v>0</v>
      </c>
      <c r="J25" s="35">
        <v>0</v>
      </c>
      <c r="K25" s="35">
        <v>0</v>
      </c>
      <c r="L25" s="35">
        <v>0</v>
      </c>
      <c r="M25" s="35">
        <f>F25/6*G25</f>
        <v>202.07077799999996</v>
      </c>
      <c r="N25" s="35">
        <f t="shared" ref="N25:N28" si="15">F25/6*G25</f>
        <v>202.07077799999996</v>
      </c>
      <c r="O25" s="35">
        <f>F25/6*G25</f>
        <v>202.07077799999996</v>
      </c>
      <c r="P25" s="35">
        <f t="shared" ref="P25:P28" si="16">F25/6*G25</f>
        <v>202.07077799999996</v>
      </c>
      <c r="Q25" s="35">
        <f t="shared" ref="Q25" si="17">F25/6*G25</f>
        <v>202.07077799999996</v>
      </c>
      <c r="R25" s="35">
        <f t="shared" ref="R25" si="18">F25/6*G25</f>
        <v>202.07077799999996</v>
      </c>
      <c r="S25" s="35">
        <v>0</v>
      </c>
      <c r="T25" s="35">
        <v>0</v>
      </c>
      <c r="U25" s="35">
        <f t="shared" si="14"/>
        <v>1212.4246679999999</v>
      </c>
    </row>
    <row r="26" spans="1:21">
      <c r="A26" s="131" t="s">
        <v>146</v>
      </c>
      <c r="B26" s="11" t="s">
        <v>29</v>
      </c>
      <c r="C26" s="25" t="s">
        <v>27</v>
      </c>
      <c r="D26" s="11" t="s">
        <v>30</v>
      </c>
      <c r="E26" s="33">
        <v>58</v>
      </c>
      <c r="F26" s="33">
        <f>SUM(E26/1000)</f>
        <v>5.8000000000000003E-2</v>
      </c>
      <c r="G26" s="33">
        <v>3758.28</v>
      </c>
      <c r="H26" s="34">
        <f t="shared" si="13"/>
        <v>0.21798024000000002</v>
      </c>
      <c r="I26" s="35">
        <v>0</v>
      </c>
      <c r="J26" s="35">
        <v>0</v>
      </c>
      <c r="K26" s="35">
        <v>0</v>
      </c>
      <c r="L26" s="35">
        <v>0</v>
      </c>
      <c r="M26" s="35">
        <f>F26*G26</f>
        <v>217.98024000000001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35">
        <f t="shared" si="14"/>
        <v>217.98024000000001</v>
      </c>
    </row>
    <row r="27" spans="1:21">
      <c r="A27" s="131" t="s">
        <v>177</v>
      </c>
      <c r="B27" s="11" t="s">
        <v>178</v>
      </c>
      <c r="C27" s="25" t="s">
        <v>58</v>
      </c>
      <c r="D27" s="11" t="s">
        <v>33</v>
      </c>
      <c r="E27" s="33">
        <v>1</v>
      </c>
      <c r="F27" s="33">
        <f>E27*155/100</f>
        <v>1.55</v>
      </c>
      <c r="G27" s="33">
        <v>1620.15</v>
      </c>
      <c r="H27" s="34">
        <f t="shared" ref="H27" si="19">SUM(F27*G27/1000)</f>
        <v>2.5112325000000002</v>
      </c>
      <c r="I27" s="35">
        <v>0</v>
      </c>
      <c r="J27" s="35">
        <v>0</v>
      </c>
      <c r="K27" s="35">
        <v>0</v>
      </c>
      <c r="L27" s="35">
        <v>0</v>
      </c>
      <c r="M27" s="35">
        <f>F27/6*G27</f>
        <v>418.53875000000005</v>
      </c>
      <c r="N27" s="35">
        <f t="shared" ref="N27" si="20">F27/6*G27</f>
        <v>418.53875000000005</v>
      </c>
      <c r="O27" s="35">
        <f>F27/6*G27</f>
        <v>418.53875000000005</v>
      </c>
      <c r="P27" s="35">
        <f t="shared" si="16"/>
        <v>418.53875000000005</v>
      </c>
      <c r="Q27" s="35">
        <f>F27/6*G27</f>
        <v>418.53875000000005</v>
      </c>
      <c r="R27" s="35">
        <f>F27/6*G27</f>
        <v>418.53875000000005</v>
      </c>
      <c r="S27" s="35">
        <v>0</v>
      </c>
      <c r="T27" s="35">
        <v>0</v>
      </c>
      <c r="U27" s="35">
        <f t="shared" si="14"/>
        <v>2511.2325000000005</v>
      </c>
    </row>
    <row r="28" spans="1:21">
      <c r="A28" s="131" t="s">
        <v>147</v>
      </c>
      <c r="B28" s="11" t="s">
        <v>31</v>
      </c>
      <c r="C28" s="25" t="s">
        <v>32</v>
      </c>
      <c r="D28" s="11" t="s">
        <v>33</v>
      </c>
      <c r="E28" s="46">
        <f>1/3</f>
        <v>0.33333333333333331</v>
      </c>
      <c r="F28" s="33">
        <f>155/3</f>
        <v>51.666666666666664</v>
      </c>
      <c r="G28" s="33">
        <v>70.540000000000006</v>
      </c>
      <c r="H28" s="34">
        <f>SUM(G28*155/3/1000)</f>
        <v>3.644566666666667</v>
      </c>
      <c r="I28" s="35">
        <v>0</v>
      </c>
      <c r="J28" s="35">
        <v>0</v>
      </c>
      <c r="K28" s="35">
        <v>0</v>
      </c>
      <c r="L28" s="35">
        <v>0</v>
      </c>
      <c r="M28" s="35">
        <f>F28/6*G28</f>
        <v>607.42777777777781</v>
      </c>
      <c r="N28" s="35">
        <f t="shared" si="15"/>
        <v>607.42777777777781</v>
      </c>
      <c r="O28" s="35">
        <f>F28/6*G28</f>
        <v>607.42777777777781</v>
      </c>
      <c r="P28" s="35">
        <f t="shared" si="16"/>
        <v>607.42777777777781</v>
      </c>
      <c r="Q28" s="35">
        <f t="shared" ref="Q28" si="21">F28/6*G28</f>
        <v>607.42777777777781</v>
      </c>
      <c r="R28" s="35">
        <f t="shared" ref="R28" si="22">F28/6*G28</f>
        <v>607.42777777777781</v>
      </c>
      <c r="S28" s="35">
        <v>0</v>
      </c>
      <c r="T28" s="35">
        <v>0</v>
      </c>
      <c r="U28" s="35">
        <f t="shared" si="14"/>
        <v>3644.5666666666671</v>
      </c>
    </row>
    <row r="29" spans="1:21" ht="12.75" customHeight="1">
      <c r="A29" s="131" t="s">
        <v>148</v>
      </c>
      <c r="B29" s="11" t="s">
        <v>34</v>
      </c>
      <c r="C29" s="25" t="s">
        <v>35</v>
      </c>
      <c r="D29" s="11" t="s">
        <v>36</v>
      </c>
      <c r="E29" s="47">
        <v>0.1</v>
      </c>
      <c r="F29" s="33">
        <f>SUM(E29*365)</f>
        <v>36.5</v>
      </c>
      <c r="G29" s="33">
        <v>182.96</v>
      </c>
      <c r="H29" s="34">
        <f t="shared" si="13"/>
        <v>6.6780400000000002</v>
      </c>
      <c r="I29" s="35">
        <f>F29/12*G29</f>
        <v>556.50333333333333</v>
      </c>
      <c r="J29" s="35">
        <f>F29/12*G29</f>
        <v>556.50333333333333</v>
      </c>
      <c r="K29" s="35">
        <f>F29/12*G29</f>
        <v>556.50333333333333</v>
      </c>
      <c r="L29" s="35">
        <f>F29/12*G29</f>
        <v>556.50333333333333</v>
      </c>
      <c r="M29" s="35">
        <f>F29/12*G29</f>
        <v>556.50333333333333</v>
      </c>
      <c r="N29" s="35">
        <f>F29/12*G29</f>
        <v>556.50333333333333</v>
      </c>
      <c r="O29" s="35">
        <f>F29/12*G29</f>
        <v>556.50333333333333</v>
      </c>
      <c r="P29" s="35">
        <f>F29/12*G29</f>
        <v>556.50333333333333</v>
      </c>
      <c r="Q29" s="35">
        <f>F29/12*G29</f>
        <v>556.50333333333333</v>
      </c>
      <c r="R29" s="35">
        <f>F29/12*G29</f>
        <v>556.50333333333333</v>
      </c>
      <c r="S29" s="35">
        <f>F29/12*G29</f>
        <v>556.50333333333333</v>
      </c>
      <c r="T29" s="35">
        <f>F29/12*G29</f>
        <v>556.50333333333333</v>
      </c>
      <c r="U29" s="35">
        <f t="shared" si="14"/>
        <v>6678.0399999999981</v>
      </c>
    </row>
    <row r="30" spans="1:21" ht="12.75" customHeight="1">
      <c r="A30" s="131" t="s">
        <v>149</v>
      </c>
      <c r="B30" s="11" t="s">
        <v>126</v>
      </c>
      <c r="C30" s="25" t="s">
        <v>35</v>
      </c>
      <c r="D30" s="11" t="s">
        <v>37</v>
      </c>
      <c r="E30" s="32"/>
      <c r="F30" s="33">
        <v>1</v>
      </c>
      <c r="G30" s="33">
        <v>238.07</v>
      </c>
      <c r="H30" s="34">
        <f t="shared" si="13"/>
        <v>0.23807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f t="shared" si="14"/>
        <v>0</v>
      </c>
    </row>
    <row r="31" spans="1:21" ht="13.5" customHeight="1">
      <c r="A31" s="131" t="s">
        <v>123</v>
      </c>
      <c r="B31" s="11" t="s">
        <v>127</v>
      </c>
      <c r="C31" s="25" t="s">
        <v>38</v>
      </c>
      <c r="D31" s="11" t="s">
        <v>37</v>
      </c>
      <c r="E31" s="32"/>
      <c r="F31" s="33">
        <v>1</v>
      </c>
      <c r="G31" s="33">
        <v>1413.96</v>
      </c>
      <c r="H31" s="34">
        <f t="shared" si="13"/>
        <v>1.4139600000000001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35">
        <f t="shared" si="14"/>
        <v>0</v>
      </c>
    </row>
    <row r="32" spans="1:21">
      <c r="A32" s="131"/>
      <c r="B32" s="48" t="s">
        <v>39</v>
      </c>
      <c r="C32" s="25" t="s">
        <v>40</v>
      </c>
      <c r="D32" s="48" t="s">
        <v>36</v>
      </c>
      <c r="E32" s="32">
        <v>1839.1</v>
      </c>
      <c r="F32" s="33">
        <f>SUM(E32*12)</f>
        <v>22069.199999999997</v>
      </c>
      <c r="G32" s="33">
        <v>4.58</v>
      </c>
      <c r="H32" s="34">
        <f t="shared" si="13"/>
        <v>101.07693599999999</v>
      </c>
      <c r="I32" s="35">
        <f>F32/12*G32</f>
        <v>8423.0779999999995</v>
      </c>
      <c r="J32" s="35">
        <f>F32/12*G32</f>
        <v>8423.0779999999995</v>
      </c>
      <c r="K32" s="35">
        <f>F32/12*G32</f>
        <v>8423.0779999999995</v>
      </c>
      <c r="L32" s="35">
        <f>F32/12*G32</f>
        <v>8423.0779999999995</v>
      </c>
      <c r="M32" s="35">
        <f>F32/12*G32</f>
        <v>8423.0779999999995</v>
      </c>
      <c r="N32" s="35">
        <f>F32/12*G32</f>
        <v>8423.0779999999995</v>
      </c>
      <c r="O32" s="35">
        <f t="shared" ref="O32" si="23">F32/12*G32</f>
        <v>8423.0779999999995</v>
      </c>
      <c r="P32" s="35">
        <f>F32/12*G32</f>
        <v>8423.0779999999995</v>
      </c>
      <c r="Q32" s="35">
        <f t="shared" ref="Q32" si="24">F32/12*G32</f>
        <v>8423.0779999999995</v>
      </c>
      <c r="R32" s="35">
        <f t="shared" ref="R32" si="25">F32/12*G32</f>
        <v>8423.0779999999995</v>
      </c>
      <c r="S32" s="35">
        <f t="shared" ref="S32" si="26">F32/12*G32</f>
        <v>8423.0779999999995</v>
      </c>
      <c r="T32" s="35">
        <f t="shared" ref="T32" si="27">F32/12*G32</f>
        <v>8423.0779999999995</v>
      </c>
      <c r="U32" s="35">
        <f t="shared" si="14"/>
        <v>101076.93599999997</v>
      </c>
    </row>
    <row r="33" spans="1:21" s="19" customFormat="1">
      <c r="A33" s="132"/>
      <c r="B33" s="20" t="s">
        <v>24</v>
      </c>
      <c r="C33" s="40"/>
      <c r="D33" s="20"/>
      <c r="E33" s="41"/>
      <c r="F33" s="42"/>
      <c r="G33" s="42"/>
      <c r="H33" s="49">
        <f>SUM(H24:H32)</f>
        <v>117.57822359466665</v>
      </c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>
        <f>SUM(U24:U32)</f>
        <v>115926.19359466663</v>
      </c>
    </row>
    <row r="34" spans="1:21">
      <c r="A34" s="131"/>
      <c r="B34" s="12" t="s">
        <v>42</v>
      </c>
      <c r="C34" s="25"/>
      <c r="D34" s="11"/>
      <c r="E34" s="32"/>
      <c r="F34" s="33"/>
      <c r="G34" s="33"/>
      <c r="H34" s="34" t="s">
        <v>41</v>
      </c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</row>
    <row r="35" spans="1:21" ht="12.75" customHeight="1">
      <c r="A35" s="131" t="s">
        <v>123</v>
      </c>
      <c r="B35" s="13" t="s">
        <v>43</v>
      </c>
      <c r="C35" s="25" t="s">
        <v>38</v>
      </c>
      <c r="D35" s="11"/>
      <c r="E35" s="32"/>
      <c r="F35" s="33">
        <v>2</v>
      </c>
      <c r="G35" s="33">
        <v>1900.37</v>
      </c>
      <c r="H35" s="34">
        <f t="shared" ref="H35:H40" si="28">SUM(F35*G35/1000)</f>
        <v>3.8007399999999998</v>
      </c>
      <c r="I35" s="35">
        <f t="shared" ref="I35:I40" si="29">F35/6*G35</f>
        <v>633.45666666666659</v>
      </c>
      <c r="J35" s="35">
        <f t="shared" ref="J35:J40" si="30">F35/6*G35</f>
        <v>633.45666666666659</v>
      </c>
      <c r="K35" s="35">
        <f>F35/6*G35</f>
        <v>633.45666666666659</v>
      </c>
      <c r="L35" s="35">
        <f>F35/6*G35</f>
        <v>633.45666666666659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f>F35/6*G35</f>
        <v>633.45666666666659</v>
      </c>
      <c r="T35" s="35">
        <f>F35/6*G35</f>
        <v>633.45666666666659</v>
      </c>
      <c r="U35" s="35">
        <f t="shared" ref="U35:U40" si="31">SUM(I35:T35)</f>
        <v>3800.7399999999993</v>
      </c>
    </row>
    <row r="36" spans="1:21" s="1" customFormat="1">
      <c r="A36" s="133" t="s">
        <v>150</v>
      </c>
      <c r="B36" s="13" t="s">
        <v>44</v>
      </c>
      <c r="C36" s="50" t="s">
        <v>45</v>
      </c>
      <c r="D36" s="13" t="s">
        <v>179</v>
      </c>
      <c r="E36" s="51">
        <v>48.3</v>
      </c>
      <c r="F36" s="51">
        <f>SUM(E36*30/1000)</f>
        <v>1.4490000000000001</v>
      </c>
      <c r="G36" s="51">
        <v>2616.4899999999998</v>
      </c>
      <c r="H36" s="34">
        <f t="shared" si="28"/>
        <v>3.7912940100000001</v>
      </c>
      <c r="I36" s="52">
        <f t="shared" si="29"/>
        <v>631.88233500000001</v>
      </c>
      <c r="J36" s="52">
        <f t="shared" si="30"/>
        <v>631.88233500000001</v>
      </c>
      <c r="K36" s="35">
        <f t="shared" ref="K36:K40" si="32">F36/6*G36</f>
        <v>631.88233500000001</v>
      </c>
      <c r="L36" s="35">
        <f t="shared" ref="L36:L40" si="33">F36/6*G36</f>
        <v>631.88233500000001</v>
      </c>
      <c r="M36" s="35">
        <v>0</v>
      </c>
      <c r="N36" s="35">
        <v>0</v>
      </c>
      <c r="O36" s="35">
        <v>0</v>
      </c>
      <c r="P36" s="35">
        <v>0</v>
      </c>
      <c r="Q36" s="35">
        <v>0</v>
      </c>
      <c r="R36" s="35">
        <v>0</v>
      </c>
      <c r="S36" s="35">
        <f t="shared" ref="S36:S40" si="34">F36/6*G36</f>
        <v>631.88233500000001</v>
      </c>
      <c r="T36" s="35">
        <f t="shared" ref="T36:T40" si="35">F36/6*G36</f>
        <v>631.88233500000001</v>
      </c>
      <c r="U36" s="35">
        <f t="shared" si="31"/>
        <v>3791.2940100000005</v>
      </c>
    </row>
    <row r="37" spans="1:21" ht="25.5" customHeight="1">
      <c r="A37" s="131" t="s">
        <v>151</v>
      </c>
      <c r="B37" s="11" t="s">
        <v>128</v>
      </c>
      <c r="C37" s="25" t="s">
        <v>45</v>
      </c>
      <c r="D37" s="11" t="s">
        <v>46</v>
      </c>
      <c r="E37" s="33">
        <v>48.3</v>
      </c>
      <c r="F37" s="51">
        <f>SUM(E37*155/1000)</f>
        <v>7.4865000000000004</v>
      </c>
      <c r="G37" s="33">
        <v>436.45</v>
      </c>
      <c r="H37" s="34">
        <f t="shared" si="28"/>
        <v>3.2674829250000004</v>
      </c>
      <c r="I37" s="35">
        <f t="shared" si="29"/>
        <v>544.5804875</v>
      </c>
      <c r="J37" s="35">
        <f t="shared" si="30"/>
        <v>544.5804875</v>
      </c>
      <c r="K37" s="35">
        <f t="shared" si="32"/>
        <v>544.5804875</v>
      </c>
      <c r="L37" s="35">
        <f t="shared" si="33"/>
        <v>544.5804875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f t="shared" si="34"/>
        <v>544.5804875</v>
      </c>
      <c r="T37" s="35">
        <f t="shared" si="35"/>
        <v>544.5804875</v>
      </c>
      <c r="U37" s="35">
        <f t="shared" si="31"/>
        <v>3267.4829249999998</v>
      </c>
    </row>
    <row r="38" spans="1:21" ht="51" customHeight="1">
      <c r="A38" s="131" t="s">
        <v>152</v>
      </c>
      <c r="B38" s="11" t="s">
        <v>129</v>
      </c>
      <c r="C38" s="25" t="s">
        <v>27</v>
      </c>
      <c r="D38" s="11" t="s">
        <v>180</v>
      </c>
      <c r="E38" s="33">
        <f>E36</f>
        <v>48.3</v>
      </c>
      <c r="F38" s="51">
        <f>SUM(E38*35/1000)</f>
        <v>1.6904999999999999</v>
      </c>
      <c r="G38" s="33">
        <v>7221.21</v>
      </c>
      <c r="H38" s="34">
        <f t="shared" si="28"/>
        <v>12.207455505</v>
      </c>
      <c r="I38" s="35">
        <f t="shared" si="29"/>
        <v>2034.5759175000001</v>
      </c>
      <c r="J38" s="35">
        <f t="shared" si="30"/>
        <v>2034.5759175000001</v>
      </c>
      <c r="K38" s="35">
        <f t="shared" si="32"/>
        <v>2034.5759175000001</v>
      </c>
      <c r="L38" s="35">
        <f t="shared" si="33"/>
        <v>2034.5759175000001</v>
      </c>
      <c r="M38" s="35">
        <v>0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35">
        <f t="shared" si="34"/>
        <v>2034.5759175000001</v>
      </c>
      <c r="T38" s="35">
        <f t="shared" si="35"/>
        <v>2034.5759175000001</v>
      </c>
      <c r="U38" s="35">
        <f t="shared" si="31"/>
        <v>12207.455505</v>
      </c>
    </row>
    <row r="39" spans="1:21" ht="12.75" customHeight="1">
      <c r="A39" s="131" t="s">
        <v>153</v>
      </c>
      <c r="B39" s="11" t="s">
        <v>130</v>
      </c>
      <c r="C39" s="25" t="s">
        <v>27</v>
      </c>
      <c r="D39" s="11" t="s">
        <v>181</v>
      </c>
      <c r="E39" s="33">
        <f>E36</f>
        <v>48.3</v>
      </c>
      <c r="F39" s="51">
        <f>SUM(E39*20/1000)</f>
        <v>0.96599999999999997</v>
      </c>
      <c r="G39" s="33">
        <v>533.45000000000005</v>
      </c>
      <c r="H39" s="34">
        <f t="shared" si="28"/>
        <v>0.51531270000000007</v>
      </c>
      <c r="I39" s="35">
        <v>0</v>
      </c>
      <c r="J39" s="35">
        <v>0</v>
      </c>
      <c r="K39" s="35">
        <f>F39/2*G39</f>
        <v>257.65635000000003</v>
      </c>
      <c r="L39" s="35">
        <f>F39/2*G39</f>
        <v>257.65635000000003</v>
      </c>
      <c r="M39" s="35">
        <v>0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35">
        <v>0</v>
      </c>
      <c r="T39" s="35">
        <v>0</v>
      </c>
      <c r="U39" s="35">
        <f t="shared" si="31"/>
        <v>515.31270000000006</v>
      </c>
    </row>
    <row r="40" spans="1:21" s="2" customFormat="1">
      <c r="A40" s="133"/>
      <c r="B40" s="13" t="s">
        <v>131</v>
      </c>
      <c r="C40" s="50" t="s">
        <v>35</v>
      </c>
      <c r="D40" s="13"/>
      <c r="E40" s="47"/>
      <c r="F40" s="51">
        <v>0.5</v>
      </c>
      <c r="G40" s="51">
        <v>992.97</v>
      </c>
      <c r="H40" s="34">
        <f t="shared" si="28"/>
        <v>0.49648500000000001</v>
      </c>
      <c r="I40" s="52">
        <f t="shared" si="29"/>
        <v>82.747500000000002</v>
      </c>
      <c r="J40" s="52">
        <f t="shared" si="30"/>
        <v>82.747500000000002</v>
      </c>
      <c r="K40" s="35">
        <f t="shared" si="32"/>
        <v>82.747500000000002</v>
      </c>
      <c r="L40" s="35">
        <f t="shared" si="33"/>
        <v>82.747500000000002</v>
      </c>
      <c r="M40" s="35">
        <v>0</v>
      </c>
      <c r="N40" s="35">
        <v>0</v>
      </c>
      <c r="O40" s="35">
        <v>0</v>
      </c>
      <c r="P40" s="35">
        <v>0</v>
      </c>
      <c r="Q40" s="35">
        <v>0</v>
      </c>
      <c r="R40" s="35">
        <v>0</v>
      </c>
      <c r="S40" s="35">
        <f t="shared" si="34"/>
        <v>82.747500000000002</v>
      </c>
      <c r="T40" s="35">
        <f t="shared" si="35"/>
        <v>82.747500000000002</v>
      </c>
      <c r="U40" s="35">
        <f t="shared" si="31"/>
        <v>496.48500000000001</v>
      </c>
    </row>
    <row r="41" spans="1:21" s="19" customFormat="1">
      <c r="A41" s="132"/>
      <c r="B41" s="20" t="s">
        <v>24</v>
      </c>
      <c r="C41" s="40"/>
      <c r="D41" s="20"/>
      <c r="E41" s="41"/>
      <c r="F41" s="42" t="s">
        <v>41</v>
      </c>
      <c r="G41" s="42"/>
      <c r="H41" s="49">
        <f>SUM(H35:H40)</f>
        <v>24.07877014</v>
      </c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>
        <f>SUM(U35:U40)</f>
        <v>24078.770139999997</v>
      </c>
    </row>
    <row r="42" spans="1:21">
      <c r="A42" s="131"/>
      <c r="B42" s="14" t="s">
        <v>47</v>
      </c>
      <c r="C42" s="25"/>
      <c r="D42" s="11"/>
      <c r="E42" s="32"/>
      <c r="F42" s="33"/>
      <c r="G42" s="33"/>
      <c r="H42" s="34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</row>
    <row r="43" spans="1:21">
      <c r="A43" s="131" t="s">
        <v>154</v>
      </c>
      <c r="B43" s="11" t="s">
        <v>195</v>
      </c>
      <c r="C43" s="25" t="s">
        <v>27</v>
      </c>
      <c r="D43" s="11" t="s">
        <v>48</v>
      </c>
      <c r="E43" s="32">
        <v>1044.7</v>
      </c>
      <c r="F43" s="33">
        <f>SUM(E43*2/1000)</f>
        <v>2.0893999999999999</v>
      </c>
      <c r="G43" s="53">
        <v>1283.46</v>
      </c>
      <c r="H43" s="34">
        <f t="shared" ref="H43:H53" si="36">SUM(F43*G43/1000)</f>
        <v>2.6816613240000002</v>
      </c>
      <c r="I43" s="35">
        <v>0</v>
      </c>
      <c r="J43" s="35">
        <v>0</v>
      </c>
      <c r="K43" s="35">
        <v>0</v>
      </c>
      <c r="L43" s="35">
        <v>0</v>
      </c>
      <c r="M43" s="35">
        <f>F43/2*G43</f>
        <v>1340.8306620000001</v>
      </c>
      <c r="N43" s="35">
        <v>0</v>
      </c>
      <c r="O43" s="35">
        <v>0</v>
      </c>
      <c r="P43" s="35">
        <v>0</v>
      </c>
      <c r="Q43" s="35">
        <f>F43/2*G43</f>
        <v>1340.8306620000001</v>
      </c>
      <c r="R43" s="35">
        <v>0</v>
      </c>
      <c r="S43" s="35">
        <v>0</v>
      </c>
      <c r="T43" s="35">
        <v>0</v>
      </c>
      <c r="U43" s="35">
        <f t="shared" ref="U43:U53" si="37">SUM(I43:T43)</f>
        <v>2681.6613240000001</v>
      </c>
    </row>
    <row r="44" spans="1:21">
      <c r="A44" s="131" t="s">
        <v>155</v>
      </c>
      <c r="B44" s="11" t="s">
        <v>49</v>
      </c>
      <c r="C44" s="25" t="s">
        <v>27</v>
      </c>
      <c r="D44" s="11" t="s">
        <v>48</v>
      </c>
      <c r="E44" s="32">
        <v>19.8</v>
      </c>
      <c r="F44" s="33">
        <f>SUM(E44*2/1000)</f>
        <v>3.9600000000000003E-2</v>
      </c>
      <c r="G44" s="53">
        <v>4192.6400000000003</v>
      </c>
      <c r="H44" s="34">
        <f t="shared" si="36"/>
        <v>0.16602854400000003</v>
      </c>
      <c r="I44" s="35">
        <v>0</v>
      </c>
      <c r="J44" s="35">
        <v>0</v>
      </c>
      <c r="K44" s="35">
        <v>0</v>
      </c>
      <c r="L44" s="35">
        <v>0</v>
      </c>
      <c r="M44" s="35">
        <f t="shared" ref="M44:M47" si="38">F44/2*G44</f>
        <v>83.01427200000002</v>
      </c>
      <c r="N44" s="35">
        <v>0</v>
      </c>
      <c r="O44" s="35">
        <v>0</v>
      </c>
      <c r="P44" s="35">
        <v>0</v>
      </c>
      <c r="Q44" s="35">
        <f t="shared" ref="Q44:Q47" si="39">F44/2*G44</f>
        <v>83.01427200000002</v>
      </c>
      <c r="R44" s="35">
        <v>0</v>
      </c>
      <c r="S44" s="35">
        <v>0</v>
      </c>
      <c r="T44" s="35">
        <v>0</v>
      </c>
      <c r="U44" s="35">
        <f t="shared" si="37"/>
        <v>166.02854400000004</v>
      </c>
    </row>
    <row r="45" spans="1:21" ht="12.75" customHeight="1">
      <c r="A45" s="131" t="s">
        <v>156</v>
      </c>
      <c r="B45" s="11" t="s">
        <v>50</v>
      </c>
      <c r="C45" s="25" t="s">
        <v>27</v>
      </c>
      <c r="D45" s="11" t="s">
        <v>48</v>
      </c>
      <c r="E45" s="32">
        <v>660.84</v>
      </c>
      <c r="F45" s="33">
        <f>SUM(E45*2/1000)</f>
        <v>1.32168</v>
      </c>
      <c r="G45" s="53">
        <v>1711.28</v>
      </c>
      <c r="H45" s="34">
        <f t="shared" si="36"/>
        <v>2.2617645503999997</v>
      </c>
      <c r="I45" s="35">
        <v>0</v>
      </c>
      <c r="J45" s="35">
        <v>0</v>
      </c>
      <c r="K45" s="35">
        <v>0</v>
      </c>
      <c r="L45" s="35">
        <v>0</v>
      </c>
      <c r="M45" s="35">
        <f>F45/2*G45</f>
        <v>1130.8822751999999</v>
      </c>
      <c r="N45" s="35">
        <v>0</v>
      </c>
      <c r="O45" s="35">
        <v>0</v>
      </c>
      <c r="P45" s="35">
        <v>0</v>
      </c>
      <c r="Q45" s="35">
        <f t="shared" si="39"/>
        <v>1130.8822751999999</v>
      </c>
      <c r="R45" s="35">
        <v>0</v>
      </c>
      <c r="S45" s="35">
        <v>0</v>
      </c>
      <c r="T45" s="35">
        <v>0</v>
      </c>
      <c r="U45" s="35">
        <f t="shared" si="37"/>
        <v>2261.7645503999997</v>
      </c>
    </row>
    <row r="46" spans="1:21">
      <c r="A46" s="131" t="s">
        <v>157</v>
      </c>
      <c r="B46" s="11" t="s">
        <v>51</v>
      </c>
      <c r="C46" s="25" t="s">
        <v>27</v>
      </c>
      <c r="D46" s="11" t="s">
        <v>48</v>
      </c>
      <c r="E46" s="32">
        <v>1156.21</v>
      </c>
      <c r="F46" s="33">
        <f>SUM(E46*2/1000)</f>
        <v>2.3124199999999999</v>
      </c>
      <c r="G46" s="53">
        <v>1179.73</v>
      </c>
      <c r="H46" s="34">
        <f t="shared" si="36"/>
        <v>2.7280312466000001</v>
      </c>
      <c r="I46" s="35">
        <v>0</v>
      </c>
      <c r="J46" s="35">
        <v>0</v>
      </c>
      <c r="K46" s="35">
        <v>0</v>
      </c>
      <c r="L46" s="35">
        <v>0</v>
      </c>
      <c r="M46" s="35">
        <f t="shared" si="38"/>
        <v>1364.0156233</v>
      </c>
      <c r="N46" s="35">
        <v>0</v>
      </c>
      <c r="O46" s="35">
        <v>0</v>
      </c>
      <c r="P46" s="35">
        <v>0</v>
      </c>
      <c r="Q46" s="35">
        <f t="shared" si="39"/>
        <v>1364.0156233</v>
      </c>
      <c r="R46" s="35">
        <v>0</v>
      </c>
      <c r="S46" s="35">
        <v>0</v>
      </c>
      <c r="T46" s="35">
        <v>0</v>
      </c>
      <c r="U46" s="35">
        <f t="shared" si="37"/>
        <v>2728.0312466</v>
      </c>
    </row>
    <row r="47" spans="1:21">
      <c r="A47" s="131" t="s">
        <v>162</v>
      </c>
      <c r="B47" s="11" t="s">
        <v>99</v>
      </c>
      <c r="C47" s="25" t="s">
        <v>100</v>
      </c>
      <c r="D47" s="11" t="s">
        <v>182</v>
      </c>
      <c r="E47" s="32">
        <v>17.2</v>
      </c>
      <c r="F47" s="33">
        <f>SUM(E47*2/100)</f>
        <v>0.34399999999999997</v>
      </c>
      <c r="G47" s="53">
        <v>90.61</v>
      </c>
      <c r="H47" s="34">
        <f t="shared" si="36"/>
        <v>3.1169839999999997E-2</v>
      </c>
      <c r="I47" s="35">
        <v>0</v>
      </c>
      <c r="J47" s="35">
        <v>0</v>
      </c>
      <c r="K47" s="35">
        <v>0</v>
      </c>
      <c r="L47" s="35">
        <v>0</v>
      </c>
      <c r="M47" s="35">
        <f t="shared" si="38"/>
        <v>15.584919999999999</v>
      </c>
      <c r="N47" s="35">
        <v>0</v>
      </c>
      <c r="O47" s="35">
        <v>0</v>
      </c>
      <c r="P47" s="35">
        <v>0</v>
      </c>
      <c r="Q47" s="35">
        <f t="shared" si="39"/>
        <v>15.584919999999999</v>
      </c>
      <c r="R47" s="35">
        <v>0</v>
      </c>
      <c r="S47" s="35">
        <v>0</v>
      </c>
      <c r="T47" s="35">
        <v>0</v>
      </c>
      <c r="U47" s="35">
        <f t="shared" si="37"/>
        <v>31.169839999999997</v>
      </c>
    </row>
    <row r="48" spans="1:21" ht="25.5">
      <c r="A48" s="131" t="s">
        <v>158</v>
      </c>
      <c r="B48" s="11" t="s">
        <v>52</v>
      </c>
      <c r="C48" s="25" t="s">
        <v>27</v>
      </c>
      <c r="D48" s="11" t="s">
        <v>53</v>
      </c>
      <c r="E48" s="32">
        <v>1839.1</v>
      </c>
      <c r="F48" s="33">
        <f>SUM(E48*5/1000)</f>
        <v>9.1954999999999991</v>
      </c>
      <c r="G48" s="53">
        <v>1711.28</v>
      </c>
      <c r="H48" s="34">
        <f t="shared" si="36"/>
        <v>15.736075239999998</v>
      </c>
      <c r="I48" s="35">
        <f>F48/5*G48</f>
        <v>3147.2150479999996</v>
      </c>
      <c r="J48" s="35">
        <f>F48/5*G48</f>
        <v>3147.2150479999996</v>
      </c>
      <c r="K48" s="35">
        <v>0</v>
      </c>
      <c r="L48" s="35">
        <v>0</v>
      </c>
      <c r="M48" s="35">
        <f>F48/5*G48</f>
        <v>3147.2150479999996</v>
      </c>
      <c r="N48" s="35">
        <v>0</v>
      </c>
      <c r="O48" s="35">
        <v>0</v>
      </c>
      <c r="P48" s="35">
        <v>0</v>
      </c>
      <c r="Q48" s="35">
        <f>F48/5*G48</f>
        <v>3147.2150479999996</v>
      </c>
      <c r="R48" s="35">
        <v>0</v>
      </c>
      <c r="S48" s="35">
        <v>0</v>
      </c>
      <c r="T48" s="35">
        <f>F48/5*G48</f>
        <v>3147.2150479999996</v>
      </c>
      <c r="U48" s="35">
        <f t="shared" si="37"/>
        <v>15736.075239999998</v>
      </c>
    </row>
    <row r="49" spans="1:21" ht="38.25" customHeight="1">
      <c r="A49" s="131" t="s">
        <v>159</v>
      </c>
      <c r="B49" s="11" t="s">
        <v>54</v>
      </c>
      <c r="C49" s="25" t="s">
        <v>27</v>
      </c>
      <c r="D49" s="11" t="s">
        <v>48</v>
      </c>
      <c r="E49" s="32">
        <f>E48</f>
        <v>1839.1</v>
      </c>
      <c r="F49" s="33">
        <f>SUM(E49*2/1000)</f>
        <v>3.6781999999999999</v>
      </c>
      <c r="G49" s="53">
        <v>1510.06</v>
      </c>
      <c r="H49" s="34">
        <f t="shared" si="36"/>
        <v>5.5543026919999994</v>
      </c>
      <c r="I49" s="35">
        <v>0</v>
      </c>
      <c r="J49" s="35">
        <v>0</v>
      </c>
      <c r="K49" s="35">
        <v>0</v>
      </c>
      <c r="L49" s="35">
        <v>0</v>
      </c>
      <c r="M49" s="35">
        <f t="shared" ref="M49:M50" si="40">F49/2*G49</f>
        <v>2777.1513459999996</v>
      </c>
      <c r="N49" s="35">
        <v>0</v>
      </c>
      <c r="O49" s="35">
        <v>0</v>
      </c>
      <c r="P49" s="35">
        <v>0</v>
      </c>
      <c r="Q49" s="35">
        <v>0</v>
      </c>
      <c r="R49" s="35">
        <f>F49/2*G49</f>
        <v>2777.1513459999996</v>
      </c>
      <c r="S49" s="35">
        <v>0</v>
      </c>
      <c r="T49" s="35">
        <v>0</v>
      </c>
      <c r="U49" s="35">
        <f t="shared" si="37"/>
        <v>5554.3026919999993</v>
      </c>
    </row>
    <row r="50" spans="1:21" ht="25.5" customHeight="1">
      <c r="A50" s="131" t="s">
        <v>160</v>
      </c>
      <c r="B50" s="11" t="s">
        <v>55</v>
      </c>
      <c r="C50" s="25" t="s">
        <v>56</v>
      </c>
      <c r="D50" s="11" t="s">
        <v>48</v>
      </c>
      <c r="E50" s="32">
        <v>9</v>
      </c>
      <c r="F50" s="33">
        <f>SUM(E50*2/100)</f>
        <v>0.18</v>
      </c>
      <c r="G50" s="53">
        <v>3850.4</v>
      </c>
      <c r="H50" s="34">
        <f t="shared" si="36"/>
        <v>0.69307200000000002</v>
      </c>
      <c r="I50" s="35">
        <v>0</v>
      </c>
      <c r="J50" s="35">
        <v>0</v>
      </c>
      <c r="K50" s="35">
        <v>0</v>
      </c>
      <c r="L50" s="35">
        <v>0</v>
      </c>
      <c r="M50" s="35">
        <f t="shared" si="40"/>
        <v>346.536</v>
      </c>
      <c r="N50" s="35">
        <v>0</v>
      </c>
      <c r="O50" s="35">
        <v>0</v>
      </c>
      <c r="P50" s="35">
        <v>0</v>
      </c>
      <c r="Q50" s="35">
        <v>0</v>
      </c>
      <c r="R50" s="35">
        <f t="shared" ref="R50:R51" si="41">F50/2*G50</f>
        <v>346.536</v>
      </c>
      <c r="S50" s="35">
        <v>0</v>
      </c>
      <c r="T50" s="35">
        <v>0</v>
      </c>
      <c r="U50" s="35">
        <f t="shared" si="37"/>
        <v>693.072</v>
      </c>
    </row>
    <row r="51" spans="1:21">
      <c r="A51" s="131" t="s">
        <v>161</v>
      </c>
      <c r="B51" s="11" t="s">
        <v>57</v>
      </c>
      <c r="C51" s="25" t="s">
        <v>58</v>
      </c>
      <c r="D51" s="11" t="s">
        <v>48</v>
      </c>
      <c r="E51" s="32">
        <v>1</v>
      </c>
      <c r="F51" s="33">
        <v>0.02</v>
      </c>
      <c r="G51" s="53">
        <v>7033.13</v>
      </c>
      <c r="H51" s="34">
        <f t="shared" si="36"/>
        <v>0.1406626</v>
      </c>
      <c r="I51" s="35">
        <v>0</v>
      </c>
      <c r="J51" s="35">
        <v>0</v>
      </c>
      <c r="K51" s="35">
        <v>0</v>
      </c>
      <c r="L51" s="35">
        <v>0</v>
      </c>
      <c r="M51" s="35">
        <f>F51/2*G51</f>
        <v>70.331299999999999</v>
      </c>
      <c r="N51" s="35">
        <v>0</v>
      </c>
      <c r="O51" s="35">
        <v>0</v>
      </c>
      <c r="P51" s="35">
        <v>0</v>
      </c>
      <c r="Q51" s="35">
        <v>0</v>
      </c>
      <c r="R51" s="35">
        <f t="shared" si="41"/>
        <v>70.331299999999999</v>
      </c>
      <c r="S51" s="35">
        <v>0</v>
      </c>
      <c r="T51" s="35">
        <v>0</v>
      </c>
      <c r="U51" s="35">
        <f t="shared" si="37"/>
        <v>140.6626</v>
      </c>
    </row>
    <row r="52" spans="1:21">
      <c r="A52" s="131" t="s">
        <v>101</v>
      </c>
      <c r="B52" s="11" t="s">
        <v>102</v>
      </c>
      <c r="C52" s="25" t="s">
        <v>32</v>
      </c>
      <c r="D52" s="11" t="s">
        <v>91</v>
      </c>
      <c r="E52" s="32">
        <v>36</v>
      </c>
      <c r="F52" s="33">
        <f>E52*3</f>
        <v>108</v>
      </c>
      <c r="G52" s="53">
        <v>175.6</v>
      </c>
      <c r="H52" s="34">
        <f t="shared" si="36"/>
        <v>18.9648</v>
      </c>
      <c r="I52" s="35">
        <f>E52*G52</f>
        <v>6321.5999999999995</v>
      </c>
      <c r="J52" s="35">
        <v>0</v>
      </c>
      <c r="K52" s="35">
        <v>0</v>
      </c>
      <c r="L52" s="35">
        <v>0</v>
      </c>
      <c r="M52" s="35">
        <v>0</v>
      </c>
      <c r="N52" s="35">
        <f>E52*G52</f>
        <v>6321.5999999999995</v>
      </c>
      <c r="O52" s="35">
        <v>0</v>
      </c>
      <c r="P52" s="35">
        <v>0</v>
      </c>
      <c r="Q52" s="35">
        <v>0</v>
      </c>
      <c r="R52" s="35">
        <f>E52*G52</f>
        <v>6321.5999999999995</v>
      </c>
      <c r="S52" s="35">
        <v>0</v>
      </c>
      <c r="T52" s="35">
        <v>0</v>
      </c>
      <c r="U52" s="35">
        <f t="shared" si="37"/>
        <v>18964.8</v>
      </c>
    </row>
    <row r="53" spans="1:21" ht="13.5" customHeight="1">
      <c r="A53" s="131" t="s">
        <v>60</v>
      </c>
      <c r="B53" s="11" t="s">
        <v>61</v>
      </c>
      <c r="C53" s="25" t="s">
        <v>32</v>
      </c>
      <c r="D53" s="11" t="s">
        <v>91</v>
      </c>
      <c r="E53" s="32">
        <v>36</v>
      </c>
      <c r="F53" s="33">
        <f>E53*3</f>
        <v>108</v>
      </c>
      <c r="G53" s="54">
        <v>81.73</v>
      </c>
      <c r="H53" s="34">
        <f t="shared" si="36"/>
        <v>8.8268400000000007</v>
      </c>
      <c r="I53" s="35">
        <f>E53*G53</f>
        <v>2942.28</v>
      </c>
      <c r="J53" s="35">
        <v>0</v>
      </c>
      <c r="K53" s="35">
        <v>0</v>
      </c>
      <c r="L53" s="35">
        <v>0</v>
      </c>
      <c r="M53" s="35">
        <v>0</v>
      </c>
      <c r="N53" s="35">
        <f>E53*G53</f>
        <v>2942.28</v>
      </c>
      <c r="O53" s="35">
        <v>0</v>
      </c>
      <c r="P53" s="35">
        <v>0</v>
      </c>
      <c r="Q53" s="35">
        <v>0</v>
      </c>
      <c r="R53" s="35">
        <f>E53*G53</f>
        <v>2942.28</v>
      </c>
      <c r="S53" s="35">
        <v>0</v>
      </c>
      <c r="T53" s="35">
        <v>0</v>
      </c>
      <c r="U53" s="35">
        <f t="shared" si="37"/>
        <v>8826.84</v>
      </c>
    </row>
    <row r="54" spans="1:21" s="21" customFormat="1">
      <c r="A54" s="134"/>
      <c r="B54" s="20" t="s">
        <v>24</v>
      </c>
      <c r="C54" s="55"/>
      <c r="D54" s="20"/>
      <c r="E54" s="56"/>
      <c r="F54" s="57"/>
      <c r="G54" s="57"/>
      <c r="H54" s="49">
        <f>SUM(H43:H53)</f>
        <v>57.784408037000006</v>
      </c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>
        <f>SUM(U43:U53)</f>
        <v>57784.408037000001</v>
      </c>
    </row>
    <row r="55" spans="1:21">
      <c r="A55" s="131"/>
      <c r="B55" s="12" t="s">
        <v>62</v>
      </c>
      <c r="C55" s="25"/>
      <c r="D55" s="11"/>
      <c r="E55" s="32"/>
      <c r="F55" s="33"/>
      <c r="G55" s="33"/>
      <c r="H55" s="34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</row>
    <row r="56" spans="1:21" ht="38.25">
      <c r="A56" s="131" t="s">
        <v>163</v>
      </c>
      <c r="B56" s="11" t="s">
        <v>132</v>
      </c>
      <c r="C56" s="25" t="s">
        <v>96</v>
      </c>
      <c r="D56" s="11" t="s">
        <v>103</v>
      </c>
      <c r="E56" s="32">
        <v>12.5</v>
      </c>
      <c r="F56" s="33">
        <f>E56*6/100</f>
        <v>0.75</v>
      </c>
      <c r="G56" s="59">
        <v>2306.62</v>
      </c>
      <c r="H56" s="34">
        <f>F56*G56/1000</f>
        <v>1.729965</v>
      </c>
      <c r="I56" s="35">
        <f>F56/6*G56</f>
        <v>288.32749999999999</v>
      </c>
      <c r="J56" s="35">
        <f>F56/6*G56</f>
        <v>288.32749999999999</v>
      </c>
      <c r="K56" s="35">
        <f>F56/6*G56</f>
        <v>288.32749999999999</v>
      </c>
      <c r="L56" s="35">
        <f>F56/6*G56</f>
        <v>288.32749999999999</v>
      </c>
      <c r="M56" s="35">
        <v>0</v>
      </c>
      <c r="N56" s="35">
        <v>0</v>
      </c>
      <c r="O56" s="35">
        <v>0</v>
      </c>
      <c r="P56" s="35">
        <v>0</v>
      </c>
      <c r="Q56" s="35">
        <v>0</v>
      </c>
      <c r="R56" s="35">
        <v>0</v>
      </c>
      <c r="S56" s="35">
        <f>F56/6*G56</f>
        <v>288.32749999999999</v>
      </c>
      <c r="T56" s="35">
        <f>F56/6*G56</f>
        <v>288.32749999999999</v>
      </c>
      <c r="U56" s="35">
        <f t="shared" ref="U56:U83" si="42">SUM(I56:T56)</f>
        <v>1729.9649999999997</v>
      </c>
    </row>
    <row r="57" spans="1:21">
      <c r="A57" s="135" t="s">
        <v>123</v>
      </c>
      <c r="B57" s="22" t="s">
        <v>124</v>
      </c>
      <c r="C57" s="60" t="s">
        <v>183</v>
      </c>
      <c r="D57" s="22" t="s">
        <v>37</v>
      </c>
      <c r="E57" s="61"/>
      <c r="F57" s="62">
        <v>2</v>
      </c>
      <c r="G57" s="64">
        <v>1501</v>
      </c>
      <c r="H57" s="34">
        <f>F57*G57/1000</f>
        <v>3.0019999999999998</v>
      </c>
      <c r="I57" s="35">
        <v>0</v>
      </c>
      <c r="J57" s="35">
        <v>0</v>
      </c>
      <c r="K57" s="35">
        <v>0</v>
      </c>
      <c r="L57" s="35">
        <f>G57*0.5</f>
        <v>750.5</v>
      </c>
      <c r="M57" s="35">
        <v>0</v>
      </c>
      <c r="N57" s="35">
        <v>0</v>
      </c>
      <c r="O57" s="35">
        <v>0</v>
      </c>
      <c r="P57" s="35">
        <v>0</v>
      </c>
      <c r="Q57" s="35">
        <v>0</v>
      </c>
      <c r="R57" s="35">
        <v>0</v>
      </c>
      <c r="S57" s="35">
        <v>0</v>
      </c>
      <c r="T57" s="35">
        <f>G57*1.5</f>
        <v>2251.5</v>
      </c>
      <c r="U57" s="35">
        <f t="shared" si="42"/>
        <v>3002</v>
      </c>
    </row>
    <row r="58" spans="1:21" ht="12.75" customHeight="1">
      <c r="A58" s="135"/>
      <c r="B58" s="23" t="s">
        <v>63</v>
      </c>
      <c r="C58" s="60"/>
      <c r="D58" s="22"/>
      <c r="E58" s="61"/>
      <c r="F58" s="62"/>
      <c r="G58" s="140"/>
      <c r="H58" s="63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</row>
    <row r="59" spans="1:21" ht="12.75" customHeight="1">
      <c r="A59" s="135" t="s">
        <v>164</v>
      </c>
      <c r="B59" s="22" t="s">
        <v>104</v>
      </c>
      <c r="C59" s="60" t="s">
        <v>21</v>
      </c>
      <c r="D59" s="22" t="s">
        <v>30</v>
      </c>
      <c r="E59" s="61">
        <v>164</v>
      </c>
      <c r="F59" s="62">
        <f>E59/100</f>
        <v>1.64</v>
      </c>
      <c r="G59" s="64">
        <v>987.51</v>
      </c>
      <c r="H59" s="63">
        <f>G59*F59/1000</f>
        <v>1.6195164</v>
      </c>
      <c r="I59" s="35">
        <v>0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  <c r="O59" s="35">
        <v>0</v>
      </c>
      <c r="P59" s="35">
        <v>0</v>
      </c>
      <c r="Q59" s="35">
        <v>0</v>
      </c>
      <c r="R59" s="35">
        <v>0</v>
      </c>
      <c r="S59" s="35">
        <v>0</v>
      </c>
      <c r="T59" s="35">
        <v>0</v>
      </c>
      <c r="U59" s="35">
        <f t="shared" si="42"/>
        <v>0</v>
      </c>
    </row>
    <row r="60" spans="1:21">
      <c r="A60" s="135"/>
      <c r="B60" s="15" t="s">
        <v>64</v>
      </c>
      <c r="C60" s="60"/>
      <c r="D60" s="22"/>
      <c r="E60" s="61"/>
      <c r="F60" s="62"/>
      <c r="G60" s="62"/>
      <c r="H60" s="63" t="s">
        <v>41</v>
      </c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</row>
    <row r="61" spans="1:21" ht="12.75" customHeight="1">
      <c r="A61" s="65" t="s">
        <v>165</v>
      </c>
      <c r="B61" s="16" t="s">
        <v>65</v>
      </c>
      <c r="C61" s="65" t="s">
        <v>59</v>
      </c>
      <c r="D61" s="9" t="s">
        <v>37</v>
      </c>
      <c r="E61" s="38">
        <v>1</v>
      </c>
      <c r="F61" s="33">
        <f>E61</f>
        <v>1</v>
      </c>
      <c r="G61" s="53">
        <v>276.74</v>
      </c>
      <c r="H61" s="125">
        <f t="shared" ref="H61:H77" si="43">SUM(F61*G61/1000)</f>
        <v>0.27673999999999999</v>
      </c>
      <c r="I61" s="35">
        <v>0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  <c r="P61" s="35">
        <v>0</v>
      </c>
      <c r="Q61" s="35">
        <v>0</v>
      </c>
      <c r="R61" s="35">
        <v>0</v>
      </c>
      <c r="S61" s="35">
        <v>0</v>
      </c>
      <c r="T61" s="35">
        <v>0</v>
      </c>
      <c r="U61" s="35">
        <f t="shared" si="42"/>
        <v>0</v>
      </c>
    </row>
    <row r="62" spans="1:21" ht="12.75" customHeight="1">
      <c r="A62" s="65" t="s">
        <v>166</v>
      </c>
      <c r="B62" s="16" t="s">
        <v>66</v>
      </c>
      <c r="C62" s="65" t="s">
        <v>59</v>
      </c>
      <c r="D62" s="9" t="s">
        <v>37</v>
      </c>
      <c r="E62" s="38">
        <v>3</v>
      </c>
      <c r="F62" s="33">
        <v>3</v>
      </c>
      <c r="G62" s="53">
        <v>94.89</v>
      </c>
      <c r="H62" s="125">
        <f t="shared" si="43"/>
        <v>0.28467000000000003</v>
      </c>
      <c r="I62" s="35">
        <v>0</v>
      </c>
      <c r="J62" s="35">
        <v>0</v>
      </c>
      <c r="K62" s="35">
        <v>0</v>
      </c>
      <c r="L62" s="35">
        <v>0</v>
      </c>
      <c r="M62" s="35">
        <v>0</v>
      </c>
      <c r="N62" s="35">
        <v>0</v>
      </c>
      <c r="O62" s="35">
        <v>0</v>
      </c>
      <c r="P62" s="35">
        <v>0</v>
      </c>
      <c r="Q62" s="35">
        <v>0</v>
      </c>
      <c r="R62" s="35">
        <v>0</v>
      </c>
      <c r="S62" s="35">
        <v>0</v>
      </c>
      <c r="T62" s="35">
        <v>0</v>
      </c>
      <c r="U62" s="35">
        <f t="shared" si="42"/>
        <v>0</v>
      </c>
    </row>
    <row r="63" spans="1:21" s="2" customFormat="1">
      <c r="A63" s="66" t="s">
        <v>167</v>
      </c>
      <c r="B63" s="16" t="s">
        <v>67</v>
      </c>
      <c r="C63" s="66" t="s">
        <v>68</v>
      </c>
      <c r="D63" s="9" t="s">
        <v>30</v>
      </c>
      <c r="E63" s="32">
        <v>7265</v>
      </c>
      <c r="F63" s="54">
        <f>SUM(E63/100)</f>
        <v>72.650000000000006</v>
      </c>
      <c r="G63" s="53">
        <v>263.99</v>
      </c>
      <c r="H63" s="125">
        <f t="shared" si="43"/>
        <v>19.178873500000002</v>
      </c>
      <c r="I63" s="52">
        <v>0</v>
      </c>
      <c r="J63" s="52">
        <v>0</v>
      </c>
      <c r="K63" s="52">
        <v>0</v>
      </c>
      <c r="L63" s="52">
        <v>0</v>
      </c>
      <c r="M63" s="35">
        <f>F63*G63</f>
        <v>19178.873500000002</v>
      </c>
      <c r="N63" s="52">
        <v>0</v>
      </c>
      <c r="O63" s="52">
        <v>0</v>
      </c>
      <c r="P63" s="52">
        <v>0</v>
      </c>
      <c r="Q63" s="52">
        <v>0</v>
      </c>
      <c r="R63" s="52">
        <v>0</v>
      </c>
      <c r="S63" s="52">
        <v>0</v>
      </c>
      <c r="T63" s="52">
        <v>0</v>
      </c>
      <c r="U63" s="35">
        <f t="shared" si="42"/>
        <v>19178.873500000002</v>
      </c>
    </row>
    <row r="64" spans="1:21" ht="12.75" customHeight="1">
      <c r="A64" s="65" t="s">
        <v>168</v>
      </c>
      <c r="B64" s="16" t="s">
        <v>69</v>
      </c>
      <c r="C64" s="65" t="s">
        <v>70</v>
      </c>
      <c r="D64" s="9" t="s">
        <v>30</v>
      </c>
      <c r="E64" s="32">
        <f>E63</f>
        <v>7265</v>
      </c>
      <c r="F64" s="53">
        <f>SUM(E64/1000)</f>
        <v>7.2649999999999997</v>
      </c>
      <c r="G64" s="53">
        <v>205.57</v>
      </c>
      <c r="H64" s="125">
        <f t="shared" si="43"/>
        <v>1.4934660500000001</v>
      </c>
      <c r="I64" s="35">
        <v>0</v>
      </c>
      <c r="J64" s="35">
        <v>0</v>
      </c>
      <c r="K64" s="35">
        <v>0</v>
      </c>
      <c r="L64" s="35">
        <v>0</v>
      </c>
      <c r="M64" s="35">
        <f t="shared" ref="M64:M67" si="44">F64*G64</f>
        <v>1493.46605</v>
      </c>
      <c r="N64" s="35">
        <v>0</v>
      </c>
      <c r="O64" s="35">
        <v>0</v>
      </c>
      <c r="P64" s="35">
        <v>0</v>
      </c>
      <c r="Q64" s="35">
        <v>0</v>
      </c>
      <c r="R64" s="35">
        <v>0</v>
      </c>
      <c r="S64" s="35">
        <v>0</v>
      </c>
      <c r="T64" s="35">
        <v>0</v>
      </c>
      <c r="U64" s="35">
        <f t="shared" si="42"/>
        <v>1493.46605</v>
      </c>
    </row>
    <row r="65" spans="1:21">
      <c r="A65" s="65" t="s">
        <v>169</v>
      </c>
      <c r="B65" s="16" t="s">
        <v>71</v>
      </c>
      <c r="C65" s="65" t="s">
        <v>72</v>
      </c>
      <c r="D65" s="9" t="s">
        <v>30</v>
      </c>
      <c r="E65" s="32">
        <v>1090</v>
      </c>
      <c r="F65" s="53">
        <f>SUM(E65/100)</f>
        <v>10.9</v>
      </c>
      <c r="G65" s="53">
        <v>2581.5300000000002</v>
      </c>
      <c r="H65" s="125">
        <f t="shared" si="43"/>
        <v>28.138677000000005</v>
      </c>
      <c r="I65" s="35">
        <v>0</v>
      </c>
      <c r="J65" s="35">
        <v>0</v>
      </c>
      <c r="K65" s="35">
        <v>0</v>
      </c>
      <c r="L65" s="35">
        <v>0</v>
      </c>
      <c r="M65" s="35">
        <f>F65*G65</f>
        <v>28138.677000000003</v>
      </c>
      <c r="N65" s="35">
        <v>0</v>
      </c>
      <c r="O65" s="35">
        <v>0</v>
      </c>
      <c r="P65" s="35">
        <v>0</v>
      </c>
      <c r="Q65" s="35">
        <v>0</v>
      </c>
      <c r="R65" s="35">
        <v>0</v>
      </c>
      <c r="S65" s="35">
        <v>0</v>
      </c>
      <c r="T65" s="35">
        <v>0</v>
      </c>
      <c r="U65" s="35">
        <f t="shared" si="42"/>
        <v>28138.677000000003</v>
      </c>
    </row>
    <row r="66" spans="1:21">
      <c r="A66" s="65"/>
      <c r="B66" s="17" t="s">
        <v>92</v>
      </c>
      <c r="C66" s="65" t="s">
        <v>35</v>
      </c>
      <c r="D66" s="9"/>
      <c r="E66" s="32">
        <v>7.6</v>
      </c>
      <c r="F66" s="53">
        <f>SUM(E66)</f>
        <v>7.6</v>
      </c>
      <c r="G66" s="53">
        <v>47.45</v>
      </c>
      <c r="H66" s="125">
        <f t="shared" si="43"/>
        <v>0.36062</v>
      </c>
      <c r="I66" s="35">
        <v>0</v>
      </c>
      <c r="J66" s="35">
        <v>0</v>
      </c>
      <c r="K66" s="35">
        <v>0</v>
      </c>
      <c r="L66" s="35">
        <v>0</v>
      </c>
      <c r="M66" s="35">
        <f t="shared" si="44"/>
        <v>360.62</v>
      </c>
      <c r="N66" s="35">
        <v>0</v>
      </c>
      <c r="O66" s="35">
        <v>0</v>
      </c>
      <c r="P66" s="35">
        <v>0</v>
      </c>
      <c r="Q66" s="35">
        <v>0</v>
      </c>
      <c r="R66" s="35">
        <v>0</v>
      </c>
      <c r="S66" s="35">
        <v>0</v>
      </c>
      <c r="T66" s="35">
        <v>0</v>
      </c>
      <c r="U66" s="35">
        <f t="shared" si="42"/>
        <v>360.62</v>
      </c>
    </row>
    <row r="67" spans="1:21" ht="12.75" customHeight="1">
      <c r="A67" s="139"/>
      <c r="B67" s="17" t="s">
        <v>93</v>
      </c>
      <c r="C67" s="65" t="s">
        <v>35</v>
      </c>
      <c r="D67" s="9"/>
      <c r="E67" s="32">
        <f>E66</f>
        <v>7.6</v>
      </c>
      <c r="F67" s="53">
        <f>SUM(E67)</f>
        <v>7.6</v>
      </c>
      <c r="G67" s="53">
        <v>44.27</v>
      </c>
      <c r="H67" s="125">
        <f t="shared" si="43"/>
        <v>0.33645199999999997</v>
      </c>
      <c r="I67" s="35">
        <v>0</v>
      </c>
      <c r="J67" s="35">
        <v>0</v>
      </c>
      <c r="K67" s="35">
        <v>0</v>
      </c>
      <c r="L67" s="35">
        <v>0</v>
      </c>
      <c r="M67" s="35">
        <f t="shared" si="44"/>
        <v>336.452</v>
      </c>
      <c r="N67" s="35">
        <v>0</v>
      </c>
      <c r="O67" s="35">
        <v>0</v>
      </c>
      <c r="P67" s="35">
        <v>0</v>
      </c>
      <c r="Q67" s="35">
        <v>0</v>
      </c>
      <c r="R67" s="35">
        <v>0</v>
      </c>
      <c r="S67" s="35">
        <v>0</v>
      </c>
      <c r="T67" s="35">
        <v>0</v>
      </c>
      <c r="U67" s="35">
        <f t="shared" si="42"/>
        <v>336.452</v>
      </c>
    </row>
    <row r="68" spans="1:21">
      <c r="A68" s="65" t="s">
        <v>192</v>
      </c>
      <c r="B68" s="9" t="s">
        <v>193</v>
      </c>
      <c r="C68" s="65" t="s">
        <v>194</v>
      </c>
      <c r="D68" s="9" t="s">
        <v>30</v>
      </c>
      <c r="E68" s="38">
        <v>2</v>
      </c>
      <c r="F68" s="33">
        <f>SUM(E68)</f>
        <v>2</v>
      </c>
      <c r="G68" s="53">
        <v>62.07</v>
      </c>
      <c r="H68" s="125">
        <f t="shared" si="43"/>
        <v>0.12414</v>
      </c>
      <c r="I68" s="35">
        <v>0</v>
      </c>
      <c r="J68" s="35">
        <v>0</v>
      </c>
      <c r="K68" s="35">
        <v>0</v>
      </c>
      <c r="L68" s="35">
        <v>0</v>
      </c>
      <c r="M68" s="35">
        <v>0</v>
      </c>
      <c r="N68" s="35">
        <v>0</v>
      </c>
      <c r="O68" s="35">
        <v>0</v>
      </c>
      <c r="P68" s="35">
        <v>0</v>
      </c>
      <c r="Q68" s="35">
        <f>G68*F68</f>
        <v>124.14</v>
      </c>
      <c r="R68" s="35">
        <v>0</v>
      </c>
      <c r="S68" s="35">
        <v>0</v>
      </c>
      <c r="T68" s="35">
        <v>0</v>
      </c>
      <c r="U68" s="35">
        <f t="shared" si="42"/>
        <v>124.14</v>
      </c>
    </row>
    <row r="69" spans="1:21" ht="25.5">
      <c r="A69" s="65"/>
      <c r="B69" s="9" t="s">
        <v>184</v>
      </c>
      <c r="C69" s="141" t="s">
        <v>185</v>
      </c>
      <c r="D69" s="9" t="s">
        <v>37</v>
      </c>
      <c r="E69" s="38">
        <f>E32</f>
        <v>1839.1</v>
      </c>
      <c r="F69" s="33">
        <f>SUM(E32*12)</f>
        <v>22069.199999999997</v>
      </c>
      <c r="G69" s="53">
        <v>2.16</v>
      </c>
      <c r="H69" s="125">
        <f t="shared" si="43"/>
        <v>47.669471999999992</v>
      </c>
      <c r="I69" s="35">
        <f>F69/12*G69</f>
        <v>3972.4559999999997</v>
      </c>
      <c r="J69" s="35">
        <f>F69/12*G69</f>
        <v>3972.4559999999997</v>
      </c>
      <c r="K69" s="35">
        <f>F69/12*G69</f>
        <v>3972.4559999999997</v>
      </c>
      <c r="L69" s="35">
        <f>F69/12*G69</f>
        <v>3972.4559999999997</v>
      </c>
      <c r="M69" s="35">
        <f>F69/12*G69</f>
        <v>3972.4559999999997</v>
      </c>
      <c r="N69" s="35">
        <f>F69/12*G69</f>
        <v>3972.4559999999997</v>
      </c>
      <c r="O69" s="35">
        <f>F69/12*G69</f>
        <v>3972.4559999999997</v>
      </c>
      <c r="P69" s="35">
        <f>F69/12*G69</f>
        <v>3972.4559999999997</v>
      </c>
      <c r="Q69" s="35">
        <f>F69/12*G69</f>
        <v>3972.4559999999997</v>
      </c>
      <c r="R69" s="35">
        <f>F69/12*G69</f>
        <v>3972.4559999999997</v>
      </c>
      <c r="S69" s="35">
        <f>F69/12*G69</f>
        <v>3972.4559999999997</v>
      </c>
      <c r="T69" s="35">
        <f>F69/12*G69</f>
        <v>3972.4559999999997</v>
      </c>
      <c r="U69" s="35">
        <f t="shared" si="42"/>
        <v>47669.471999999987</v>
      </c>
    </row>
    <row r="70" spans="1:21">
      <c r="A70" s="65"/>
      <c r="B70" s="18" t="s">
        <v>73</v>
      </c>
      <c r="C70" s="65"/>
      <c r="D70" s="9"/>
      <c r="E70" s="38"/>
      <c r="F70" s="53"/>
      <c r="G70" s="53"/>
      <c r="H70" s="125" t="s">
        <v>41</v>
      </c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</row>
    <row r="71" spans="1:21">
      <c r="A71" s="65" t="s">
        <v>186</v>
      </c>
      <c r="B71" s="9" t="s">
        <v>187</v>
      </c>
      <c r="C71" s="65" t="s">
        <v>188</v>
      </c>
      <c r="D71" s="9" t="s">
        <v>37</v>
      </c>
      <c r="E71" s="38">
        <v>1</v>
      </c>
      <c r="F71" s="53">
        <f>E71</f>
        <v>1</v>
      </c>
      <c r="G71" s="53">
        <v>976.4</v>
      </c>
      <c r="H71" s="125">
        <f t="shared" ref="H71:H75" si="45">SUM(F71*G71/1000)</f>
        <v>0.97639999999999993</v>
      </c>
      <c r="I71" s="35">
        <v>0</v>
      </c>
      <c r="J71" s="35">
        <v>0</v>
      </c>
      <c r="K71" s="35">
        <v>0</v>
      </c>
      <c r="L71" s="35">
        <v>0</v>
      </c>
      <c r="M71" s="35">
        <v>0</v>
      </c>
      <c r="N71" s="35">
        <v>0</v>
      </c>
      <c r="O71" s="35">
        <v>0</v>
      </c>
      <c r="P71" s="35">
        <v>0</v>
      </c>
      <c r="Q71" s="35">
        <v>0</v>
      </c>
      <c r="R71" s="35">
        <v>0</v>
      </c>
      <c r="S71" s="35">
        <v>0</v>
      </c>
      <c r="T71" s="35">
        <v>0</v>
      </c>
      <c r="U71" s="35">
        <f t="shared" si="42"/>
        <v>0</v>
      </c>
    </row>
    <row r="72" spans="1:21">
      <c r="A72" s="65" t="s">
        <v>189</v>
      </c>
      <c r="B72" s="9" t="s">
        <v>190</v>
      </c>
      <c r="C72" s="65" t="s">
        <v>191</v>
      </c>
      <c r="D72" s="9"/>
      <c r="E72" s="38">
        <v>1</v>
      </c>
      <c r="F72" s="53">
        <v>1</v>
      </c>
      <c r="G72" s="53">
        <v>650</v>
      </c>
      <c r="H72" s="125">
        <f t="shared" si="45"/>
        <v>0.65</v>
      </c>
      <c r="I72" s="35">
        <v>0</v>
      </c>
      <c r="J72" s="35">
        <v>0</v>
      </c>
      <c r="K72" s="35">
        <v>0</v>
      </c>
      <c r="L72" s="35">
        <v>0</v>
      </c>
      <c r="M72" s="35">
        <v>0</v>
      </c>
      <c r="N72" s="35">
        <v>0</v>
      </c>
      <c r="O72" s="35">
        <v>0</v>
      </c>
      <c r="P72" s="35">
        <v>0</v>
      </c>
      <c r="Q72" s="35">
        <v>0</v>
      </c>
      <c r="R72" s="35">
        <v>0</v>
      </c>
      <c r="S72" s="35">
        <v>0</v>
      </c>
      <c r="T72" s="35">
        <v>0</v>
      </c>
      <c r="U72" s="35">
        <f t="shared" si="42"/>
        <v>0</v>
      </c>
    </row>
    <row r="73" spans="1:21">
      <c r="A73" s="65" t="s">
        <v>170</v>
      </c>
      <c r="B73" s="9" t="s">
        <v>106</v>
      </c>
      <c r="C73" s="65" t="s">
        <v>105</v>
      </c>
      <c r="D73" s="9" t="s">
        <v>37</v>
      </c>
      <c r="E73" s="38">
        <v>3</v>
      </c>
      <c r="F73" s="53">
        <f>E73/10</f>
        <v>0.3</v>
      </c>
      <c r="G73" s="53">
        <v>624.16999999999996</v>
      </c>
      <c r="H73" s="125">
        <f t="shared" si="45"/>
        <v>0.18725099999999997</v>
      </c>
      <c r="I73" s="35">
        <v>0</v>
      </c>
      <c r="J73" s="35">
        <v>0</v>
      </c>
      <c r="K73" s="35">
        <v>0</v>
      </c>
      <c r="L73" s="35">
        <v>0</v>
      </c>
      <c r="M73" s="35">
        <v>0</v>
      </c>
      <c r="N73" s="35">
        <v>0</v>
      </c>
      <c r="O73" s="35">
        <v>0</v>
      </c>
      <c r="P73" s="35">
        <v>0</v>
      </c>
      <c r="Q73" s="35">
        <v>0</v>
      </c>
      <c r="R73" s="35">
        <v>0</v>
      </c>
      <c r="S73" s="35">
        <v>0</v>
      </c>
      <c r="T73" s="35">
        <v>0</v>
      </c>
      <c r="U73" s="35">
        <f t="shared" si="42"/>
        <v>0</v>
      </c>
    </row>
    <row r="74" spans="1:21">
      <c r="A74" s="65" t="s">
        <v>172</v>
      </c>
      <c r="B74" s="9" t="s">
        <v>94</v>
      </c>
      <c r="C74" s="65" t="s">
        <v>32</v>
      </c>
      <c r="D74" s="9" t="s">
        <v>37</v>
      </c>
      <c r="E74" s="38">
        <v>1</v>
      </c>
      <c r="F74" s="53">
        <v>1</v>
      </c>
      <c r="G74" s="53">
        <v>1061.4100000000001</v>
      </c>
      <c r="H74" s="125">
        <f t="shared" si="45"/>
        <v>1.0614100000000002</v>
      </c>
      <c r="I74" s="35">
        <v>0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  <c r="O74" s="35">
        <v>0</v>
      </c>
      <c r="P74" s="35">
        <v>0</v>
      </c>
      <c r="Q74" s="35">
        <v>0</v>
      </c>
      <c r="R74" s="35">
        <v>0</v>
      </c>
      <c r="S74" s="35">
        <v>0</v>
      </c>
      <c r="T74" s="35">
        <v>0</v>
      </c>
      <c r="U74" s="35">
        <f t="shared" si="42"/>
        <v>0</v>
      </c>
    </row>
    <row r="75" spans="1:21">
      <c r="A75" s="65" t="s">
        <v>171</v>
      </c>
      <c r="B75" s="9" t="s">
        <v>74</v>
      </c>
      <c r="C75" s="65" t="s">
        <v>32</v>
      </c>
      <c r="D75" s="9" t="s">
        <v>37</v>
      </c>
      <c r="E75" s="38">
        <v>1</v>
      </c>
      <c r="F75" s="33">
        <f>SUM(E75)</f>
        <v>1</v>
      </c>
      <c r="G75" s="53">
        <v>446.12</v>
      </c>
      <c r="H75" s="125">
        <f t="shared" si="45"/>
        <v>0.44612000000000002</v>
      </c>
      <c r="I75" s="35">
        <f>G75</f>
        <v>446.12</v>
      </c>
      <c r="J75" s="35">
        <v>0</v>
      </c>
      <c r="K75" s="35">
        <v>0</v>
      </c>
      <c r="L75" s="35">
        <v>0</v>
      </c>
      <c r="M75" s="35">
        <v>0</v>
      </c>
      <c r="N75" s="35">
        <v>0</v>
      </c>
      <c r="O75" s="35">
        <v>0</v>
      </c>
      <c r="P75" s="35">
        <v>0</v>
      </c>
      <c r="Q75" s="35">
        <v>0</v>
      </c>
      <c r="R75" s="35">
        <v>0</v>
      </c>
      <c r="S75" s="35">
        <v>0</v>
      </c>
      <c r="T75" s="35">
        <v>0</v>
      </c>
      <c r="U75" s="35">
        <f t="shared" si="42"/>
        <v>446.12</v>
      </c>
    </row>
    <row r="76" spans="1:21">
      <c r="A76" s="65"/>
      <c r="B76" s="67" t="s">
        <v>75</v>
      </c>
      <c r="C76" s="65"/>
      <c r="D76" s="9"/>
      <c r="E76" s="38"/>
      <c r="F76" s="53"/>
      <c r="G76" s="53" t="s">
        <v>41</v>
      </c>
      <c r="H76" s="125" t="s">
        <v>41</v>
      </c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</row>
    <row r="77" spans="1:21" s="2" customFormat="1">
      <c r="A77" s="66" t="s">
        <v>76</v>
      </c>
      <c r="B77" s="68" t="s">
        <v>77</v>
      </c>
      <c r="C77" s="66" t="s">
        <v>72</v>
      </c>
      <c r="D77" s="16"/>
      <c r="E77" s="69"/>
      <c r="F77" s="54">
        <v>1.3</v>
      </c>
      <c r="G77" s="54">
        <v>3433.68</v>
      </c>
      <c r="H77" s="125">
        <f t="shared" si="43"/>
        <v>4.4637839999999995</v>
      </c>
      <c r="I77" s="52">
        <v>0</v>
      </c>
      <c r="J77" s="52">
        <v>0</v>
      </c>
      <c r="K77" s="52">
        <v>0</v>
      </c>
      <c r="L77" s="52">
        <v>0</v>
      </c>
      <c r="M77" s="52">
        <v>0</v>
      </c>
      <c r="N77" s="52">
        <v>0</v>
      </c>
      <c r="O77" s="52">
        <v>0</v>
      </c>
      <c r="P77" s="52">
        <v>0</v>
      </c>
      <c r="Q77" s="52">
        <v>0</v>
      </c>
      <c r="R77" s="52">
        <v>0</v>
      </c>
      <c r="S77" s="52">
        <v>0</v>
      </c>
      <c r="T77" s="52">
        <v>0</v>
      </c>
      <c r="U77" s="35">
        <f t="shared" si="42"/>
        <v>0</v>
      </c>
    </row>
    <row r="78" spans="1:21" s="21" customFormat="1">
      <c r="A78" s="70"/>
      <c r="B78" s="20" t="s">
        <v>24</v>
      </c>
      <c r="C78" s="71"/>
      <c r="D78" s="72"/>
      <c r="E78" s="73"/>
      <c r="F78" s="58"/>
      <c r="G78" s="58"/>
      <c r="H78" s="74">
        <f>SUM(H56:H77)</f>
        <v>111.99955695</v>
      </c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>
        <f>SUM(U56:U77)</f>
        <v>102479.78554999999</v>
      </c>
    </row>
    <row r="79" spans="1:21">
      <c r="A79" s="136" t="s">
        <v>121</v>
      </c>
      <c r="B79" s="11" t="s">
        <v>122</v>
      </c>
      <c r="C79" s="76"/>
      <c r="D79" s="77"/>
      <c r="E79" s="123"/>
      <c r="F79" s="78">
        <v>1</v>
      </c>
      <c r="G79" s="79">
        <v>13707.8</v>
      </c>
      <c r="H79" s="125">
        <f>G79*F79/1000</f>
        <v>13.707799999999999</v>
      </c>
      <c r="I79" s="35">
        <v>0</v>
      </c>
      <c r="J79" s="35">
        <f>G79</f>
        <v>13707.8</v>
      </c>
      <c r="K79" s="35">
        <v>0</v>
      </c>
      <c r="L79" s="35">
        <v>0</v>
      </c>
      <c r="M79" s="36">
        <v>0</v>
      </c>
      <c r="N79" s="36">
        <v>0</v>
      </c>
      <c r="O79" s="35">
        <v>0</v>
      </c>
      <c r="P79" s="35">
        <v>0</v>
      </c>
      <c r="Q79" s="35">
        <v>0</v>
      </c>
      <c r="R79" s="35">
        <v>0</v>
      </c>
      <c r="S79" s="35">
        <v>0</v>
      </c>
      <c r="T79" s="35">
        <v>0</v>
      </c>
      <c r="U79" s="35">
        <f t="shared" si="42"/>
        <v>13707.8</v>
      </c>
    </row>
    <row r="80" spans="1:21" ht="12.75" customHeight="1">
      <c r="A80" s="137"/>
      <c r="B80" s="75" t="s">
        <v>78</v>
      </c>
      <c r="C80" s="65" t="s">
        <v>79</v>
      </c>
      <c r="D80" s="80"/>
      <c r="E80" s="53">
        <v>1839.1</v>
      </c>
      <c r="F80" s="53">
        <f>SUM(E80*12)</f>
        <v>22069.199999999997</v>
      </c>
      <c r="G80" s="81">
        <v>2.95</v>
      </c>
      <c r="H80" s="125">
        <f>SUM(F80*G80/1000)</f>
        <v>65.104139999999987</v>
      </c>
      <c r="I80" s="35">
        <f>F80/12*G80</f>
        <v>5425.3449999999993</v>
      </c>
      <c r="J80" s="35">
        <f>F80/12*G80</f>
        <v>5425.3449999999993</v>
      </c>
      <c r="K80" s="35">
        <f>F80/12*G80</f>
        <v>5425.3449999999993</v>
      </c>
      <c r="L80" s="35">
        <f>F80/12*G80</f>
        <v>5425.3449999999993</v>
      </c>
      <c r="M80" s="36">
        <f>F80/12*G80</f>
        <v>5425.3449999999993</v>
      </c>
      <c r="N80" s="36">
        <f>F80/12*G80</f>
        <v>5425.3449999999993</v>
      </c>
      <c r="O80" s="35">
        <f>F80/12*G80</f>
        <v>5425.3449999999993</v>
      </c>
      <c r="P80" s="35">
        <f>F80/12*G80</f>
        <v>5425.3449999999993</v>
      </c>
      <c r="Q80" s="35">
        <f>F80/12*G80</f>
        <v>5425.3449999999993</v>
      </c>
      <c r="R80" s="35">
        <f>F80/12*G80</f>
        <v>5425.3449999999993</v>
      </c>
      <c r="S80" s="35">
        <f>F80/12*G80</f>
        <v>5425.3449999999993</v>
      </c>
      <c r="T80" s="35">
        <f>F80/12*G80</f>
        <v>5425.3449999999993</v>
      </c>
      <c r="U80" s="35">
        <f t="shared" si="42"/>
        <v>65104.140000000007</v>
      </c>
    </row>
    <row r="81" spans="1:21" s="19" customFormat="1">
      <c r="A81" s="82"/>
      <c r="B81" s="20" t="s">
        <v>24</v>
      </c>
      <c r="C81" s="83"/>
      <c r="D81" s="84"/>
      <c r="E81" s="85"/>
      <c r="F81" s="44"/>
      <c r="G81" s="86"/>
      <c r="H81" s="45">
        <f>SUM(H79:H80)</f>
        <v>78.811939999999993</v>
      </c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>
        <f>SUM(U79:U80)</f>
        <v>78811.94</v>
      </c>
    </row>
    <row r="82" spans="1:21" ht="25.5" customHeight="1">
      <c r="A82" s="87"/>
      <c r="B82" s="9" t="s">
        <v>80</v>
      </c>
      <c r="C82" s="65"/>
      <c r="D82" s="88"/>
      <c r="E82" s="32">
        <f>E80</f>
        <v>1839.1</v>
      </c>
      <c r="F82" s="53">
        <f>E82*12</f>
        <v>22069.199999999997</v>
      </c>
      <c r="G82" s="53">
        <v>3.05</v>
      </c>
      <c r="H82" s="125">
        <f>F82*G82/1000</f>
        <v>67.311059999999983</v>
      </c>
      <c r="I82" s="35">
        <f>F82/12*G82</f>
        <v>5609.2549999999983</v>
      </c>
      <c r="J82" s="35">
        <f>F82/12*G82</f>
        <v>5609.2549999999983</v>
      </c>
      <c r="K82" s="35">
        <f>F82/12*G82</f>
        <v>5609.2549999999983</v>
      </c>
      <c r="L82" s="35">
        <f>F82/12*G82</f>
        <v>5609.2549999999983</v>
      </c>
      <c r="M82" s="35">
        <f>F82/12*G82</f>
        <v>5609.2549999999983</v>
      </c>
      <c r="N82" s="35">
        <f>F82/12*G82</f>
        <v>5609.2549999999983</v>
      </c>
      <c r="O82" s="35">
        <f>F82/12*G82</f>
        <v>5609.2549999999983</v>
      </c>
      <c r="P82" s="35">
        <f>F82/12*G82</f>
        <v>5609.2549999999983</v>
      </c>
      <c r="Q82" s="35">
        <f>F82/12*G82</f>
        <v>5609.2549999999983</v>
      </c>
      <c r="R82" s="35">
        <f>F82/12*G82</f>
        <v>5609.2549999999983</v>
      </c>
      <c r="S82" s="35">
        <f>F82/12*G82</f>
        <v>5609.2549999999983</v>
      </c>
      <c r="T82" s="35">
        <f t="shared" ref="T82" si="46">F82/12*G82</f>
        <v>5609.2549999999983</v>
      </c>
      <c r="U82" s="35">
        <f t="shared" si="42"/>
        <v>67311.059999999983</v>
      </c>
    </row>
    <row r="83" spans="1:21" ht="25.5" customHeight="1">
      <c r="A83" s="87"/>
      <c r="B83" s="9" t="s">
        <v>197</v>
      </c>
      <c r="C83" s="65" t="s">
        <v>198</v>
      </c>
      <c r="D83" s="88"/>
      <c r="E83" s="123"/>
      <c r="F83" s="53"/>
      <c r="G83" s="53"/>
      <c r="H83" s="125">
        <v>59.113</v>
      </c>
      <c r="I83" s="35">
        <v>4926.08</v>
      </c>
      <c r="J83" s="35">
        <v>4926.08</v>
      </c>
      <c r="K83" s="35">
        <v>4926.08</v>
      </c>
      <c r="L83" s="35">
        <v>4926.08</v>
      </c>
      <c r="M83" s="35">
        <v>4926.08</v>
      </c>
      <c r="N83" s="35">
        <v>4926.08</v>
      </c>
      <c r="O83" s="35">
        <v>4926.08</v>
      </c>
      <c r="P83" s="35">
        <v>4926.08</v>
      </c>
      <c r="Q83" s="35">
        <v>4926.08</v>
      </c>
      <c r="R83" s="35">
        <v>4926.08</v>
      </c>
      <c r="S83" s="35">
        <v>4926.08</v>
      </c>
      <c r="T83" s="35">
        <v>4926.08</v>
      </c>
      <c r="U83" s="35">
        <f t="shared" si="42"/>
        <v>59112.960000000014</v>
      </c>
    </row>
    <row r="84" spans="1:21" s="19" customFormat="1">
      <c r="A84" s="82"/>
      <c r="B84" s="89" t="s">
        <v>81</v>
      </c>
      <c r="C84" s="90"/>
      <c r="D84" s="89"/>
      <c r="E84" s="44"/>
      <c r="F84" s="44"/>
      <c r="G84" s="44"/>
      <c r="H84" s="74">
        <f>H82</f>
        <v>67.311059999999983</v>
      </c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119">
        <f>U82</f>
        <v>67311.059999999983</v>
      </c>
    </row>
    <row r="85" spans="1:21" s="19" customFormat="1">
      <c r="A85" s="82"/>
      <c r="B85" s="89" t="s">
        <v>82</v>
      </c>
      <c r="C85" s="91"/>
      <c r="D85" s="92"/>
      <c r="E85" s="93"/>
      <c r="F85" s="93"/>
      <c r="G85" s="93"/>
      <c r="H85" s="74">
        <f>SUM(H84+H81+H78+H54+H41+H33+H22)</f>
        <v>526.49891034166671</v>
      </c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119">
        <f>SUM(U84+U81+U78+U54+U41+U33+U22)</f>
        <v>515165.12784166657</v>
      </c>
    </row>
    <row r="86" spans="1:21">
      <c r="A86" s="87"/>
      <c r="B86" s="88" t="s">
        <v>83</v>
      </c>
      <c r="C86" s="65"/>
      <c r="D86" s="88"/>
      <c r="E86" s="53"/>
      <c r="F86" s="53"/>
      <c r="G86" s="53" t="s">
        <v>84</v>
      </c>
      <c r="H86" s="94">
        <f>E82</f>
        <v>1839.1</v>
      </c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</row>
    <row r="87" spans="1:21" s="19" customFormat="1">
      <c r="A87" s="82"/>
      <c r="B87" s="92" t="s">
        <v>85</v>
      </c>
      <c r="C87" s="91"/>
      <c r="D87" s="92"/>
      <c r="E87" s="93"/>
      <c r="F87" s="93"/>
      <c r="G87" s="93"/>
      <c r="H87" s="95">
        <f>SUM(H85/H86/12*1000)</f>
        <v>23.856728397117553</v>
      </c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120"/>
    </row>
    <row r="88" spans="1:21">
      <c r="A88" s="87"/>
      <c r="B88" s="88"/>
      <c r="C88" s="65"/>
      <c r="D88" s="88"/>
      <c r="E88" s="53"/>
      <c r="F88" s="53"/>
      <c r="G88" s="53"/>
      <c r="H88" s="96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121"/>
    </row>
    <row r="89" spans="1:21">
      <c r="A89" s="142"/>
      <c r="B89" s="143" t="s">
        <v>86</v>
      </c>
      <c r="C89" s="65"/>
      <c r="D89" s="88"/>
      <c r="E89" s="53"/>
      <c r="F89" s="53"/>
      <c r="G89" s="53"/>
      <c r="H89" s="53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</row>
    <row r="90" spans="1:21">
      <c r="A90" s="146" t="s">
        <v>208</v>
      </c>
      <c r="B90" s="147" t="s">
        <v>209</v>
      </c>
      <c r="C90" s="146" t="s">
        <v>207</v>
      </c>
      <c r="D90" s="88"/>
      <c r="E90" s="53"/>
      <c r="F90" s="53">
        <v>3</v>
      </c>
      <c r="G90" s="53">
        <v>128.96</v>
      </c>
      <c r="H90" s="125">
        <f t="shared" ref="H90:H103" si="47">G90*F90/1000</f>
        <v>0.38688</v>
      </c>
      <c r="I90" s="35">
        <f t="shared" ref="I90" si="48">G90*3</f>
        <v>386.88</v>
      </c>
      <c r="J90" s="35">
        <v>0</v>
      </c>
      <c r="K90" s="35">
        <v>0</v>
      </c>
      <c r="L90" s="35">
        <v>0</v>
      </c>
      <c r="M90" s="35">
        <v>0</v>
      </c>
      <c r="N90" s="35">
        <v>0</v>
      </c>
      <c r="O90" s="35">
        <v>0</v>
      </c>
      <c r="P90" s="35">
        <v>0</v>
      </c>
      <c r="Q90" s="35">
        <v>0</v>
      </c>
      <c r="R90" s="35">
        <v>0</v>
      </c>
      <c r="S90" s="35">
        <v>0</v>
      </c>
      <c r="T90" s="35">
        <v>0</v>
      </c>
      <c r="U90" s="35">
        <f t="shared" ref="U90:U104" si="49">SUM(I90:T90)</f>
        <v>386.88</v>
      </c>
    </row>
    <row r="91" spans="1:21" ht="25.5">
      <c r="A91" s="126" t="s">
        <v>202</v>
      </c>
      <c r="B91" s="127" t="s">
        <v>201</v>
      </c>
      <c r="C91" s="126" t="s">
        <v>59</v>
      </c>
      <c r="D91" s="88"/>
      <c r="E91" s="53"/>
      <c r="F91" s="53">
        <v>3</v>
      </c>
      <c r="G91" s="53">
        <v>189.88</v>
      </c>
      <c r="H91" s="125">
        <f>G91*F91/1000</f>
        <v>0.56964000000000004</v>
      </c>
      <c r="I91" s="35">
        <f>G91*3</f>
        <v>569.64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35">
        <v>0</v>
      </c>
      <c r="P91" s="35">
        <v>0</v>
      </c>
      <c r="Q91" s="35">
        <v>0</v>
      </c>
      <c r="R91" s="35">
        <v>0</v>
      </c>
      <c r="S91" s="35">
        <v>0</v>
      </c>
      <c r="T91" s="35">
        <v>0</v>
      </c>
      <c r="U91" s="35">
        <f t="shared" si="49"/>
        <v>569.64</v>
      </c>
    </row>
    <row r="92" spans="1:21" ht="12.75" customHeight="1">
      <c r="A92" s="148" t="s">
        <v>212</v>
      </c>
      <c r="B92" s="147" t="s">
        <v>210</v>
      </c>
      <c r="C92" s="146" t="s">
        <v>211</v>
      </c>
      <c r="D92" s="88"/>
      <c r="E92" s="53"/>
      <c r="F92" s="53">
        <v>20</v>
      </c>
      <c r="G92" s="53">
        <v>88.14</v>
      </c>
      <c r="H92" s="125">
        <f t="shared" si="47"/>
        <v>1.7627999999999999</v>
      </c>
      <c r="I92" s="35">
        <f>G92*20</f>
        <v>1762.8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>
        <v>0</v>
      </c>
      <c r="P92" s="35">
        <v>0</v>
      </c>
      <c r="Q92" s="35">
        <v>0</v>
      </c>
      <c r="R92" s="35">
        <v>0</v>
      </c>
      <c r="S92" s="35">
        <v>0</v>
      </c>
      <c r="T92" s="35">
        <v>0</v>
      </c>
      <c r="U92" s="35">
        <f t="shared" si="49"/>
        <v>1762.8</v>
      </c>
    </row>
    <row r="93" spans="1:21" ht="25.5" customHeight="1">
      <c r="A93" s="148" t="s">
        <v>213</v>
      </c>
      <c r="B93" s="127" t="s">
        <v>215</v>
      </c>
      <c r="C93" s="146" t="s">
        <v>214</v>
      </c>
      <c r="D93" s="88"/>
      <c r="E93" s="53"/>
      <c r="F93" s="53">
        <v>0.5</v>
      </c>
      <c r="G93" s="53">
        <v>2057</v>
      </c>
      <c r="H93" s="125">
        <f t="shared" si="47"/>
        <v>1.0285</v>
      </c>
      <c r="I93" s="35">
        <v>0</v>
      </c>
      <c r="J93" s="35">
        <f>G93*0.5</f>
        <v>1028.5</v>
      </c>
      <c r="K93" s="35">
        <v>0</v>
      </c>
      <c r="L93" s="35">
        <v>0</v>
      </c>
      <c r="M93" s="35">
        <v>0</v>
      </c>
      <c r="N93" s="35">
        <v>0</v>
      </c>
      <c r="O93" s="35">
        <v>0</v>
      </c>
      <c r="P93" s="35">
        <v>0</v>
      </c>
      <c r="Q93" s="35">
        <v>0</v>
      </c>
      <c r="R93" s="35">
        <v>0</v>
      </c>
      <c r="S93" s="35">
        <v>0</v>
      </c>
      <c r="T93" s="35">
        <v>0</v>
      </c>
      <c r="U93" s="35">
        <f t="shared" si="49"/>
        <v>1028.5</v>
      </c>
    </row>
    <row r="94" spans="1:21" ht="25.5">
      <c r="A94" s="149" t="s">
        <v>216</v>
      </c>
      <c r="B94" s="127" t="s">
        <v>217</v>
      </c>
      <c r="C94" s="126" t="s">
        <v>218</v>
      </c>
      <c r="D94" s="88"/>
      <c r="E94" s="53"/>
      <c r="F94" s="53">
        <v>1</v>
      </c>
      <c r="G94" s="53">
        <v>589.84</v>
      </c>
      <c r="H94" s="125">
        <f t="shared" si="47"/>
        <v>0.58984000000000003</v>
      </c>
      <c r="I94" s="35">
        <v>0</v>
      </c>
      <c r="J94" s="35">
        <f>G94</f>
        <v>589.84</v>
      </c>
      <c r="K94" s="35">
        <v>0</v>
      </c>
      <c r="L94" s="35">
        <v>0</v>
      </c>
      <c r="M94" s="35">
        <v>0</v>
      </c>
      <c r="N94" s="35">
        <v>0</v>
      </c>
      <c r="O94" s="35">
        <v>0</v>
      </c>
      <c r="P94" s="35">
        <v>0</v>
      </c>
      <c r="Q94" s="35">
        <v>0</v>
      </c>
      <c r="R94" s="35">
        <v>0</v>
      </c>
      <c r="S94" s="35">
        <v>0</v>
      </c>
      <c r="T94" s="35">
        <v>0</v>
      </c>
      <c r="U94" s="35">
        <f t="shared" si="49"/>
        <v>589.84</v>
      </c>
    </row>
    <row r="95" spans="1:21" ht="25.5">
      <c r="A95" s="150" t="s">
        <v>123</v>
      </c>
      <c r="B95" s="151" t="s">
        <v>219</v>
      </c>
      <c r="C95" s="141" t="s">
        <v>220</v>
      </c>
      <c r="D95" s="144"/>
      <c r="E95" s="152"/>
      <c r="F95" s="152">
        <v>1</v>
      </c>
      <c r="G95" s="152">
        <v>1934.94</v>
      </c>
      <c r="H95" s="153">
        <f t="shared" si="47"/>
        <v>1.9349400000000001</v>
      </c>
      <c r="I95" s="35">
        <v>0</v>
      </c>
      <c r="J95" s="35">
        <f>G95</f>
        <v>1934.94</v>
      </c>
      <c r="K95" s="35">
        <v>0</v>
      </c>
      <c r="L95" s="35">
        <v>0</v>
      </c>
      <c r="M95" s="35">
        <v>0</v>
      </c>
      <c r="N95" s="35">
        <v>0</v>
      </c>
      <c r="O95" s="35">
        <v>0</v>
      </c>
      <c r="P95" s="35">
        <v>0</v>
      </c>
      <c r="Q95" s="35">
        <v>0</v>
      </c>
      <c r="R95" s="35">
        <v>0</v>
      </c>
      <c r="S95" s="35">
        <v>0</v>
      </c>
      <c r="T95" s="35">
        <v>0</v>
      </c>
      <c r="U95" s="35">
        <f t="shared" si="49"/>
        <v>1934.94</v>
      </c>
    </row>
    <row r="96" spans="1:21">
      <c r="A96" s="131" t="s">
        <v>221</v>
      </c>
      <c r="B96" s="11" t="s">
        <v>222</v>
      </c>
      <c r="C96" s="25" t="s">
        <v>32</v>
      </c>
      <c r="D96" s="144"/>
      <c r="E96" s="152"/>
      <c r="F96" s="152">
        <v>2</v>
      </c>
      <c r="G96" s="152">
        <v>185.08</v>
      </c>
      <c r="H96" s="153">
        <f t="shared" si="47"/>
        <v>0.37016000000000004</v>
      </c>
      <c r="I96" s="35">
        <v>0</v>
      </c>
      <c r="J96" s="35">
        <f>G96</f>
        <v>185.08</v>
      </c>
      <c r="K96" s="35">
        <v>0</v>
      </c>
      <c r="L96" s="35">
        <f>G96</f>
        <v>185.08</v>
      </c>
      <c r="M96" s="35">
        <v>0</v>
      </c>
      <c r="N96" s="35">
        <v>0</v>
      </c>
      <c r="O96" s="35">
        <v>0</v>
      </c>
      <c r="P96" s="35">
        <v>0</v>
      </c>
      <c r="Q96" s="35">
        <v>0</v>
      </c>
      <c r="R96" s="35">
        <v>0</v>
      </c>
      <c r="S96" s="35">
        <v>0</v>
      </c>
      <c r="T96" s="35">
        <v>0</v>
      </c>
      <c r="U96" s="35">
        <f t="shared" si="49"/>
        <v>370.16</v>
      </c>
    </row>
    <row r="97" spans="1:21" ht="25.5">
      <c r="A97" s="146" t="s">
        <v>223</v>
      </c>
      <c r="B97" s="147" t="s">
        <v>224</v>
      </c>
      <c r="C97" s="146" t="s">
        <v>218</v>
      </c>
      <c r="D97" s="144"/>
      <c r="E97" s="152"/>
      <c r="F97" s="152">
        <v>2</v>
      </c>
      <c r="G97" s="152">
        <v>158.77000000000001</v>
      </c>
      <c r="H97" s="153">
        <f t="shared" si="47"/>
        <v>0.31754000000000004</v>
      </c>
      <c r="I97" s="35">
        <v>0</v>
      </c>
      <c r="J97" s="35">
        <v>0</v>
      </c>
      <c r="K97" s="35">
        <v>0</v>
      </c>
      <c r="L97" s="35">
        <f>G97*2</f>
        <v>317.54000000000002</v>
      </c>
      <c r="M97" s="35">
        <v>0</v>
      </c>
      <c r="N97" s="35">
        <v>0</v>
      </c>
      <c r="O97" s="35">
        <v>0</v>
      </c>
      <c r="P97" s="35">
        <v>0</v>
      </c>
      <c r="Q97" s="35">
        <v>0</v>
      </c>
      <c r="R97" s="35">
        <v>0</v>
      </c>
      <c r="S97" s="35">
        <v>0</v>
      </c>
      <c r="T97" s="35">
        <v>0</v>
      </c>
      <c r="U97" s="35">
        <f t="shared" si="49"/>
        <v>317.54000000000002</v>
      </c>
    </row>
    <row r="98" spans="1:21" ht="25.5">
      <c r="A98" s="149" t="s">
        <v>226</v>
      </c>
      <c r="B98" s="127" t="s">
        <v>225</v>
      </c>
      <c r="C98" s="126" t="s">
        <v>218</v>
      </c>
      <c r="D98" s="144"/>
      <c r="E98" s="152"/>
      <c r="F98" s="152">
        <v>1</v>
      </c>
      <c r="G98" s="152">
        <v>803.54</v>
      </c>
      <c r="H98" s="153">
        <f t="shared" si="47"/>
        <v>0.80353999999999992</v>
      </c>
      <c r="I98" s="35">
        <v>0</v>
      </c>
      <c r="J98" s="35">
        <v>0</v>
      </c>
      <c r="K98" s="35">
        <v>0</v>
      </c>
      <c r="L98" s="35">
        <f>G98</f>
        <v>803.54</v>
      </c>
      <c r="M98" s="35">
        <v>0</v>
      </c>
      <c r="N98" s="35">
        <v>0</v>
      </c>
      <c r="O98" s="35">
        <v>0</v>
      </c>
      <c r="P98" s="35">
        <v>0</v>
      </c>
      <c r="Q98" s="35">
        <v>0</v>
      </c>
      <c r="R98" s="35">
        <v>0</v>
      </c>
      <c r="S98" s="35">
        <v>0</v>
      </c>
      <c r="T98" s="35">
        <v>0</v>
      </c>
      <c r="U98" s="35">
        <f t="shared" si="49"/>
        <v>803.54</v>
      </c>
    </row>
    <row r="99" spans="1:21" ht="25.5">
      <c r="A99" s="126" t="s">
        <v>229</v>
      </c>
      <c r="B99" s="127" t="s">
        <v>227</v>
      </c>
      <c r="C99" s="126" t="s">
        <v>228</v>
      </c>
      <c r="D99" s="144"/>
      <c r="E99" s="152"/>
      <c r="F99" s="152">
        <v>1</v>
      </c>
      <c r="G99" s="152">
        <v>206.54</v>
      </c>
      <c r="H99" s="153">
        <f t="shared" si="47"/>
        <v>0.20654</v>
      </c>
      <c r="I99" s="35">
        <v>0</v>
      </c>
      <c r="J99" s="35">
        <v>0</v>
      </c>
      <c r="K99" s="35">
        <v>0</v>
      </c>
      <c r="L99" s="35">
        <f>G99</f>
        <v>206.54</v>
      </c>
      <c r="M99" s="35">
        <v>0</v>
      </c>
      <c r="N99" s="35">
        <v>0</v>
      </c>
      <c r="O99" s="35">
        <v>0</v>
      </c>
      <c r="P99" s="35">
        <v>0</v>
      </c>
      <c r="Q99" s="35">
        <v>0</v>
      </c>
      <c r="R99" s="35">
        <v>0</v>
      </c>
      <c r="S99" s="35">
        <v>0</v>
      </c>
      <c r="T99" s="35">
        <v>0</v>
      </c>
      <c r="U99" s="35">
        <f t="shared" si="49"/>
        <v>206.54</v>
      </c>
    </row>
    <row r="100" spans="1:21" ht="25.5">
      <c r="A100" s="154" t="s">
        <v>213</v>
      </c>
      <c r="B100" s="155" t="s">
        <v>231</v>
      </c>
      <c r="C100" s="154" t="s">
        <v>230</v>
      </c>
      <c r="D100" s="88"/>
      <c r="E100" s="53"/>
      <c r="F100" s="53">
        <v>4</v>
      </c>
      <c r="G100" s="53">
        <v>1272</v>
      </c>
      <c r="H100" s="125">
        <f t="shared" si="47"/>
        <v>5.0880000000000001</v>
      </c>
      <c r="I100" s="35">
        <v>0</v>
      </c>
      <c r="J100" s="35">
        <v>0</v>
      </c>
      <c r="K100" s="35">
        <v>0</v>
      </c>
      <c r="L100" s="35">
        <f>G100*4</f>
        <v>5088</v>
      </c>
      <c r="M100" s="35">
        <v>0</v>
      </c>
      <c r="N100" s="35">
        <v>0</v>
      </c>
      <c r="O100" s="35">
        <v>0</v>
      </c>
      <c r="P100" s="35">
        <v>0</v>
      </c>
      <c r="Q100" s="35">
        <v>0</v>
      </c>
      <c r="R100" s="35">
        <v>0</v>
      </c>
      <c r="S100" s="35">
        <v>0</v>
      </c>
      <c r="T100" s="35">
        <v>0</v>
      </c>
      <c r="U100" s="35">
        <f t="shared" si="49"/>
        <v>5088</v>
      </c>
    </row>
    <row r="101" spans="1:21">
      <c r="A101" s="156" t="s">
        <v>233</v>
      </c>
      <c r="B101" s="157" t="s">
        <v>232</v>
      </c>
      <c r="C101" s="126" t="s">
        <v>59</v>
      </c>
      <c r="D101" s="88"/>
      <c r="E101" s="53"/>
      <c r="F101" s="53">
        <v>1</v>
      </c>
      <c r="G101" s="53">
        <v>189.67</v>
      </c>
      <c r="H101" s="125">
        <f t="shared" si="47"/>
        <v>0.18966999999999998</v>
      </c>
      <c r="I101" s="35">
        <v>0</v>
      </c>
      <c r="J101" s="35">
        <v>0</v>
      </c>
      <c r="K101" s="35">
        <v>0</v>
      </c>
      <c r="L101" s="35">
        <v>0</v>
      </c>
      <c r="M101" s="35">
        <f>G101</f>
        <v>189.67</v>
      </c>
      <c r="N101" s="35">
        <v>0</v>
      </c>
      <c r="O101" s="35">
        <v>0</v>
      </c>
      <c r="P101" s="35">
        <v>0</v>
      </c>
      <c r="Q101" s="35">
        <v>0</v>
      </c>
      <c r="R101" s="35">
        <v>0</v>
      </c>
      <c r="S101" s="35">
        <v>0</v>
      </c>
      <c r="T101" s="35">
        <v>0</v>
      </c>
      <c r="U101" s="35">
        <f t="shared" si="49"/>
        <v>189.67</v>
      </c>
    </row>
    <row r="102" spans="1:21" ht="25.5" customHeight="1">
      <c r="A102" s="126" t="s">
        <v>234</v>
      </c>
      <c r="B102" s="127" t="s">
        <v>235</v>
      </c>
      <c r="C102" s="126" t="s">
        <v>196</v>
      </c>
      <c r="D102" s="88"/>
      <c r="E102" s="53"/>
      <c r="F102" s="53">
        <f>3/10</f>
        <v>0.3</v>
      </c>
      <c r="G102" s="53">
        <v>5945.91</v>
      </c>
      <c r="H102" s="153">
        <f t="shared" si="47"/>
        <v>1.7837729999999998</v>
      </c>
      <c r="I102" s="35">
        <v>0</v>
      </c>
      <c r="J102" s="35">
        <v>0</v>
      </c>
      <c r="K102" s="35">
        <v>0</v>
      </c>
      <c r="L102" s="35">
        <v>0</v>
      </c>
      <c r="M102" s="35">
        <v>0</v>
      </c>
      <c r="N102" s="35">
        <f>G102*0.3</f>
        <v>1783.7729999999999</v>
      </c>
      <c r="O102" s="35">
        <v>0</v>
      </c>
      <c r="P102" s="35">
        <v>0</v>
      </c>
      <c r="Q102" s="35">
        <v>0</v>
      </c>
      <c r="R102" s="35">
        <v>0</v>
      </c>
      <c r="S102" s="35">
        <v>0</v>
      </c>
      <c r="T102" s="35">
        <v>0</v>
      </c>
      <c r="U102" s="35">
        <f t="shared" si="49"/>
        <v>1783.7729999999999</v>
      </c>
    </row>
    <row r="103" spans="1:21" ht="25.5">
      <c r="A103" s="146" t="s">
        <v>238</v>
      </c>
      <c r="B103" s="158" t="s">
        <v>236</v>
      </c>
      <c r="C103" s="146" t="s">
        <v>237</v>
      </c>
      <c r="D103" s="9"/>
      <c r="E103" s="38"/>
      <c r="F103" s="53">
        <f>10/100</f>
        <v>0.1</v>
      </c>
      <c r="G103" s="53">
        <v>13605.61</v>
      </c>
      <c r="H103" s="53">
        <f t="shared" si="47"/>
        <v>1.3605610000000001</v>
      </c>
      <c r="I103" s="159">
        <v>0</v>
      </c>
      <c r="J103" s="159">
        <v>0</v>
      </c>
      <c r="K103" s="159">
        <v>0</v>
      </c>
      <c r="L103" s="159">
        <v>0</v>
      </c>
      <c r="M103" s="159">
        <v>0</v>
      </c>
      <c r="N103" s="159">
        <v>0</v>
      </c>
      <c r="O103" s="159">
        <f>G103*0.1</f>
        <v>1360.5610000000001</v>
      </c>
      <c r="P103" s="159">
        <v>0</v>
      </c>
      <c r="Q103" s="35">
        <v>0</v>
      </c>
      <c r="R103" s="35">
        <v>0</v>
      </c>
      <c r="S103" s="35">
        <v>0</v>
      </c>
      <c r="T103" s="35">
        <v>0</v>
      </c>
      <c r="U103" s="35">
        <f t="shared" si="49"/>
        <v>1360.5610000000001</v>
      </c>
    </row>
    <row r="104" spans="1:21" ht="25.5" customHeight="1">
      <c r="A104" s="126" t="s">
        <v>160</v>
      </c>
      <c r="B104" s="127" t="s">
        <v>133</v>
      </c>
      <c r="C104" s="126" t="s">
        <v>56</v>
      </c>
      <c r="D104" s="88"/>
      <c r="E104" s="53"/>
      <c r="F104" s="53">
        <v>0.02</v>
      </c>
      <c r="G104" s="53">
        <v>3581.13</v>
      </c>
      <c r="H104" s="125">
        <f t="shared" ref="H104" si="50">G104*F104/1000</f>
        <v>7.1622600000000008E-2</v>
      </c>
      <c r="I104" s="35">
        <v>0</v>
      </c>
      <c r="J104" s="35">
        <v>0</v>
      </c>
      <c r="K104" s="35">
        <v>0</v>
      </c>
      <c r="L104" s="35">
        <v>0</v>
      </c>
      <c r="M104" s="35">
        <v>0</v>
      </c>
      <c r="N104" s="35">
        <v>0</v>
      </c>
      <c r="O104" s="35">
        <v>0</v>
      </c>
      <c r="P104" s="35">
        <f>G104*0.01</f>
        <v>35.811300000000003</v>
      </c>
      <c r="Q104" s="35">
        <v>0</v>
      </c>
      <c r="R104" s="35">
        <f>G104*0.01</f>
        <v>35.811300000000003</v>
      </c>
      <c r="S104" s="35">
        <v>0</v>
      </c>
      <c r="T104" s="35">
        <v>0</v>
      </c>
      <c r="U104" s="35">
        <f t="shared" si="49"/>
        <v>71.622600000000006</v>
      </c>
    </row>
    <row r="105" spans="1:21" s="19" customFormat="1">
      <c r="A105" s="97"/>
      <c r="B105" s="98" t="s">
        <v>87</v>
      </c>
      <c r="C105" s="97"/>
      <c r="D105" s="97"/>
      <c r="E105" s="93"/>
      <c r="F105" s="93"/>
      <c r="G105" s="93"/>
      <c r="H105" s="45">
        <f>SUM(H89:H104)</f>
        <v>16.464006600000001</v>
      </c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44">
        <f>SUM(U89:U104)</f>
        <v>16464.006600000001</v>
      </c>
    </row>
    <row r="106" spans="1:21">
      <c r="A106" s="99"/>
      <c r="B106" s="100"/>
      <c r="C106" s="99"/>
      <c r="D106" s="99"/>
      <c r="E106" s="53"/>
      <c r="F106" s="53"/>
      <c r="G106" s="53"/>
      <c r="H106" s="101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122"/>
    </row>
    <row r="107" spans="1:21" ht="12" customHeight="1">
      <c r="A107" s="87"/>
      <c r="B107" s="18" t="s">
        <v>88</v>
      </c>
      <c r="C107" s="65"/>
      <c r="D107" s="88"/>
      <c r="E107" s="53"/>
      <c r="F107" s="53"/>
      <c r="G107" s="53"/>
      <c r="H107" s="102">
        <f>H105/E108/12*1000</f>
        <v>0.7460173726279159</v>
      </c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122"/>
    </row>
    <row r="108" spans="1:21" s="19" customFormat="1">
      <c r="A108" s="103"/>
      <c r="B108" s="104" t="s">
        <v>89</v>
      </c>
      <c r="C108" s="105"/>
      <c r="D108" s="104"/>
      <c r="E108" s="138">
        <v>1839.1</v>
      </c>
      <c r="F108" s="106">
        <f>SUM(E108*12)</f>
        <v>22069.199999999997</v>
      </c>
      <c r="G108" s="107">
        <f>H87+H107</f>
        <v>24.602745769745468</v>
      </c>
      <c r="H108" s="108">
        <f>SUM(F108*G108/1000)</f>
        <v>542.96291694166666</v>
      </c>
      <c r="I108" s="93">
        <f t="shared" ref="I108:R108" si="51">SUM(I11:I107)</f>
        <v>54336.995394666665</v>
      </c>
      <c r="J108" s="93">
        <f t="shared" si="51"/>
        <v>59353.835394666661</v>
      </c>
      <c r="K108" s="93">
        <f t="shared" si="51"/>
        <v>39018.116696666664</v>
      </c>
      <c r="L108" s="93">
        <f t="shared" si="51"/>
        <v>46369.316696666669</v>
      </c>
      <c r="M108" s="93">
        <f t="shared" si="51"/>
        <v>97172.092975611144</v>
      </c>
      <c r="N108" s="93">
        <f t="shared" si="51"/>
        <v>46918.082499111108</v>
      </c>
      <c r="O108" s="93">
        <f t="shared" si="51"/>
        <v>37230.990499111111</v>
      </c>
      <c r="P108" s="93">
        <f t="shared" si="51"/>
        <v>35906.24079911111</v>
      </c>
      <c r="Q108" s="93">
        <f t="shared" si="51"/>
        <v>43152.648299611108</v>
      </c>
      <c r="R108" s="93">
        <f t="shared" si="51"/>
        <v>48364.139445111105</v>
      </c>
      <c r="S108" s="93">
        <f>SUM(S11:S107)</f>
        <v>38760.460346666659</v>
      </c>
      <c r="T108" s="93">
        <f>SUM(T11:T107)</f>
        <v>44159.175394666658</v>
      </c>
      <c r="U108" s="44">
        <f>U85+U105</f>
        <v>531629.13444166654</v>
      </c>
    </row>
    <row r="109" spans="1:21">
      <c r="A109" s="109"/>
      <c r="B109" s="109"/>
      <c r="C109" s="109"/>
      <c r="D109" s="109"/>
      <c r="E109" s="110"/>
      <c r="F109" s="110"/>
      <c r="G109" s="110"/>
      <c r="H109" s="110"/>
      <c r="I109" s="110"/>
      <c r="J109" s="110"/>
      <c r="K109" s="110"/>
      <c r="L109" s="110"/>
      <c r="M109" s="109"/>
      <c r="N109" s="110"/>
      <c r="O109" s="109"/>
      <c r="P109" s="109"/>
      <c r="Q109" s="109"/>
      <c r="R109" s="109"/>
      <c r="S109" s="109"/>
      <c r="T109" s="109"/>
      <c r="U109" s="109"/>
    </row>
    <row r="110" spans="1:21">
      <c r="A110" s="109"/>
      <c r="B110" s="109"/>
      <c r="C110" s="109"/>
      <c r="D110" s="109"/>
      <c r="E110" s="110"/>
      <c r="F110" s="110"/>
      <c r="G110" s="110"/>
      <c r="H110" s="110"/>
      <c r="I110" s="110"/>
      <c r="J110" s="111"/>
      <c r="K110" s="112"/>
      <c r="L110" s="111"/>
      <c r="M110" s="110"/>
      <c r="N110" s="109"/>
      <c r="O110" s="109"/>
      <c r="P110" s="109"/>
      <c r="Q110" s="109"/>
      <c r="R110" s="109"/>
      <c r="S110" s="109"/>
      <c r="T110" s="109"/>
      <c r="U110" s="109"/>
    </row>
    <row r="111" spans="1:21" ht="45">
      <c r="A111" s="109"/>
      <c r="B111" s="117" t="s">
        <v>199</v>
      </c>
      <c r="C111" s="164">
        <v>114133.69</v>
      </c>
      <c r="D111" s="165"/>
      <c r="E111" s="165"/>
      <c r="F111" s="166"/>
      <c r="G111" s="110"/>
      <c r="H111" s="110"/>
      <c r="I111" s="110"/>
      <c r="J111" s="111"/>
      <c r="K111" s="112"/>
      <c r="L111" s="111"/>
      <c r="M111" s="110"/>
      <c r="N111" s="109"/>
      <c r="O111" s="109"/>
      <c r="P111" s="109"/>
      <c r="Q111" s="109"/>
      <c r="R111" s="109"/>
      <c r="S111" s="109"/>
      <c r="T111" s="109"/>
      <c r="U111" s="109"/>
    </row>
    <row r="112" spans="1:21" ht="30">
      <c r="A112" s="109"/>
      <c r="B112" s="117" t="s">
        <v>203</v>
      </c>
      <c r="C112" s="164">
        <f>(52671.83*7)+(49122.37*5)</f>
        <v>614314.66</v>
      </c>
      <c r="D112" s="165"/>
      <c r="E112" s="165"/>
      <c r="F112" s="166"/>
      <c r="G112" s="110"/>
      <c r="H112" s="110"/>
      <c r="I112" s="110"/>
      <c r="J112" s="111"/>
      <c r="K112" s="112"/>
      <c r="L112" s="111"/>
      <c r="M112" s="110"/>
      <c r="N112" s="109"/>
      <c r="O112" s="109"/>
      <c r="P112" s="109"/>
      <c r="Q112" s="109"/>
      <c r="R112" s="109"/>
      <c r="S112" s="109"/>
      <c r="T112" s="109"/>
      <c r="U112" s="109"/>
    </row>
    <row r="113" spans="1:21" ht="30">
      <c r="A113" s="109"/>
      <c r="B113" s="117" t="s">
        <v>204</v>
      </c>
      <c r="C113" s="164">
        <f>SUM(U108-U105)</f>
        <v>515165.12784166652</v>
      </c>
      <c r="D113" s="165"/>
      <c r="E113" s="165"/>
      <c r="F113" s="166"/>
      <c r="G113" s="110"/>
      <c r="H113" s="110"/>
      <c r="I113" s="110"/>
      <c r="J113" s="111"/>
      <c r="K113" s="112"/>
      <c r="L113" s="111"/>
      <c r="M113" s="110"/>
      <c r="N113" s="109"/>
      <c r="O113" s="109"/>
      <c r="P113" s="109"/>
      <c r="Q113" s="109"/>
      <c r="R113" s="109"/>
      <c r="S113" s="109"/>
      <c r="T113" s="109"/>
      <c r="U113" s="109"/>
    </row>
    <row r="114" spans="1:21" ht="30">
      <c r="A114" s="109"/>
      <c r="B114" s="117" t="s">
        <v>205</v>
      </c>
      <c r="C114" s="164">
        <f>SUM(U105)</f>
        <v>16464.006600000001</v>
      </c>
      <c r="D114" s="165"/>
      <c r="E114" s="165"/>
      <c r="F114" s="166"/>
      <c r="G114" s="110"/>
      <c r="H114" s="110"/>
      <c r="I114" s="110"/>
      <c r="K114" s="112"/>
      <c r="L114" s="111"/>
      <c r="M114" s="110"/>
      <c r="N114" s="109"/>
      <c r="O114" s="109"/>
      <c r="P114" s="109"/>
      <c r="Q114" s="109"/>
      <c r="R114" s="109"/>
      <c r="S114" s="109"/>
      <c r="T114" s="109"/>
      <c r="U114" s="109"/>
    </row>
    <row r="115" spans="1:21" ht="18">
      <c r="A115" s="109"/>
      <c r="B115" s="118" t="s">
        <v>206</v>
      </c>
      <c r="C115" s="164">
        <f>56143.31+42055.85+52901.58+47124.67+39888.73+38952.46+53809.31+53058.54+44663.71+42508.57+37581.39+71484.56</f>
        <v>580172.67999999993</v>
      </c>
      <c r="D115" s="165"/>
      <c r="E115" s="165"/>
      <c r="F115" s="166"/>
      <c r="G115" s="109"/>
      <c r="J115" s="114"/>
      <c r="K115" s="115"/>
      <c r="L115" s="116"/>
      <c r="M115" s="113"/>
      <c r="N115" s="113"/>
      <c r="O115" s="109"/>
      <c r="Q115" s="109"/>
      <c r="R115" s="109"/>
      <c r="S115" s="109"/>
      <c r="T115" s="109"/>
      <c r="U115" s="109"/>
    </row>
    <row r="116" spans="1:21" ht="78.75">
      <c r="A116" s="109"/>
      <c r="B116" s="145" t="s">
        <v>240</v>
      </c>
      <c r="C116" s="170">
        <v>253694.86</v>
      </c>
      <c r="D116" s="171"/>
      <c r="E116" s="171"/>
      <c r="F116" s="172"/>
      <c r="G116" s="109"/>
      <c r="H116" s="113" t="s">
        <v>95</v>
      </c>
      <c r="I116" s="109"/>
      <c r="J116" s="109"/>
      <c r="K116" s="109"/>
      <c r="L116" s="109"/>
      <c r="M116" s="109"/>
      <c r="N116" s="109"/>
      <c r="O116" s="109"/>
      <c r="P116" s="109"/>
      <c r="Q116" s="109"/>
      <c r="R116" s="109"/>
      <c r="S116" s="109"/>
      <c r="T116" s="109"/>
      <c r="U116" s="109"/>
    </row>
    <row r="117" spans="1:21" ht="45">
      <c r="A117" s="109"/>
      <c r="B117" s="117" t="s">
        <v>239</v>
      </c>
      <c r="C117" s="167">
        <f>SUM(C113+C114-C112)+C111</f>
        <v>31448.164441666508</v>
      </c>
      <c r="D117" s="168"/>
      <c r="E117" s="168"/>
      <c r="F117" s="169"/>
      <c r="G117" s="109"/>
      <c r="H117" s="109"/>
      <c r="I117" s="109"/>
      <c r="J117" s="109"/>
      <c r="K117" s="109"/>
      <c r="L117" s="109"/>
      <c r="M117" s="109"/>
      <c r="N117" s="109"/>
      <c r="O117" s="109"/>
      <c r="P117" s="109"/>
      <c r="Q117" s="109"/>
      <c r="R117" s="109"/>
      <c r="S117" s="109"/>
      <c r="T117" s="109"/>
      <c r="U117" s="109"/>
    </row>
    <row r="119" spans="1:21">
      <c r="J119" s="4"/>
      <c r="K119" s="5"/>
      <c r="L119" s="5"/>
      <c r="M119" s="3"/>
    </row>
    <row r="120" spans="1:21">
      <c r="G120" s="6"/>
      <c r="H120" s="6"/>
    </row>
    <row r="121" spans="1:21">
      <c r="G121" s="7"/>
    </row>
  </sheetData>
  <mergeCells count="11">
    <mergeCell ref="C117:F117"/>
    <mergeCell ref="C112:F112"/>
    <mergeCell ref="C113:F113"/>
    <mergeCell ref="C114:F114"/>
    <mergeCell ref="C115:F115"/>
    <mergeCell ref="C116:F116"/>
    <mergeCell ref="B3:L3"/>
    <mergeCell ref="B4:L4"/>
    <mergeCell ref="B5:L5"/>
    <mergeCell ref="B6:L6"/>
    <mergeCell ref="C111:F111"/>
  </mergeCells>
  <printOptions horizontalCentered="1"/>
  <pageMargins left="0.11811023622047245" right="0.11811023622047245" top="0.15748031496062992" bottom="0.19685039370078741" header="0.15748031496062992" footer="0.15748031496062992"/>
  <pageSetup paperSize="9" scale="5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Нефт.,7</vt:lpstr>
      <vt:lpstr>'Нефт.,7'!Область_печати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cp:lastPrinted>2018-03-19T11:23:26Z</cp:lastPrinted>
  <dcterms:created xsi:type="dcterms:W3CDTF">2014-02-05T12:20:20Z</dcterms:created>
  <dcterms:modified xsi:type="dcterms:W3CDTF">2018-03-27T08:22:49Z</dcterms:modified>
</cp:coreProperties>
</file>