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-240" windowWidth="15480" windowHeight="11280" activeTab="11"/>
  </bookViews>
  <sheets>
    <sheet name="01.21" sheetId="8" r:id="rId1"/>
    <sheet name="02.21" sheetId="9" r:id="rId2"/>
    <sheet name="03.21" sheetId="10" r:id="rId3"/>
    <sheet name="04.21" sheetId="11" r:id="rId4"/>
    <sheet name="05.21" sheetId="12" r:id="rId5"/>
    <sheet name="06.21" sheetId="13" r:id="rId6"/>
    <sheet name="07.21" sheetId="14" r:id="rId7"/>
    <sheet name="08.21" sheetId="15" r:id="rId8"/>
    <sheet name="09.21" sheetId="16" r:id="rId9"/>
    <sheet name="10.21" sheetId="17" r:id="rId10"/>
    <sheet name="11.21" sheetId="18" r:id="rId11"/>
    <sheet name="12.21" sheetId="19" r:id="rId12"/>
  </sheets>
  <definedNames>
    <definedName name="_xlnm._FilterDatabase" localSheetId="0" hidden="1">'01.21'!$I$12:$I$64</definedName>
    <definedName name="_xlnm._FilterDatabase" localSheetId="1" hidden="1">'02.21'!$I$12:$I$64</definedName>
    <definedName name="_xlnm._FilterDatabase" localSheetId="2" hidden="1">'03.21'!$I$12:$I$64</definedName>
    <definedName name="_xlnm._FilterDatabase" localSheetId="3" hidden="1">'04.21'!$I$12:$I$64</definedName>
    <definedName name="_xlnm._FilterDatabase" localSheetId="4" hidden="1">'05.21'!$I$12:$I$63</definedName>
    <definedName name="_xlnm._FilterDatabase" localSheetId="5" hidden="1">'06.21'!$I$12:$I$63</definedName>
    <definedName name="_xlnm._FilterDatabase" localSheetId="6" hidden="1">'07.21'!$I$12:$I$63</definedName>
    <definedName name="_xlnm._FilterDatabase" localSheetId="7" hidden="1">'08.21'!$I$12:$I$63</definedName>
    <definedName name="_xlnm._FilterDatabase" localSheetId="8" hidden="1">'09.21'!$I$12:$I$63</definedName>
    <definedName name="_xlnm._FilterDatabase" localSheetId="9" hidden="1">'10.21'!$I$12:$I$63</definedName>
    <definedName name="_xlnm._FilterDatabase" localSheetId="10" hidden="1">'11.21'!$I$12:$I$65</definedName>
    <definedName name="_xlnm._FilterDatabase" localSheetId="11" hidden="1">'12.21'!$I$12:$I$65</definedName>
    <definedName name="_xlnm.Print_Area" localSheetId="0">'01.21'!$A$1:$I$117</definedName>
    <definedName name="_xlnm.Print_Area" localSheetId="1">'02.21'!$A$1:$I$118</definedName>
    <definedName name="_xlnm.Print_Area" localSheetId="2">'03.21'!$A$1:$I$115</definedName>
    <definedName name="_xlnm.Print_Area" localSheetId="3">'04.21'!$A$1:$I$121</definedName>
    <definedName name="_xlnm.Print_Area" localSheetId="4">'05.21'!$A$1:$I$111</definedName>
    <definedName name="_xlnm.Print_Area" localSheetId="5">'06.21'!$A$1:$I$112</definedName>
    <definedName name="_xlnm.Print_Area" localSheetId="6">'07.21'!$A$1:$I$115</definedName>
    <definedName name="_xlnm.Print_Area" localSheetId="7">'08.21'!$A$1:$I$116</definedName>
    <definedName name="_xlnm.Print_Area" localSheetId="8">'09.21'!$A$1:$I$115</definedName>
    <definedName name="_xlnm.Print_Area" localSheetId="9">'10.21'!$A$1:$I$116</definedName>
    <definedName name="_xlnm.Print_Area" localSheetId="10">'11.21'!$A$1:$I$116</definedName>
    <definedName name="_xlnm.Print_Area" localSheetId="11">'12.21'!$A$1:$I$115</definedName>
  </definedNames>
  <calcPr calcId="125725"/>
</workbook>
</file>

<file path=xl/calcChain.xml><?xml version="1.0" encoding="utf-8"?>
<calcChain xmlns="http://schemas.openxmlformats.org/spreadsheetml/2006/main">
  <c r="I87" i="19"/>
  <c r="I92"/>
  <c r="I39"/>
  <c r="I90" i="18"/>
  <c r="I93" s="1"/>
  <c r="I87"/>
  <c r="F85"/>
  <c r="H85" s="1"/>
  <c r="F84"/>
  <c r="H84" s="1"/>
  <c r="I59"/>
  <c r="I92"/>
  <c r="I91"/>
  <c r="F91"/>
  <c r="I39"/>
  <c r="I93" i="17"/>
  <c r="I85"/>
  <c r="I88"/>
  <c r="F88"/>
  <c r="I85" i="16"/>
  <c r="I58"/>
  <c r="I92"/>
  <c r="I91"/>
  <c r="I90"/>
  <c r="F90"/>
  <c r="I89"/>
  <c r="I88"/>
  <c r="I85" i="15"/>
  <c r="I93"/>
  <c r="I92"/>
  <c r="I91"/>
  <c r="I90"/>
  <c r="I89"/>
  <c r="I88"/>
  <c r="F89"/>
  <c r="I85" i="14"/>
  <c r="I92"/>
  <c r="I91"/>
  <c r="I90"/>
  <c r="I89"/>
  <c r="I88"/>
  <c r="F89"/>
  <c r="I58"/>
  <c r="I85" i="18" l="1"/>
  <c r="I84"/>
  <c r="I85" i="13"/>
  <c r="I89"/>
  <c r="I88"/>
  <c r="I87" i="12" l="1"/>
  <c r="I97" i="11" l="1"/>
  <c r="I96"/>
  <c r="I95"/>
  <c r="I94"/>
  <c r="I93"/>
  <c r="I92"/>
  <c r="I91" i="10" l="1"/>
  <c r="I90"/>
  <c r="I89"/>
  <c r="H89"/>
  <c r="I64"/>
  <c r="I58"/>
  <c r="I43"/>
  <c r="I38"/>
  <c r="I94" i="9" l="1"/>
  <c r="I93"/>
  <c r="I92"/>
  <c r="I91"/>
  <c r="I90"/>
  <c r="H90"/>
  <c r="I43"/>
  <c r="I38"/>
  <c r="I93" i="8"/>
  <c r="I91"/>
  <c r="I90"/>
  <c r="H93"/>
  <c r="H92"/>
  <c r="H91"/>
  <c r="H90"/>
  <c r="I43"/>
  <c r="I38"/>
  <c r="I44" i="18" l="1"/>
  <c r="I62" i="16"/>
  <c r="I81" i="10" l="1"/>
  <c r="I91" i="11" l="1"/>
  <c r="I59" i="10" l="1"/>
  <c r="I58" i="9" l="1"/>
  <c r="F54" i="8" l="1"/>
  <c r="H54" s="1"/>
  <c r="I54"/>
  <c r="F55"/>
  <c r="H55" s="1"/>
  <c r="I55"/>
  <c r="I44" i="19"/>
  <c r="H44"/>
  <c r="E43"/>
  <c r="F43" s="1"/>
  <c r="H43" s="1"/>
  <c r="E42"/>
  <c r="F42" s="1"/>
  <c r="H42" s="1"/>
  <c r="F41"/>
  <c r="H41" s="1"/>
  <c r="F40"/>
  <c r="I4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18"/>
  <c r="H27" s="1"/>
  <c r="H26"/>
  <c r="F26"/>
  <c r="I26" s="1"/>
  <c r="I25"/>
  <c r="H25"/>
  <c r="I24"/>
  <c r="H24"/>
  <c r="F23"/>
  <c r="H23" s="1"/>
  <c r="H22"/>
  <c r="F22"/>
  <c r="I22" s="1"/>
  <c r="F21"/>
  <c r="H21" s="1"/>
  <c r="F20"/>
  <c r="I20" s="1"/>
  <c r="F19"/>
  <c r="H19" s="1"/>
  <c r="E18"/>
  <c r="F18" s="1"/>
  <c r="H17"/>
  <c r="F17"/>
  <c r="I17" s="1"/>
  <c r="F16"/>
  <c r="H16" s="1"/>
  <c r="F33" i="17"/>
  <c r="H33" s="1"/>
  <c r="F32"/>
  <c r="I32" s="1"/>
  <c r="F31"/>
  <c r="H31" s="1"/>
  <c r="F30"/>
  <c r="I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33" i="16"/>
  <c r="H33" s="1"/>
  <c r="F32"/>
  <c r="I32" s="1"/>
  <c r="F31"/>
  <c r="H31" s="1"/>
  <c r="F30"/>
  <c r="I30" s="1"/>
  <c r="F27"/>
  <c r="H27" s="1"/>
  <c r="E18"/>
  <c r="F18" s="1"/>
  <c r="F17"/>
  <c r="I17" s="1"/>
  <c r="F16"/>
  <c r="I16" s="1"/>
  <c r="F33" i="15"/>
  <c r="H33" s="1"/>
  <c r="F32"/>
  <c r="I32" s="1"/>
  <c r="F31"/>
  <c r="H31" s="1"/>
  <c r="F30"/>
  <c r="I30" s="1"/>
  <c r="F27"/>
  <c r="H27" s="1"/>
  <c r="F26"/>
  <c r="I26" s="1"/>
  <c r="I25"/>
  <c r="H25"/>
  <c r="I24"/>
  <c r="H24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0" i="18" l="1"/>
  <c r="H22" i="19"/>
  <c r="H17"/>
  <c r="H20"/>
  <c r="H26"/>
  <c r="H40"/>
  <c r="I41"/>
  <c r="I42"/>
  <c r="I43"/>
  <c r="I18"/>
  <c r="H18"/>
  <c r="I16"/>
  <c r="I19"/>
  <c r="I21"/>
  <c r="I23"/>
  <c r="I27"/>
  <c r="I18" i="18"/>
  <c r="H18"/>
  <c r="I16"/>
  <c r="I19"/>
  <c r="I21"/>
  <c r="I23"/>
  <c r="I27"/>
  <c r="H30" i="17"/>
  <c r="I31"/>
  <c r="H32"/>
  <c r="I33"/>
  <c r="I18"/>
  <c r="H18"/>
  <c r="I16"/>
  <c r="H17"/>
  <c r="I19"/>
  <c r="H20"/>
  <c r="I21"/>
  <c r="H22"/>
  <c r="I23"/>
  <c r="H26"/>
  <c r="I27"/>
  <c r="H30" i="16"/>
  <c r="I31"/>
  <c r="H32"/>
  <c r="I33"/>
  <c r="H17"/>
  <c r="I27"/>
  <c r="H18"/>
  <c r="I18"/>
  <c r="H16"/>
  <c r="H19" i="15"/>
  <c r="H23"/>
  <c r="H30"/>
  <c r="H16"/>
  <c r="H21"/>
  <c r="H32"/>
  <c r="I31"/>
  <c r="I33"/>
  <c r="H17"/>
  <c r="H18"/>
  <c r="H20"/>
  <c r="H22"/>
  <c r="H26"/>
  <c r="I27"/>
  <c r="F27" i="14" l="1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13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E18"/>
  <c r="F18" s="1"/>
  <c r="F17"/>
  <c r="I17" s="1"/>
  <c r="F16"/>
  <c r="H16" s="1"/>
  <c r="F27" i="12"/>
  <c r="H27" s="1"/>
  <c r="E18"/>
  <c r="F18" s="1"/>
  <c r="H18" s="1"/>
  <c r="F17"/>
  <c r="I17" s="1"/>
  <c r="F16"/>
  <c r="H16" s="1"/>
  <c r="F27" i="11"/>
  <c r="H27" s="1"/>
  <c r="H26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10"/>
  <c r="I27" s="1"/>
  <c r="F26"/>
  <c r="H26" s="1"/>
  <c r="I25"/>
  <c r="H25"/>
  <c r="I24"/>
  <c r="H24"/>
  <c r="F23"/>
  <c r="I23" s="1"/>
  <c r="F22"/>
  <c r="H22" s="1"/>
  <c r="H21"/>
  <c r="F21"/>
  <c r="I21" s="1"/>
  <c r="F20"/>
  <c r="H20" s="1"/>
  <c r="F19"/>
  <c r="I19" s="1"/>
  <c r="E18"/>
  <c r="F18" s="1"/>
  <c r="H18" s="1"/>
  <c r="F17"/>
  <c r="H17" s="1"/>
  <c r="H16"/>
  <c r="F16"/>
  <c r="I16" s="1"/>
  <c r="F27" i="9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7" i="8"/>
  <c r="H22" i="11" l="1"/>
  <c r="H20"/>
  <c r="H17"/>
  <c r="H19" i="10"/>
  <c r="H23"/>
  <c r="H27"/>
  <c r="H19" i="13"/>
  <c r="I19"/>
  <c r="H17" i="9"/>
  <c r="H20" i="14"/>
  <c r="H22"/>
  <c r="I18"/>
  <c r="H18"/>
  <c r="I16"/>
  <c r="H17"/>
  <c r="I19"/>
  <c r="I21"/>
  <c r="I23"/>
  <c r="H26"/>
  <c r="I27"/>
  <c r="I18" i="13"/>
  <c r="H18"/>
  <c r="I16"/>
  <c r="H17"/>
  <c r="H20"/>
  <c r="I21"/>
  <c r="H22"/>
  <c r="I23"/>
  <c r="H26"/>
  <c r="I27"/>
  <c r="H17" i="12"/>
  <c r="I27"/>
  <c r="I16"/>
  <c r="I18"/>
  <c r="I18" i="11"/>
  <c r="H18"/>
  <c r="I16"/>
  <c r="I19"/>
  <c r="I21"/>
  <c r="I23"/>
  <c r="I27"/>
  <c r="I17" i="10"/>
  <c r="I18"/>
  <c r="I20"/>
  <c r="I22"/>
  <c r="I26"/>
  <c r="I18" i="9"/>
  <c r="H18"/>
  <c r="I16"/>
  <c r="I19"/>
  <c r="H20"/>
  <c r="I21"/>
  <c r="H22"/>
  <c r="I23"/>
  <c r="H26"/>
  <c r="I27"/>
  <c r="I62" i="12" l="1"/>
  <c r="I89" i="8" l="1"/>
  <c r="I90" i="19"/>
  <c r="I89"/>
  <c r="H89"/>
  <c r="I89" i="18" l="1"/>
  <c r="H89"/>
  <c r="I87" i="17" l="1"/>
  <c r="H87"/>
  <c r="I78"/>
  <c r="I87" i="16"/>
  <c r="H87"/>
  <c r="I87" i="15"/>
  <c r="H87"/>
  <c r="I87" i="14" l="1"/>
  <c r="H87"/>
  <c r="I87" i="13"/>
  <c r="H87"/>
  <c r="I87" i="11"/>
  <c r="I85" i="10"/>
  <c r="I86" i="12" l="1"/>
  <c r="I88" s="1"/>
  <c r="H86"/>
  <c r="I59" i="11"/>
  <c r="I53"/>
  <c r="I58" l="1"/>
  <c r="I90"/>
  <c r="I98" s="1"/>
  <c r="I83"/>
  <c r="I43"/>
  <c r="I88" i="10"/>
  <c r="I92" s="1"/>
  <c r="H88"/>
  <c r="I89" i="9" l="1"/>
  <c r="I95" s="1"/>
  <c r="H89"/>
  <c r="H89" i="8"/>
  <c r="I88"/>
  <c r="I94" s="1"/>
  <c r="H88"/>
  <c r="I60" i="19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I82" i="18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H44"/>
  <c r="E43"/>
  <c r="F43" s="1"/>
  <c r="I43" s="1"/>
  <c r="E42"/>
  <c r="F42" s="1"/>
  <c r="F41"/>
  <c r="I41" s="1"/>
  <c r="F40"/>
  <c r="H40" s="1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I52" i="19" l="1"/>
  <c r="H52"/>
  <c r="I70"/>
  <c r="H70"/>
  <c r="I67"/>
  <c r="H67"/>
  <c r="H28"/>
  <c r="I31"/>
  <c r="H32"/>
  <c r="I33"/>
  <c r="H34"/>
  <c r="I46"/>
  <c r="H47"/>
  <c r="I48"/>
  <c r="H49"/>
  <c r="I50"/>
  <c r="H51"/>
  <c r="I53"/>
  <c r="H59"/>
  <c r="H66"/>
  <c r="I68"/>
  <c r="H69"/>
  <c r="I71"/>
  <c r="H72"/>
  <c r="I84"/>
  <c r="H85"/>
  <c r="H28" i="18"/>
  <c r="H72"/>
  <c r="H32"/>
  <c r="H34"/>
  <c r="H43"/>
  <c r="I67"/>
  <c r="H67"/>
  <c r="I42"/>
  <c r="H42"/>
  <c r="I52"/>
  <c r="H52"/>
  <c r="I70"/>
  <c r="H70"/>
  <c r="I40"/>
  <c r="H41"/>
  <c r="I46"/>
  <c r="H47"/>
  <c r="I48"/>
  <c r="H49"/>
  <c r="I50"/>
  <c r="H51"/>
  <c r="I53"/>
  <c r="H59"/>
  <c r="H66"/>
  <c r="I68"/>
  <c r="H69"/>
  <c r="I71"/>
  <c r="I31"/>
  <c r="I33"/>
  <c r="I94" i="19" l="1"/>
  <c r="I95" i="18"/>
  <c r="F83" i="17" l="1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F67"/>
  <c r="I67" s="1"/>
  <c r="F66"/>
  <c r="H66" s="1"/>
  <c r="E65"/>
  <c r="F65" s="1"/>
  <c r="F64"/>
  <c r="I64" s="1"/>
  <c r="H63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E40"/>
  <c r="F40" s="1"/>
  <c r="F39"/>
  <c r="I39" s="1"/>
  <c r="F38"/>
  <c r="H38" s="1"/>
  <c r="I37"/>
  <c r="H37"/>
  <c r="H35"/>
  <c r="H34"/>
  <c r="F83" i="16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F67"/>
  <c r="H67" s="1"/>
  <c r="F66"/>
  <c r="I66" s="1"/>
  <c r="E65"/>
  <c r="F65" s="1"/>
  <c r="H65" s="1"/>
  <c r="F64"/>
  <c r="H64" s="1"/>
  <c r="H63"/>
  <c r="F62"/>
  <c r="H62" s="1"/>
  <c r="F60"/>
  <c r="H60" s="1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E41"/>
  <c r="F41" s="1"/>
  <c r="E40"/>
  <c r="F40" s="1"/>
  <c r="F39"/>
  <c r="H39" s="1"/>
  <c r="F38"/>
  <c r="I38" s="1"/>
  <c r="I37"/>
  <c r="H37"/>
  <c r="H35"/>
  <c r="H34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F83" i="15"/>
  <c r="I83" s="1"/>
  <c r="F82"/>
  <c r="I82" s="1"/>
  <c r="I80"/>
  <c r="H80"/>
  <c r="H78"/>
  <c r="I76"/>
  <c r="F76"/>
  <c r="H76" s="1"/>
  <c r="H75"/>
  <c r="F74"/>
  <c r="H74" s="1"/>
  <c r="H73"/>
  <c r="F72"/>
  <c r="H72" s="1"/>
  <c r="F70"/>
  <c r="H70" s="1"/>
  <c r="F69"/>
  <c r="H69" s="1"/>
  <c r="E68"/>
  <c r="F68" s="1"/>
  <c r="F67"/>
  <c r="I67" s="1"/>
  <c r="F66"/>
  <c r="H66" s="1"/>
  <c r="E65"/>
  <c r="F65" s="1"/>
  <c r="F64"/>
  <c r="I64" s="1"/>
  <c r="H63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E40"/>
  <c r="F40" s="1"/>
  <c r="F39"/>
  <c r="I39" s="1"/>
  <c r="F38"/>
  <c r="H38" s="1"/>
  <c r="I37"/>
  <c r="H37"/>
  <c r="H35"/>
  <c r="H34"/>
  <c r="F84" i="14"/>
  <c r="I84" s="1"/>
  <c r="F83"/>
  <c r="I83" s="1"/>
  <c r="I81"/>
  <c r="H81"/>
  <c r="H79"/>
  <c r="I77"/>
  <c r="F77"/>
  <c r="H77" s="1"/>
  <c r="H76"/>
  <c r="F75"/>
  <c r="H75" s="1"/>
  <c r="H74"/>
  <c r="F73"/>
  <c r="H73" s="1"/>
  <c r="F71"/>
  <c r="H71" s="1"/>
  <c r="F69"/>
  <c r="H69" s="1"/>
  <c r="E68"/>
  <c r="F68" s="1"/>
  <c r="F67"/>
  <c r="I67" s="1"/>
  <c r="F66"/>
  <c r="H66" s="1"/>
  <c r="E65"/>
  <c r="F65" s="1"/>
  <c r="F64"/>
  <c r="I64" s="1"/>
  <c r="H63"/>
  <c r="F62"/>
  <c r="H62" s="1"/>
  <c r="F60"/>
  <c r="H60" s="1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E40"/>
  <c r="F40" s="1"/>
  <c r="F39"/>
  <c r="I39" s="1"/>
  <c r="F38"/>
  <c r="I38" s="1"/>
  <c r="I37"/>
  <c r="H37"/>
  <c r="H35"/>
  <c r="H34"/>
  <c r="F33"/>
  <c r="I33" s="1"/>
  <c r="F32"/>
  <c r="H32" s="1"/>
  <c r="F31"/>
  <c r="I31" s="1"/>
  <c r="F30"/>
  <c r="H30" s="1"/>
  <c r="H83" i="17" l="1"/>
  <c r="H83" i="15"/>
  <c r="H84" i="14"/>
  <c r="H38"/>
  <c r="I41" i="17"/>
  <c r="H41"/>
  <c r="I65"/>
  <c r="H65"/>
  <c r="I40"/>
  <c r="H40"/>
  <c r="I50"/>
  <c r="H50"/>
  <c r="I68"/>
  <c r="H68"/>
  <c r="I38"/>
  <c r="H39"/>
  <c r="I44"/>
  <c r="H45"/>
  <c r="I46"/>
  <c r="H47"/>
  <c r="I48"/>
  <c r="H49"/>
  <c r="I51"/>
  <c r="H57"/>
  <c r="H64"/>
  <c r="I66"/>
  <c r="H67"/>
  <c r="I69"/>
  <c r="H70"/>
  <c r="I82"/>
  <c r="I69" i="16"/>
  <c r="H41"/>
  <c r="I41"/>
  <c r="H40"/>
  <c r="I40"/>
  <c r="H50"/>
  <c r="I50"/>
  <c r="H68"/>
  <c r="I68"/>
  <c r="H19"/>
  <c r="I20"/>
  <c r="H21"/>
  <c r="I22"/>
  <c r="H23"/>
  <c r="I26"/>
  <c r="H38"/>
  <c r="I39"/>
  <c r="H44"/>
  <c r="I45"/>
  <c r="H46"/>
  <c r="I47"/>
  <c r="H48"/>
  <c r="I49"/>
  <c r="H51"/>
  <c r="I57"/>
  <c r="I64"/>
  <c r="I65"/>
  <c r="H66"/>
  <c r="I67"/>
  <c r="H70"/>
  <c r="I82"/>
  <c r="H83"/>
  <c r="I40" i="15"/>
  <c r="H40"/>
  <c r="I50"/>
  <c r="H50"/>
  <c r="I68"/>
  <c r="H68"/>
  <c r="I41"/>
  <c r="H41"/>
  <c r="I65"/>
  <c r="H65"/>
  <c r="I38"/>
  <c r="H39"/>
  <c r="I44"/>
  <c r="H45"/>
  <c r="I46"/>
  <c r="H47"/>
  <c r="I48"/>
  <c r="H49"/>
  <c r="I51"/>
  <c r="H57"/>
  <c r="H64"/>
  <c r="I66"/>
  <c r="H67"/>
  <c r="I70"/>
  <c r="H82"/>
  <c r="I41" i="14"/>
  <c r="H41"/>
  <c r="I68"/>
  <c r="H68"/>
  <c r="I40"/>
  <c r="H40"/>
  <c r="I50"/>
  <c r="H50"/>
  <c r="I65"/>
  <c r="H65"/>
  <c r="I30"/>
  <c r="H31"/>
  <c r="I32"/>
  <c r="H33"/>
  <c r="H39"/>
  <c r="I44"/>
  <c r="H45"/>
  <c r="I46"/>
  <c r="H47"/>
  <c r="I48"/>
  <c r="H49"/>
  <c r="I51"/>
  <c r="H57"/>
  <c r="H64"/>
  <c r="I66"/>
  <c r="H67"/>
  <c r="I71"/>
  <c r="H83"/>
  <c r="I94" l="1"/>
  <c r="I95" i="17"/>
  <c r="I94" i="16"/>
  <c r="I95" i="15"/>
  <c r="F84" i="13" l="1"/>
  <c r="I84" s="1"/>
  <c r="F83"/>
  <c r="H83" s="1"/>
  <c r="I81"/>
  <c r="H81"/>
  <c r="H79"/>
  <c r="I77"/>
  <c r="F77"/>
  <c r="H77" s="1"/>
  <c r="H76"/>
  <c r="F75"/>
  <c r="H75" s="1"/>
  <c r="H74"/>
  <c r="F73"/>
  <c r="H73" s="1"/>
  <c r="F71"/>
  <c r="I71" s="1"/>
  <c r="F69"/>
  <c r="H69" s="1"/>
  <c r="E68"/>
  <c r="F68" s="1"/>
  <c r="F67"/>
  <c r="H67" s="1"/>
  <c r="F66"/>
  <c r="I66" s="1"/>
  <c r="E65"/>
  <c r="F65" s="1"/>
  <c r="H65" s="1"/>
  <c r="F64"/>
  <c r="H64" s="1"/>
  <c r="H63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E41"/>
  <c r="F41" s="1"/>
  <c r="E40"/>
  <c r="F40" s="1"/>
  <c r="F39"/>
  <c r="H39" s="1"/>
  <c r="F38"/>
  <c r="I38" s="1"/>
  <c r="I37"/>
  <c r="H37"/>
  <c r="H35"/>
  <c r="H34"/>
  <c r="F33"/>
  <c r="H33" s="1"/>
  <c r="F32"/>
  <c r="I32" s="1"/>
  <c r="F31"/>
  <c r="H31" s="1"/>
  <c r="F30"/>
  <c r="I30" s="1"/>
  <c r="I52" i="12"/>
  <c r="F83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H68" s="1"/>
  <c r="F67"/>
  <c r="H67" s="1"/>
  <c r="F66"/>
  <c r="H66" s="1"/>
  <c r="E65"/>
  <c r="F65" s="1"/>
  <c r="H65" s="1"/>
  <c r="F64"/>
  <c r="H64" s="1"/>
  <c r="H63"/>
  <c r="F62"/>
  <c r="H62" s="1"/>
  <c r="F60"/>
  <c r="H60" s="1"/>
  <c r="I58"/>
  <c r="H58"/>
  <c r="F57"/>
  <c r="I57" s="1"/>
  <c r="I54"/>
  <c r="F54"/>
  <c r="H54" s="1"/>
  <c r="I53"/>
  <c r="F53"/>
  <c r="H53" s="1"/>
  <c r="H52"/>
  <c r="F51"/>
  <c r="H51" s="1"/>
  <c r="E50"/>
  <c r="F50" s="1"/>
  <c r="H50" s="1"/>
  <c r="F49"/>
  <c r="H49" s="1"/>
  <c r="F48"/>
  <c r="H48" s="1"/>
  <c r="F47"/>
  <c r="H47" s="1"/>
  <c r="F46"/>
  <c r="H46" s="1"/>
  <c r="F45"/>
  <c r="H45" s="1"/>
  <c r="F44"/>
  <c r="H44" s="1"/>
  <c r="I42"/>
  <c r="H42"/>
  <c r="E41"/>
  <c r="F41" s="1"/>
  <c r="E40"/>
  <c r="F40" s="1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F26"/>
  <c r="I26" s="1"/>
  <c r="I25"/>
  <c r="H25"/>
  <c r="I24"/>
  <c r="H24"/>
  <c r="F23"/>
  <c r="H23" s="1"/>
  <c r="F22"/>
  <c r="I22" s="1"/>
  <c r="F21"/>
  <c r="H21" s="1"/>
  <c r="F20"/>
  <c r="I20" s="1"/>
  <c r="F19"/>
  <c r="H90" i="11"/>
  <c r="F86"/>
  <c r="I86" s="1"/>
  <c r="F85"/>
  <c r="H85" s="1"/>
  <c r="I81"/>
  <c r="H81"/>
  <c r="H79"/>
  <c r="I77"/>
  <c r="F77"/>
  <c r="H77" s="1"/>
  <c r="H76"/>
  <c r="F75"/>
  <c r="H75" s="1"/>
  <c r="H74"/>
  <c r="F73"/>
  <c r="H73" s="1"/>
  <c r="F71"/>
  <c r="I71" s="1"/>
  <c r="F70"/>
  <c r="H70" s="1"/>
  <c r="F69"/>
  <c r="H69" s="1"/>
  <c r="E69"/>
  <c r="H68"/>
  <c r="F68"/>
  <c r="H67"/>
  <c r="F67"/>
  <c r="E66"/>
  <c r="F66" s="1"/>
  <c r="H66" s="1"/>
  <c r="F65"/>
  <c r="H65" s="1"/>
  <c r="H64"/>
  <c r="F63"/>
  <c r="H63" s="1"/>
  <c r="F61"/>
  <c r="H61" s="1"/>
  <c r="H59"/>
  <c r="F58"/>
  <c r="H58" s="1"/>
  <c r="I55"/>
  <c r="F55"/>
  <c r="H55" s="1"/>
  <c r="I54"/>
  <c r="F54"/>
  <c r="H54" s="1"/>
  <c r="H53"/>
  <c r="F52"/>
  <c r="E51"/>
  <c r="F51" s="1"/>
  <c r="F50"/>
  <c r="I50" s="1"/>
  <c r="F49"/>
  <c r="H49" s="1"/>
  <c r="F48"/>
  <c r="H48" s="1"/>
  <c r="F47"/>
  <c r="H47" s="1"/>
  <c r="F46"/>
  <c r="H46" s="1"/>
  <c r="F45"/>
  <c r="H45" s="1"/>
  <c r="H43"/>
  <c r="E42"/>
  <c r="F42" s="1"/>
  <c r="I42" s="1"/>
  <c r="E41"/>
  <c r="F41" s="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84" i="10"/>
  <c r="I84" s="1"/>
  <c r="F83"/>
  <c r="H83" s="1"/>
  <c r="H81"/>
  <c r="H79"/>
  <c r="I77"/>
  <c r="F77"/>
  <c r="H77" s="1"/>
  <c r="H76"/>
  <c r="F75"/>
  <c r="H75" s="1"/>
  <c r="H74"/>
  <c r="F73"/>
  <c r="H73" s="1"/>
  <c r="F71"/>
  <c r="I71" s="1"/>
  <c r="F70"/>
  <c r="H70" s="1"/>
  <c r="E69"/>
  <c r="F69" s="1"/>
  <c r="H69" s="1"/>
  <c r="F68"/>
  <c r="H68" s="1"/>
  <c r="F67"/>
  <c r="H67" s="1"/>
  <c r="E66"/>
  <c r="F66" s="1"/>
  <c r="H66" s="1"/>
  <c r="F65"/>
  <c r="H65" s="1"/>
  <c r="H64"/>
  <c r="F63"/>
  <c r="H63" s="1"/>
  <c r="F61"/>
  <c r="H59"/>
  <c r="F58"/>
  <c r="H58" s="1"/>
  <c r="I55"/>
  <c r="F55"/>
  <c r="H55" s="1"/>
  <c r="I54"/>
  <c r="F54"/>
  <c r="H54" s="1"/>
  <c r="H53"/>
  <c r="F52"/>
  <c r="H52" s="1"/>
  <c r="E51"/>
  <c r="F51" s="1"/>
  <c r="H51" s="1"/>
  <c r="F50"/>
  <c r="I50" s="1"/>
  <c r="F49"/>
  <c r="H49" s="1"/>
  <c r="F48"/>
  <c r="H48" s="1"/>
  <c r="F47"/>
  <c r="H47" s="1"/>
  <c r="F46"/>
  <c r="H46" s="1"/>
  <c r="F45"/>
  <c r="H45" s="1"/>
  <c r="H43"/>
  <c r="E42"/>
  <c r="F42" s="1"/>
  <c r="I42" s="1"/>
  <c r="E41"/>
  <c r="F41" s="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I82" i="9"/>
  <c r="F85"/>
  <c r="I85" s="1"/>
  <c r="F84"/>
  <c r="H84" s="1"/>
  <c r="H82"/>
  <c r="H80"/>
  <c r="I78"/>
  <c r="F78"/>
  <c r="H78" s="1"/>
  <c r="H77"/>
  <c r="F76"/>
  <c r="H76" s="1"/>
  <c r="H75"/>
  <c r="F74"/>
  <c r="H74" s="1"/>
  <c r="F72"/>
  <c r="H72" s="1"/>
  <c r="F70"/>
  <c r="H70" s="1"/>
  <c r="E69"/>
  <c r="F69" s="1"/>
  <c r="H69" s="1"/>
  <c r="F68"/>
  <c r="H68" s="1"/>
  <c r="F67"/>
  <c r="H67" s="1"/>
  <c r="E66"/>
  <c r="F66" s="1"/>
  <c r="H66" s="1"/>
  <c r="F65"/>
  <c r="H65" s="1"/>
  <c r="H64"/>
  <c r="F63"/>
  <c r="H63" s="1"/>
  <c r="F61"/>
  <c r="H61" s="1"/>
  <c r="H59"/>
  <c r="F58"/>
  <c r="I55"/>
  <c r="F55"/>
  <c r="H55" s="1"/>
  <c r="I54"/>
  <c r="F54"/>
  <c r="H54" s="1"/>
  <c r="H53"/>
  <c r="F52"/>
  <c r="H52" s="1"/>
  <c r="E51"/>
  <c r="F51" s="1"/>
  <c r="H51" s="1"/>
  <c r="F50"/>
  <c r="H50" s="1"/>
  <c r="F49"/>
  <c r="H49" s="1"/>
  <c r="F48"/>
  <c r="H48" s="1"/>
  <c r="F47"/>
  <c r="H47" s="1"/>
  <c r="F46"/>
  <c r="H46" s="1"/>
  <c r="F45"/>
  <c r="H45" s="1"/>
  <c r="H43"/>
  <c r="E42"/>
  <c r="F42" s="1"/>
  <c r="I42" s="1"/>
  <c r="E41"/>
  <c r="F41" s="1"/>
  <c r="F40"/>
  <c r="I40" s="1"/>
  <c r="F39"/>
  <c r="H39" s="1"/>
  <c r="H38"/>
  <c r="H36"/>
  <c r="H35"/>
  <c r="H34"/>
  <c r="F34"/>
  <c r="I34" s="1"/>
  <c r="E34"/>
  <c r="F33"/>
  <c r="I33" s="1"/>
  <c r="F32"/>
  <c r="H32" s="1"/>
  <c r="F31"/>
  <c r="I31" s="1"/>
  <c r="F30"/>
  <c r="H30" s="1"/>
  <c r="F84" i="8"/>
  <c r="H84" s="1"/>
  <c r="F83"/>
  <c r="H83" s="1"/>
  <c r="H81"/>
  <c r="H79"/>
  <c r="I77"/>
  <c r="F77"/>
  <c r="H77" s="1"/>
  <c r="H76"/>
  <c r="F75"/>
  <c r="H75" s="1"/>
  <c r="H74"/>
  <c r="F73"/>
  <c r="H73" s="1"/>
  <c r="F71"/>
  <c r="H71" s="1"/>
  <c r="F70"/>
  <c r="H70" s="1"/>
  <c r="E69"/>
  <c r="F69" s="1"/>
  <c r="H69" s="1"/>
  <c r="F68"/>
  <c r="H68" s="1"/>
  <c r="F67"/>
  <c r="H67" s="1"/>
  <c r="E66"/>
  <c r="F66" s="1"/>
  <c r="H66" s="1"/>
  <c r="F65"/>
  <c r="H65" s="1"/>
  <c r="H64"/>
  <c r="F63"/>
  <c r="H63" s="1"/>
  <c r="H61" i="10" l="1"/>
  <c r="I61"/>
  <c r="H19" i="12"/>
  <c r="I19"/>
  <c r="I71" i="8"/>
  <c r="H51" i="11"/>
  <c r="I51"/>
  <c r="H52"/>
  <c r="I52"/>
  <c r="H41" i="13"/>
  <c r="I41"/>
  <c r="H40"/>
  <c r="I40"/>
  <c r="H50"/>
  <c r="I50"/>
  <c r="H68"/>
  <c r="I68"/>
  <c r="H30"/>
  <c r="I31"/>
  <c r="H32"/>
  <c r="I33"/>
  <c r="H38"/>
  <c r="I39"/>
  <c r="H44"/>
  <c r="I45"/>
  <c r="H46"/>
  <c r="I47"/>
  <c r="H48"/>
  <c r="I49"/>
  <c r="H51"/>
  <c r="I57"/>
  <c r="I64"/>
  <c r="I65"/>
  <c r="H66"/>
  <c r="I67"/>
  <c r="H71"/>
  <c r="I83"/>
  <c r="H84"/>
  <c r="I48" i="12"/>
  <c r="I46"/>
  <c r="I44"/>
  <c r="I64"/>
  <c r="I67"/>
  <c r="I65"/>
  <c r="I47"/>
  <c r="I45"/>
  <c r="I50"/>
  <c r="I51"/>
  <c r="I68"/>
  <c r="I66"/>
  <c r="I41"/>
  <c r="H41"/>
  <c r="I40"/>
  <c r="H40"/>
  <c r="H20"/>
  <c r="I21"/>
  <c r="H22"/>
  <c r="I23"/>
  <c r="H26"/>
  <c r="I30"/>
  <c r="H31"/>
  <c r="I32"/>
  <c r="H33"/>
  <c r="I38"/>
  <c r="H39"/>
  <c r="I49"/>
  <c r="H57"/>
  <c r="H70"/>
  <c r="I82"/>
  <c r="I84" s="1"/>
  <c r="H83"/>
  <c r="H41" i="11"/>
  <c r="I41"/>
  <c r="H42"/>
  <c r="H30"/>
  <c r="I31"/>
  <c r="H32"/>
  <c r="I33"/>
  <c r="H39"/>
  <c r="I40"/>
  <c r="H50"/>
  <c r="H71"/>
  <c r="I85"/>
  <c r="I88" s="1"/>
  <c r="H86"/>
  <c r="H42" i="10"/>
  <c r="H41"/>
  <c r="I41"/>
  <c r="H30"/>
  <c r="I31"/>
  <c r="H32"/>
  <c r="I33"/>
  <c r="H39"/>
  <c r="I40"/>
  <c r="H50"/>
  <c r="H71"/>
  <c r="I83"/>
  <c r="I86" s="1"/>
  <c r="H84"/>
  <c r="H42" i="9"/>
  <c r="I41"/>
  <c r="H41"/>
  <c r="I30"/>
  <c r="H31"/>
  <c r="I32"/>
  <c r="H33"/>
  <c r="I39"/>
  <c r="H40"/>
  <c r="I50"/>
  <c r="H58"/>
  <c r="I72"/>
  <c r="I84"/>
  <c r="I87" s="1"/>
  <c r="H85"/>
  <c r="I84" i="8"/>
  <c r="I83"/>
  <c r="I97" i="9" l="1"/>
  <c r="I91" i="13"/>
  <c r="I90" i="12"/>
  <c r="I100" i="11"/>
  <c r="I94" i="10"/>
  <c r="F61" i="8" l="1"/>
  <c r="H59"/>
  <c r="F58"/>
  <c r="H58" s="1"/>
  <c r="H53"/>
  <c r="H52" s="1"/>
  <c r="F52"/>
  <c r="F51"/>
  <c r="E51"/>
  <c r="H51" l="1"/>
  <c r="I58"/>
  <c r="H61"/>
  <c r="F50"/>
  <c r="F49"/>
  <c r="F48"/>
  <c r="F47"/>
  <c r="F46"/>
  <c r="F45"/>
  <c r="H43"/>
  <c r="E42"/>
  <c r="E41"/>
  <c r="F40"/>
  <c r="H40" s="1"/>
  <c r="F39"/>
  <c r="H39" s="1"/>
  <c r="H38"/>
  <c r="H36"/>
  <c r="H35"/>
  <c r="H34"/>
  <c r="F34"/>
  <c r="I34" s="1"/>
  <c r="E34"/>
  <c r="F33"/>
  <c r="I33" s="1"/>
  <c r="H33" s="1"/>
  <c r="F32"/>
  <c r="I32" s="1"/>
  <c r="H32" s="1"/>
  <c r="F31"/>
  <c r="I31" s="1"/>
  <c r="H31" s="1"/>
  <c r="F30"/>
  <c r="I30" s="1"/>
  <c r="H30" s="1"/>
  <c r="I27"/>
  <c r="F26"/>
  <c r="I26" s="1"/>
  <c r="I25"/>
  <c r="H25"/>
  <c r="I24"/>
  <c r="H24"/>
  <c r="F23"/>
  <c r="I23" s="1"/>
  <c r="F22"/>
  <c r="H22" s="1"/>
  <c r="F21"/>
  <c r="I21" s="1"/>
  <c r="F20"/>
  <c r="H20" s="1"/>
  <c r="H27" l="1"/>
  <c r="H21"/>
  <c r="H45"/>
  <c r="H47"/>
  <c r="H49"/>
  <c r="H23"/>
  <c r="I20"/>
  <c r="I22"/>
  <c r="H26"/>
  <c r="I39"/>
  <c r="I40"/>
  <c r="H46"/>
  <c r="H48"/>
  <c r="I50"/>
  <c r="F19"/>
  <c r="I19" s="1"/>
  <c r="H50" l="1"/>
  <c r="H19"/>
  <c r="E18"/>
  <c r="F17"/>
  <c r="H17" s="1"/>
  <c r="F16"/>
  <c r="H16" s="1"/>
  <c r="I16" l="1"/>
  <c r="I17"/>
  <c r="F18"/>
  <c r="H18" s="1"/>
  <c r="F41"/>
  <c r="I41" s="1"/>
  <c r="F42"/>
  <c r="I42" s="1"/>
  <c r="H41"/>
  <c r="H42"/>
  <c r="I18" l="1"/>
  <c r="I86" s="1"/>
  <c r="I96" s="1"/>
</calcChain>
</file>

<file path=xl/sharedStrings.xml><?xml version="1.0" encoding="utf-8"?>
<sst xmlns="http://schemas.openxmlformats.org/spreadsheetml/2006/main" count="2685" uniqueCount="285">
  <si>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</si>
  <si>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</si>
  <si>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</si>
  <si>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</si>
  <si>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</si>
  <si>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</si>
  <si>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</si>
  <si>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</si>
  <si>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</si>
  <si>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</si>
  <si>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</si>
  <si>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</si>
  <si>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</si>
  <si>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</si>
  <si>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</si>
  <si>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</si>
  <si>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</si>
  <si>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</si>
  <si>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</si>
  <si>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</si>
  <si>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</si>
  <si>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</si>
  <si>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</si>
  <si>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</si>
  <si>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</si>
  <si>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</si>
  <si>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</si>
  <si>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</si>
  <si>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</si>
  <si>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</si>
  <si>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</si>
  <si>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</si>
  <si>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</si>
  <si>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</si>
  <si>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</si>
  <si>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</si>
  <si>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</si>
  <si>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</si>
  <si>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</si>
  <si>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</si>
  <si>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</si>
  <si>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</si>
  <si>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</si>
  <si>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</si>
  <si>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</si>
  <si>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</si>
  <si>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</si>
  <si>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</si>
  <si>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</si>
  <si>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</si>
  <si>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</si>
  <si>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</si>
  <si>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</si>
  <si>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</si>
  <si>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</si>
  <si>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</si>
  <si>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</si>
  <si>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</si>
  <si>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</si>
  <si>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</si>
  <si>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</si>
  <si>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</si>
  <si>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</si>
  <si>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</si>
  <si>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</si>
  <si>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</si>
  <si>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</si>
  <si>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</si>
  <si>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</si>
  <si>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</si>
  <si>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</si>
  <si>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</si>
  <si>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</si>
  <si>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</si>
  <si>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</si>
  <si>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</si>
  <si>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</si>
  <si>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</si>
  <si>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</si>
  <si>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</si>
  <si>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</si>
  <si>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</si>
  <si>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</si>
  <si>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</si>
  <si>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</si>
  <si>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</si>
  <si>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</si>
  <si>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</si>
  <si>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</si>
  <si>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</si>
  <si>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</si>
  <si>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</si>
  <si>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</si>
  <si>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</si>
  <si>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</si>
  <si>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</si>
  <si>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</si>
  <si>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</si>
  <si>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</si>
  <si>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</si>
  <si>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</si>
  <si>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</si>
  <si>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</si>
  <si>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</si>
  <si>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</si>
  <si>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</si>
  <si>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</si>
  <si>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</si>
  <si>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</si>
  <si>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</si>
  <si>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</si>
  <si>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</si>
  <si>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</si>
  <si>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</si>
  <si>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</si>
  <si>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</si>
  <si>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</si>
  <si>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</si>
  <si>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</si>
  <si>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</si>
  <si>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</si>
  <si>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</si>
  <si>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</si>
  <si>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</si>
  <si>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</si>
  <si>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</si>
  <si>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ул.Нефтяников пгт.Ярега
</t>
  </si>
  <si>
    <t>Влажная протирка шкафов для щитов и слаботочн.устройств</t>
  </si>
  <si>
    <t>руб/м2 в мес.</t>
  </si>
  <si>
    <t>Возмещение затрат управляющей компании по косметическому ремонту подъездов</t>
  </si>
  <si>
    <t>руб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</si>
  <si>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</si>
  <si>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д.7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</si>
  <si>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</si>
  <si>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</si>
  <si>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</si>
  <si>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</si>
  <si>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2 раз в год</t>
  </si>
  <si>
    <t>Проверка дымоходов</t>
  </si>
  <si>
    <t>5 раз в год</t>
  </si>
  <si>
    <t>водосток</t>
  </si>
  <si>
    <t>Спуск воды после промывки СО в канализацию</t>
  </si>
  <si>
    <t>10 шт.</t>
  </si>
  <si>
    <t>ежемесячно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</si>
  <si>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</si>
  <si>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</si>
  <si>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</si>
  <si>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</si>
  <si>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</si>
  <si>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</si>
  <si>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</si>
  <si>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</si>
  <si>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</si>
  <si>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</si>
  <si>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</si>
  <si>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</si>
  <si>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</si>
  <si>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</si>
  <si>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</si>
  <si>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ООО «Движение»</t>
  </si>
  <si>
    <t>Очистка вручную от снега и наледи люков каналиационных и водопроводных колодцев</t>
  </si>
  <si>
    <t>Организация и содержание мест накопления ТКО</t>
  </si>
  <si>
    <t>21 раз</t>
  </si>
  <si>
    <t>13 раз</t>
  </si>
  <si>
    <t>8 раз</t>
  </si>
  <si>
    <t>2 раза</t>
  </si>
  <si>
    <t>5 раз</t>
  </si>
  <si>
    <t>25 раз</t>
  </si>
  <si>
    <t>6 раз</t>
  </si>
  <si>
    <t>3 раза</t>
  </si>
  <si>
    <t>1 раз</t>
  </si>
  <si>
    <t xml:space="preserve">5 раз </t>
  </si>
  <si>
    <t xml:space="preserve">1 раз    </t>
  </si>
  <si>
    <t xml:space="preserve">1 раз   </t>
  </si>
  <si>
    <t xml:space="preserve">1 раз  </t>
  </si>
  <si>
    <t xml:space="preserve">1 раз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</si>
  <si>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</si>
  <si>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</si>
  <si>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2м/часа</t>
  </si>
  <si>
    <t>1 полотно</t>
  </si>
  <si>
    <t xml:space="preserve">1 раз      </t>
  </si>
  <si>
    <t>1 шт</t>
  </si>
  <si>
    <t>Подключение и отключение сварочного аппарата</t>
  </si>
  <si>
    <t>место</t>
  </si>
  <si>
    <t xml:space="preserve">Осмотр водопроводов, канализации, отопления </t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</si>
  <si>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</si>
  <si>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</si>
  <si>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Кочановой 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</si>
  <si>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за период с 01.01.2021 г. по 31.01.2021 г.</t>
  </si>
  <si>
    <t>1,8 ч ( 21,25,26,28 янв.)</t>
  </si>
  <si>
    <t>Пристрожка полотна по кромкам</t>
  </si>
  <si>
    <t>Очистка канализационной сети внутренней</t>
  </si>
  <si>
    <t>м</t>
  </si>
  <si>
    <t>Ремонт дверной коробки входной двери</t>
  </si>
  <si>
    <t>коробка</t>
  </si>
  <si>
    <t>3 м</t>
  </si>
  <si>
    <t>кв.5 п/с</t>
  </si>
  <si>
    <t>тамбур под.№2</t>
  </si>
  <si>
    <t>под.№2</t>
  </si>
  <si>
    <t>2. Всего за период с 01.01.2021 по 31.01.2021 выполнено работ (оказано услуг) на общую сумму: 42164,67 руб.</t>
  </si>
  <si>
    <t>(сорок две тысячи сто шестьдесят четыре рубля 67 копеек )</t>
  </si>
  <si>
    <t>за период с 01.02.2021 г. по 28.02.2021 г.</t>
  </si>
  <si>
    <t>1,3 ч (1,3,5 февр)</t>
  </si>
  <si>
    <t>Отогрев ХВС+ трансформатор</t>
  </si>
  <si>
    <t>маш/час</t>
  </si>
  <si>
    <t>Ремонт двери</t>
  </si>
  <si>
    <t>2. Всего за период с 01.02.2021 по 29.02.2021 выполнено работ (оказано услуг) на общую сумму: 35482,32 руб.</t>
  </si>
  <si>
    <t>(тридцать пять тысяч четыреста восемьдесят два рубля 32 копейки)</t>
  </si>
  <si>
    <t>за период с 01.03.2021 г. по 31.03.2021 г.</t>
  </si>
  <si>
    <t>2,16,29 марта</t>
  </si>
  <si>
    <t>11 марта</t>
  </si>
  <si>
    <t>Смена внутренних трубопроводов на полипропиленовые трубы PN 20 Dу 20</t>
  </si>
  <si>
    <t>Смена внутренних трубопроводов на полипропиленовые трубы PN 25 Dу 25</t>
  </si>
  <si>
    <t>с/о 4 м  кв.9</t>
  </si>
  <si>
    <t>с/о 0,5 м кв.9</t>
  </si>
  <si>
    <t>2. Всего за период с 01.03.2021 по 31.03.2021 выполнено работ (оказано услуг) на общую сумму: 40084,61 руб.</t>
  </si>
  <si>
    <t>(сорок тысяч восемьдесят четыре рубля 61 копейка)</t>
  </si>
  <si>
    <t>за период с 01.04.2021 г. по 30.04.2021 г.</t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</si>
  <si>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</si>
  <si>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Ремонт отдельных мест покрытия из асбоцементных листов обыкновенного профиля</t>
  </si>
  <si>
    <t>10 м2</t>
  </si>
  <si>
    <t>Шифер</t>
  </si>
  <si>
    <t>Укрепление почтового ящика</t>
  </si>
  <si>
    <t>Разборка  " шахты" для работ ВДИС</t>
  </si>
  <si>
    <t>Установка хомута диаметром до 50 мм</t>
  </si>
  <si>
    <t>тамбур</t>
  </si>
  <si>
    <t>тамбур ХВС</t>
  </si>
  <si>
    <t>1,57 м2</t>
  </si>
  <si>
    <t>за период с 01.05.2021 г. по 31.05.2021 г.</t>
  </si>
  <si>
    <t>Установка скамейки ( под №1)</t>
  </si>
  <si>
    <t>2. Всего за период с 01.05.2021 по 31.05.2021 выполнено работ (оказано услуг) на общую сумму: 39434,72 руб.</t>
  </si>
  <si>
    <t>(тридцать девять тысяч четыреста тридцать четыре рубля 72 копейки)</t>
  </si>
  <si>
    <t>за период с 01.06.2021 г. по 30.06.2021 г.</t>
  </si>
  <si>
    <t>0,5 м с/о кв.5, 6 м с/о кв.30</t>
  </si>
  <si>
    <t>Водоснабжение и канализация</t>
  </si>
  <si>
    <t>2. Всего за период с 01.06.2021 по 30.06.2021 выполнено работ (оказано услуг) на общую сумму: 90769,58 руб.</t>
  </si>
  <si>
    <t>(девяносто тысяч семьсот шестьдесят девять рублей 58 копеек)</t>
  </si>
  <si>
    <t>2. Всего за период с 01.04.2021 по 30.04.2021 выполнено работ (оказано услуг) на общую сумму: 26265,74 руб.</t>
  </si>
  <si>
    <t>(двадцать честь тысяч двести шестьдесят пять рублей 74 копейки)</t>
  </si>
  <si>
    <t>за период с 01.07.2021 г. по 31.07.2021 г.</t>
  </si>
  <si>
    <t xml:space="preserve">1 раз     </t>
  </si>
  <si>
    <t>3 м/часа</t>
  </si>
  <si>
    <t>Оштукатуривание у кв.26</t>
  </si>
  <si>
    <t>5шт.</t>
  </si>
  <si>
    <t>9,5 м2</t>
  </si>
  <si>
    <t>п/с кв.30</t>
  </si>
  <si>
    <t>2. Всего за период с 01.07.2021 по 31.07.2021 выполнено работ (оказано услуг) на общую сумму: 34683,13 руб.</t>
  </si>
  <si>
    <t>(тридцать четыре тысячи шестьсот восемьдесят три рубля 13 копеек)</t>
  </si>
  <si>
    <t>за период с 01.08.2021 г. по 31.08.2021 г.</t>
  </si>
  <si>
    <t>Нумерация подъездов и квартир</t>
  </si>
  <si>
    <t>Подборка мусора, налетевшего с контейнерной площадки</t>
  </si>
  <si>
    <t>Смена арматуры - вентилей и клапанов обратных муфтовых диаметром до 20 мм</t>
  </si>
  <si>
    <t>Смена арматуры - вентилей и клапанов обратных муфтовых диаметром до 32 мм</t>
  </si>
  <si>
    <t>2 м с/о под.№1</t>
  </si>
  <si>
    <t>2 шт. с/о под.№1</t>
  </si>
  <si>
    <t>1 шт. с/о под.№1</t>
  </si>
  <si>
    <t>2. Всего за период с 01.08.2021 по 31.08.2021 выполнено работ (оказано услуг) на общую сумму: 26970,04 руб.</t>
  </si>
  <si>
    <t>(двадцать шесть тысяч девятьсот семьдесят рублей 04 копейки)</t>
  </si>
  <si>
    <t>за период с 01.09.2021 г. по 30.09.2021 г.</t>
  </si>
  <si>
    <t>Смена дверных приборов /замки навесные)</t>
  </si>
  <si>
    <t>Смена дверных приборов - проушин</t>
  </si>
  <si>
    <t>10 шт</t>
  </si>
  <si>
    <t>5,7 м2</t>
  </si>
  <si>
    <t>3 шт</t>
  </si>
  <si>
    <t>под.№3 черд</t>
  </si>
  <si>
    <t>1 м/час</t>
  </si>
  <si>
    <t>2. Всего за период с 01.09.2021 по 30.09.2021 выполнено работ (оказано услуг) на общую сумму: 38788,30 руб.</t>
  </si>
  <si>
    <t>(тридцать восемь тысяч семьсот восемьдесят восемь рублей 30 копеек)</t>
  </si>
  <si>
    <t>за период с 01.10.2021 г. по 31.10.2021 г.</t>
  </si>
  <si>
    <t>Внеплановая проверка вентканалов</t>
  </si>
  <si>
    <t>Внеплановая проверка дымоходов</t>
  </si>
  <si>
    <t>кв.5</t>
  </si>
  <si>
    <t>2,5 м</t>
  </si>
  <si>
    <t>2. Всего за период с 01.10.2021 по 31.10.2021 выполнено работ (оказано услуг) на общую сумму: 21616,80 руб.</t>
  </si>
  <si>
    <t>(двадцать одна тысяча шестьсот шестнадцать рублей 80 копеек)</t>
  </si>
  <si>
    <t>за период с 01.11.2021 г. по 30.11.2021 г.</t>
  </si>
  <si>
    <t>22,30 ноября</t>
  </si>
  <si>
    <t>Заделка подвальных окон фанерой</t>
  </si>
  <si>
    <t>2. Всего за период с 01.11.2021 по 30.11.2021 выполнено работ (оказано услуг) на общую сумму: 35983,40 руб.</t>
  </si>
  <si>
    <t>(тридцать пять тысяч девятьсот восемьдесят три рубля 40 копеек)</t>
  </si>
  <si>
    <t>за период с 01.12.2021 г. по 31.12.2021 г.</t>
  </si>
  <si>
    <t>2,16,30 декабря</t>
  </si>
  <si>
    <t>100шт</t>
  </si>
  <si>
    <t>2. Всего за период с 01.12.2021 по 31.12.2021 выполнено работ (оказано услуг) на общую сумму: 29941,64 руб.</t>
  </si>
  <si>
    <t>(двадцать девять тысяч девятьсот сорок один рубль 64 копейки)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</si>
</sst>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14" fontId="11" fillId="0" borderId="3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topLeftCell="A62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131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188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7"/>
      <c r="G6" s="57"/>
      <c r="H6" s="67"/>
      <c r="I6" s="30">
        <v>44227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98</v>
      </c>
      <c r="C30" s="82" t="s">
        <v>99</v>
      </c>
      <c r="D30" s="81" t="s">
        <v>100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101</v>
      </c>
      <c r="C31" s="82" t="s">
        <v>99</v>
      </c>
      <c r="D31" s="81" t="s">
        <v>102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103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104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31.5" customHeight="1">
      <c r="A38" s="33">
        <v>5</v>
      </c>
      <c r="B38" s="81" t="s">
        <v>25</v>
      </c>
      <c r="C38" s="82" t="s">
        <v>30</v>
      </c>
      <c r="D38" s="81" t="s">
        <v>189</v>
      </c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>G38*1.8</f>
        <v>3420.6659999999997</v>
      </c>
      <c r="J38" s="23"/>
    </row>
    <row r="39" spans="1:14" ht="15.75" customHeight="1">
      <c r="A39" s="33">
        <v>6</v>
      </c>
      <c r="B39" s="81" t="s">
        <v>66</v>
      </c>
      <c r="C39" s="82" t="s">
        <v>28</v>
      </c>
      <c r="D39" s="81" t="s">
        <v>166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ref="I39:I41" si="2">F39/6*G39</f>
        <v>631.88233500000001</v>
      </c>
      <c r="J39" s="23"/>
    </row>
    <row r="40" spans="1:14" ht="15.75" customHeight="1">
      <c r="A40" s="33">
        <v>7</v>
      </c>
      <c r="B40" s="81" t="s">
        <v>67</v>
      </c>
      <c r="C40" s="82" t="s">
        <v>28</v>
      </c>
      <c r="D40" s="81" t="s">
        <v>167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8</v>
      </c>
      <c r="B41" s="81" t="s">
        <v>79</v>
      </c>
      <c r="C41" s="82" t="s">
        <v>99</v>
      </c>
      <c r="D41" s="81" t="s">
        <v>168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9</v>
      </c>
      <c r="B42" s="81" t="s">
        <v>108</v>
      </c>
      <c r="C42" s="82" t="s">
        <v>99</v>
      </c>
      <c r="D42" s="81" t="s">
        <v>170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G42*F42/20*1</f>
        <v>25.765635000000003</v>
      </c>
      <c r="J42" s="23"/>
      <c r="L42" s="19"/>
      <c r="M42" s="20"/>
      <c r="N42" s="21"/>
    </row>
    <row r="43" spans="1:14" ht="15.75" customHeight="1">
      <c r="A43" s="33">
        <v>10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G43*F43/20*1</f>
        <v>24.824249999999999</v>
      </c>
      <c r="J43" s="23"/>
      <c r="L43" s="19"/>
      <c r="M43" s="20"/>
      <c r="N43" s="21"/>
    </row>
    <row r="44" spans="1:14" ht="15.75" customHeight="1">
      <c r="A44" s="151" t="s">
        <v>133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15.75" hidden="1" customHeight="1">
      <c r="A45" s="41">
        <v>15</v>
      </c>
      <c r="B45" s="81" t="s">
        <v>110</v>
      </c>
      <c r="C45" s="82" t="s">
        <v>99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41"/>
      <c r="B46" s="81" t="s">
        <v>34</v>
      </c>
      <c r="C46" s="82" t="s">
        <v>99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15.75" hidden="1" customHeight="1">
      <c r="A47" s="41">
        <v>16</v>
      </c>
      <c r="B47" s="81" t="s">
        <v>35</v>
      </c>
      <c r="C47" s="82" t="s">
        <v>99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17</v>
      </c>
      <c r="B48" s="81" t="s">
        <v>36</v>
      </c>
      <c r="C48" s="82" t="s">
        <v>99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18</v>
      </c>
      <c r="B49" s="81" t="s">
        <v>32</v>
      </c>
      <c r="C49" s="82" t="s">
        <v>33</v>
      </c>
      <c r="D49" s="81" t="s">
        <v>137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15.75" customHeight="1">
      <c r="A50" s="41">
        <v>11</v>
      </c>
      <c r="B50" s="81" t="s">
        <v>55</v>
      </c>
      <c r="C50" s="82" t="s">
        <v>99</v>
      </c>
      <c r="D50" s="81" t="s">
        <v>170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1.5" hidden="1" customHeight="1">
      <c r="A51" s="41">
        <v>13</v>
      </c>
      <c r="B51" s="81" t="s">
        <v>111</v>
      </c>
      <c r="C51" s="82" t="s">
        <v>99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v>0</v>
      </c>
      <c r="J51" s="23"/>
      <c r="L51" s="19"/>
      <c r="M51" s="20"/>
      <c r="N51" s="21"/>
    </row>
    <row r="52" spans="1:14" ht="31.5" hidden="1" customHeight="1">
      <c r="A52" s="41">
        <v>14</v>
      </c>
      <c r="B52" s="81" t="s">
        <v>112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v>0</v>
      </c>
      <c r="J52" s="23"/>
      <c r="L52" s="19"/>
      <c r="M52" s="20"/>
      <c r="N52" s="21"/>
    </row>
    <row r="53" spans="1:14" ht="15.75" hidden="1" customHeight="1">
      <c r="A53" s="41">
        <v>15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v>0</v>
      </c>
      <c r="J53" s="23"/>
      <c r="L53" s="19"/>
      <c r="M53" s="20"/>
      <c r="N53" s="21"/>
    </row>
    <row r="54" spans="1:14" ht="15.75" customHeight="1">
      <c r="A54" s="41">
        <v>12</v>
      </c>
      <c r="B54" s="81" t="s">
        <v>138</v>
      </c>
      <c r="C54" s="82" t="s">
        <v>29</v>
      </c>
      <c r="D54" s="124">
        <v>44225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15.75" customHeight="1">
      <c r="A55" s="41">
        <v>13</v>
      </c>
      <c r="B55" s="81" t="s">
        <v>40</v>
      </c>
      <c r="C55" s="82" t="s">
        <v>29</v>
      </c>
      <c r="D55" s="124">
        <v>44225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134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5.75" customHeight="1">
      <c r="A57" s="53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1">
        <v>14</v>
      </c>
      <c r="B58" s="81" t="s">
        <v>114</v>
      </c>
      <c r="C58" s="82" t="s">
        <v>140</v>
      </c>
      <c r="D58" s="81" t="s">
        <v>170</v>
      </c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F58/6*G58</f>
        <v>288.32749999999999</v>
      </c>
      <c r="J58" s="23"/>
      <c r="L58" s="19"/>
      <c r="M58" s="20"/>
      <c r="N58" s="21"/>
    </row>
    <row r="59" spans="1:14" ht="15.75" hidden="1" customHeight="1">
      <c r="A59" s="41"/>
      <c r="B59" s="91" t="s">
        <v>82</v>
      </c>
      <c r="C59" s="92" t="s">
        <v>115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v>0</v>
      </c>
      <c r="J59" s="23"/>
      <c r="L59" s="19"/>
      <c r="M59" s="20"/>
      <c r="N59" s="21"/>
    </row>
    <row r="60" spans="1:14" ht="15.75" hidden="1" customHeight="1">
      <c r="A60" s="41"/>
      <c r="B60" s="62" t="s">
        <v>43</v>
      </c>
      <c r="C60" s="62"/>
      <c r="D60" s="62"/>
      <c r="E60" s="62"/>
      <c r="F60" s="75"/>
      <c r="G60" s="63"/>
      <c r="H60" s="63"/>
      <c r="I60" s="35"/>
      <c r="J60" s="23"/>
      <c r="L60" s="19"/>
      <c r="M60" s="20"/>
      <c r="N60" s="21"/>
    </row>
    <row r="61" spans="1:14" ht="15.75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customHeight="1">
      <c r="A62" s="41"/>
      <c r="B62" s="62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113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1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113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116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117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118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141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43"/>
      <c r="S69" s="143"/>
      <c r="T69" s="143"/>
      <c r="U69" s="143"/>
    </row>
    <row r="70" spans="1:22" ht="15.7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15</v>
      </c>
      <c r="B71" s="97" t="s">
        <v>83</v>
      </c>
      <c r="C71" s="41" t="s">
        <v>128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4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120</v>
      </c>
      <c r="C73" s="16" t="s">
        <v>121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5">SUM(F73*G73/1000)</f>
        <v>0.97639999999999993</v>
      </c>
      <c r="I73" s="13">
        <v>0</v>
      </c>
    </row>
    <row r="74" spans="1:22" ht="15.75" hidden="1" customHeight="1">
      <c r="A74" s="29"/>
      <c r="B74" s="97" t="s">
        <v>122</v>
      </c>
      <c r="C74" s="16" t="s">
        <v>123</v>
      </c>
      <c r="D74" s="97"/>
      <c r="E74" s="18">
        <v>1</v>
      </c>
      <c r="F74" s="13">
        <v>1</v>
      </c>
      <c r="G74" s="13">
        <v>650</v>
      </c>
      <c r="H74" s="98">
        <f t="shared" si="5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142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5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5"/>
        <v>1.0614100000000002</v>
      </c>
      <c r="I76" s="13">
        <v>0</v>
      </c>
    </row>
    <row r="77" spans="1:22" ht="15.75" hidden="1" customHeight="1">
      <c r="A77" s="29">
        <v>15</v>
      </c>
      <c r="B77" s="97" t="s">
        <v>84</v>
      </c>
      <c r="C77" s="16" t="s">
        <v>29</v>
      </c>
      <c r="D77" s="97"/>
      <c r="E77" s="18">
        <v>1</v>
      </c>
      <c r="F77" s="84">
        <f>SUM(E77)</f>
        <v>1</v>
      </c>
      <c r="G77" s="13">
        <v>446.12</v>
      </c>
      <c r="H77" s="98">
        <f t="shared" si="5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124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6">SUM(F79*G79/1000)</f>
        <v>4.4637839999999995</v>
      </c>
      <c r="I79" s="13">
        <v>0</v>
      </c>
    </row>
    <row r="80" spans="1:22" ht="15.75" hidden="1" customHeight="1">
      <c r="A80" s="53"/>
      <c r="B80" s="62" t="s">
        <v>119</v>
      </c>
      <c r="C80" s="62"/>
      <c r="D80" s="62"/>
      <c r="E80" s="62"/>
      <c r="F80" s="68"/>
      <c r="G80" s="62"/>
      <c r="H80" s="68"/>
      <c r="I80" s="18"/>
    </row>
    <row r="81" spans="1:9" ht="15.75" hidden="1" customHeight="1">
      <c r="A81" s="29">
        <v>36</v>
      </c>
      <c r="B81" s="81" t="s">
        <v>86</v>
      </c>
      <c r="C81" s="16"/>
      <c r="D81" s="97"/>
      <c r="E81" s="101"/>
      <c r="F81" s="13">
        <v>1</v>
      </c>
      <c r="G81" s="13">
        <v>13707.8</v>
      </c>
      <c r="H81" s="98">
        <f>G81*F81/1000</f>
        <v>13.707799999999999</v>
      </c>
      <c r="I81" s="13">
        <v>0</v>
      </c>
    </row>
    <row r="82" spans="1:9" ht="15.75" customHeight="1">
      <c r="A82" s="136" t="s">
        <v>135</v>
      </c>
      <c r="B82" s="137"/>
      <c r="C82" s="137"/>
      <c r="D82" s="137"/>
      <c r="E82" s="137"/>
      <c r="F82" s="137"/>
      <c r="G82" s="137"/>
      <c r="H82" s="137"/>
      <c r="I82" s="138"/>
    </row>
    <row r="83" spans="1:9" ht="15.75" customHeight="1">
      <c r="A83" s="29">
        <v>16</v>
      </c>
      <c r="B83" s="81" t="s">
        <v>125</v>
      </c>
      <c r="C83" s="16" t="s">
        <v>54</v>
      </c>
      <c r="D83" s="102"/>
      <c r="E83" s="13">
        <v>1839.1</v>
      </c>
      <c r="F83" s="13">
        <f>SUM(E83*12)</f>
        <v>22069.199999999997</v>
      </c>
      <c r="G83" s="13">
        <v>2.95</v>
      </c>
      <c r="H83" s="98">
        <f>SUM(F83*G83/1000)</f>
        <v>65.104139999999987</v>
      </c>
      <c r="I83" s="13">
        <f>F83/12*G83</f>
        <v>5425.3449999999993</v>
      </c>
    </row>
    <row r="84" spans="1:9" ht="31.5" customHeight="1">
      <c r="A84" s="29">
        <v>17</v>
      </c>
      <c r="B84" s="97" t="s">
        <v>76</v>
      </c>
      <c r="C84" s="16"/>
      <c r="D84" s="102"/>
      <c r="E84" s="83">
        <v>1839.1</v>
      </c>
      <c r="F84" s="13">
        <f>E84*12</f>
        <v>22069.199999999997</v>
      </c>
      <c r="G84" s="13">
        <v>3.05</v>
      </c>
      <c r="H84" s="98">
        <f>F84*G84/1000</f>
        <v>67.311059999999983</v>
      </c>
      <c r="I84" s="13">
        <f>F84/12*G84</f>
        <v>5609.2549999999983</v>
      </c>
    </row>
    <row r="85" spans="1:9" ht="31.5" hidden="1" customHeight="1">
      <c r="A85" s="29">
        <v>18</v>
      </c>
      <c r="B85" s="97" t="s">
        <v>129</v>
      </c>
      <c r="C85" s="16" t="s">
        <v>130</v>
      </c>
      <c r="D85" s="102"/>
      <c r="E85" s="101"/>
      <c r="F85" s="13"/>
      <c r="G85" s="13"/>
      <c r="H85" s="98">
        <v>59.113</v>
      </c>
      <c r="I85" s="13">
        <v>4926.08</v>
      </c>
    </row>
    <row r="86" spans="1:9" ht="15.75" customHeight="1">
      <c r="A86" s="53"/>
      <c r="B86" s="40" t="s">
        <v>78</v>
      </c>
      <c r="C86" s="41"/>
      <c r="D86" s="15"/>
      <c r="E86" s="15"/>
      <c r="F86" s="15"/>
      <c r="G86" s="18"/>
      <c r="H86" s="18"/>
      <c r="I86" s="121">
        <f>I84+I83+I71+I50+I43+I42+I41+I40+I39+I38+I27+I18+I17+I16+I55+I54+I58</f>
        <v>40787.156329666665</v>
      </c>
    </row>
    <row r="87" spans="1:9" ht="15.75" customHeight="1">
      <c r="A87" s="139" t="s">
        <v>59</v>
      </c>
      <c r="B87" s="140"/>
      <c r="C87" s="140"/>
      <c r="D87" s="140"/>
      <c r="E87" s="140"/>
      <c r="F87" s="140"/>
      <c r="G87" s="140"/>
      <c r="H87" s="140"/>
      <c r="I87" s="141"/>
    </row>
    <row r="88" spans="1:9" ht="15.75" customHeight="1">
      <c r="A88" s="29">
        <v>18</v>
      </c>
      <c r="B88" s="97" t="s">
        <v>157</v>
      </c>
      <c r="C88" s="16" t="s">
        <v>158</v>
      </c>
      <c r="D88" s="97"/>
      <c r="E88" s="18"/>
      <c r="F88" s="13">
        <v>24</v>
      </c>
      <c r="G88" s="13">
        <v>1.4</v>
      </c>
      <c r="H88" s="13">
        <f>F88*G88/1000</f>
        <v>3.3599999999999991E-2</v>
      </c>
      <c r="I88" s="13">
        <f>G88*12</f>
        <v>16.799999999999997</v>
      </c>
    </row>
    <row r="89" spans="1:9" ht="33" customHeight="1">
      <c r="A89" s="29">
        <v>19</v>
      </c>
      <c r="B89" s="119" t="s">
        <v>160</v>
      </c>
      <c r="C89" s="65" t="s">
        <v>28</v>
      </c>
      <c r="D89" s="97"/>
      <c r="E89" s="18"/>
      <c r="F89" s="13">
        <v>2.2000000000000002</v>
      </c>
      <c r="G89" s="118">
        <v>21369.24</v>
      </c>
      <c r="H89" s="13">
        <f>F89*G89/1000</f>
        <v>47.012328000000011</v>
      </c>
      <c r="I89" s="13">
        <f>G89*6*0.599/1000</f>
        <v>76.801048559999998</v>
      </c>
    </row>
    <row r="90" spans="1:9" ht="16.5" customHeight="1">
      <c r="A90" s="29">
        <v>20</v>
      </c>
      <c r="B90" s="119" t="s">
        <v>190</v>
      </c>
      <c r="C90" s="65" t="s">
        <v>179</v>
      </c>
      <c r="D90" s="126" t="s">
        <v>197</v>
      </c>
      <c r="E90" s="36"/>
      <c r="F90" s="36">
        <v>1</v>
      </c>
      <c r="G90" s="36">
        <v>362.5</v>
      </c>
      <c r="H90" s="129">
        <f>G90*F90/1000</f>
        <v>0.36249999999999999</v>
      </c>
      <c r="I90" s="13">
        <f>G90*1</f>
        <v>362.5</v>
      </c>
    </row>
    <row r="91" spans="1:9" ht="31.5" customHeight="1">
      <c r="A91" s="29">
        <v>21</v>
      </c>
      <c r="B91" s="119" t="s">
        <v>176</v>
      </c>
      <c r="C91" s="65" t="s">
        <v>177</v>
      </c>
      <c r="D91" s="126" t="s">
        <v>196</v>
      </c>
      <c r="E91" s="36"/>
      <c r="F91" s="36">
        <v>1</v>
      </c>
      <c r="G91" s="36">
        <v>64.040000000000006</v>
      </c>
      <c r="H91" s="129">
        <f>G91*F91/1000</f>
        <v>6.404E-2</v>
      </c>
      <c r="I91" s="13">
        <f>G91*1</f>
        <v>64.040000000000006</v>
      </c>
    </row>
    <row r="92" spans="1:9" ht="17.25" customHeight="1">
      <c r="A92" s="29">
        <v>22</v>
      </c>
      <c r="B92" s="119" t="s">
        <v>191</v>
      </c>
      <c r="C92" s="65" t="s">
        <v>192</v>
      </c>
      <c r="D92" s="126" t="s">
        <v>195</v>
      </c>
      <c r="E92" s="36"/>
      <c r="F92" s="36">
        <v>3</v>
      </c>
      <c r="G92" s="36">
        <v>295.36</v>
      </c>
      <c r="H92" s="129">
        <f>G92*F92/1000</f>
        <v>0.88608000000000009</v>
      </c>
      <c r="I92" s="13">
        <v>0</v>
      </c>
    </row>
    <row r="93" spans="1:9" ht="15.75" customHeight="1">
      <c r="A93" s="29">
        <v>23</v>
      </c>
      <c r="B93" s="127" t="s">
        <v>193</v>
      </c>
      <c r="C93" s="65" t="s">
        <v>194</v>
      </c>
      <c r="D93" s="130" t="s">
        <v>198</v>
      </c>
      <c r="E93" s="36"/>
      <c r="F93" s="36">
        <v>1</v>
      </c>
      <c r="G93" s="36">
        <v>857.37</v>
      </c>
      <c r="H93" s="129">
        <f>G93*F93/1000</f>
        <v>0.85736999999999997</v>
      </c>
      <c r="I93" s="13">
        <f>G93*1</f>
        <v>857.37</v>
      </c>
    </row>
    <row r="94" spans="1:9" ht="15.75" customHeight="1">
      <c r="A94" s="29"/>
      <c r="B94" s="46" t="s">
        <v>51</v>
      </c>
      <c r="C94" s="42"/>
      <c r="D94" s="54"/>
      <c r="E94" s="42">
        <v>1</v>
      </c>
      <c r="F94" s="42"/>
      <c r="G94" s="42"/>
      <c r="H94" s="42"/>
      <c r="I94" s="120">
        <f>SUM(I88:I93)</f>
        <v>1377.5110485599998</v>
      </c>
    </row>
    <row r="95" spans="1:9" ht="15.75" customHeight="1">
      <c r="A95" s="29"/>
      <c r="B95" s="52" t="s">
        <v>77</v>
      </c>
      <c r="C95" s="15"/>
      <c r="D95" s="15"/>
      <c r="E95" s="43"/>
      <c r="F95" s="43"/>
      <c r="G95" s="44"/>
      <c r="H95" s="44"/>
      <c r="I95" s="17">
        <v>0</v>
      </c>
    </row>
    <row r="96" spans="1:9" ht="15.75" customHeight="1">
      <c r="A96" s="55"/>
      <c r="B96" s="47" t="s">
        <v>136</v>
      </c>
      <c r="C96" s="34"/>
      <c r="D96" s="34"/>
      <c r="E96" s="34"/>
      <c r="F96" s="34"/>
      <c r="G96" s="34"/>
      <c r="H96" s="34"/>
      <c r="I96" s="45">
        <f>I94+I86</f>
        <v>42164.667378226666</v>
      </c>
    </row>
    <row r="97" spans="1:9" ht="15.75">
      <c r="A97" s="142" t="s">
        <v>199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>
      <c r="A98" s="61"/>
      <c r="B98" s="158" t="s">
        <v>200</v>
      </c>
      <c r="C98" s="158"/>
      <c r="D98" s="158"/>
      <c r="E98" s="158"/>
      <c r="F98" s="158"/>
      <c r="G98" s="158"/>
      <c r="H98" s="79"/>
      <c r="I98" s="3"/>
    </row>
    <row r="99" spans="1:9">
      <c r="A99" s="56"/>
      <c r="B99" s="154" t="s">
        <v>6</v>
      </c>
      <c r="C99" s="154"/>
      <c r="D99" s="154"/>
      <c r="E99" s="154"/>
      <c r="F99" s="154"/>
      <c r="G99" s="154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62" t="s">
        <v>7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62" t="s">
        <v>8</v>
      </c>
      <c r="B102" s="162"/>
      <c r="C102" s="162"/>
      <c r="D102" s="162"/>
      <c r="E102" s="162"/>
      <c r="F102" s="162"/>
      <c r="G102" s="162"/>
      <c r="H102" s="162"/>
      <c r="I102" s="162"/>
    </row>
    <row r="103" spans="1:9" ht="15.75">
      <c r="A103" s="159" t="s">
        <v>60</v>
      </c>
      <c r="B103" s="159"/>
      <c r="C103" s="159"/>
      <c r="D103" s="159"/>
      <c r="E103" s="159"/>
      <c r="F103" s="159"/>
      <c r="G103" s="159"/>
      <c r="H103" s="159"/>
      <c r="I103" s="159"/>
    </row>
    <row r="104" spans="1:9" ht="15.75">
      <c r="A104" s="11"/>
    </row>
    <row r="105" spans="1:9" ht="15.75">
      <c r="A105" s="160" t="s">
        <v>9</v>
      </c>
      <c r="B105" s="160"/>
      <c r="C105" s="160"/>
      <c r="D105" s="160"/>
      <c r="E105" s="160"/>
      <c r="F105" s="160"/>
      <c r="G105" s="160"/>
      <c r="H105" s="160"/>
      <c r="I105" s="160"/>
    </row>
    <row r="106" spans="1:9" ht="15.75">
      <c r="A106" s="4"/>
    </row>
    <row r="107" spans="1:9" ht="15.75">
      <c r="B107" s="59" t="s">
        <v>10</v>
      </c>
      <c r="C107" s="161" t="s">
        <v>186</v>
      </c>
      <c r="D107" s="161"/>
      <c r="E107" s="161"/>
      <c r="F107" s="77"/>
      <c r="I107" s="60"/>
    </row>
    <row r="108" spans="1:9">
      <c r="A108" s="56"/>
      <c r="C108" s="154" t="s">
        <v>11</v>
      </c>
      <c r="D108" s="154"/>
      <c r="E108" s="154"/>
      <c r="F108" s="24"/>
      <c r="I108" s="58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9" t="s">
        <v>13</v>
      </c>
      <c r="C110" s="156"/>
      <c r="D110" s="156"/>
      <c r="E110" s="156"/>
      <c r="F110" s="78"/>
      <c r="I110" s="60"/>
    </row>
    <row r="111" spans="1:9">
      <c r="A111" s="56"/>
      <c r="C111" s="143" t="s">
        <v>11</v>
      </c>
      <c r="D111" s="143"/>
      <c r="E111" s="143"/>
      <c r="F111" s="66"/>
      <c r="I111" s="58" t="s">
        <v>12</v>
      </c>
    </row>
    <row r="112" spans="1:9" ht="15.75">
      <c r="A112" s="4" t="s">
        <v>14</v>
      </c>
    </row>
    <row r="113" spans="1:9">
      <c r="A113" s="157" t="s">
        <v>15</v>
      </c>
      <c r="B113" s="157"/>
      <c r="C113" s="157"/>
      <c r="D113" s="157"/>
      <c r="E113" s="157"/>
      <c r="F113" s="157"/>
      <c r="G113" s="157"/>
      <c r="H113" s="157"/>
      <c r="I113" s="157"/>
    </row>
    <row r="114" spans="1:9" ht="45" customHeight="1">
      <c r="A114" s="155" t="s">
        <v>16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30" customHeight="1">
      <c r="A115" s="155" t="s">
        <v>17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30" customHeight="1">
      <c r="A116" s="155" t="s">
        <v>21</v>
      </c>
      <c r="B116" s="155"/>
      <c r="C116" s="155"/>
      <c r="D116" s="155"/>
      <c r="E116" s="155"/>
      <c r="F116" s="155"/>
      <c r="G116" s="155"/>
      <c r="H116" s="155"/>
      <c r="I116" s="155"/>
    </row>
    <row r="117" spans="1:9" ht="15.75">
      <c r="A117" s="155" t="s">
        <v>20</v>
      </c>
      <c r="B117" s="155"/>
      <c r="C117" s="155"/>
      <c r="D117" s="155"/>
      <c r="E117" s="155"/>
      <c r="F117" s="155"/>
      <c r="G117" s="155"/>
      <c r="H117" s="155"/>
      <c r="I117" s="155"/>
    </row>
  </sheetData>
  <autoFilter ref="I12:I64"/>
  <mergeCells count="29">
    <mergeCell ref="B98:G98"/>
    <mergeCell ref="B99:G99"/>
    <mergeCell ref="A103:I103"/>
    <mergeCell ref="A105:I105"/>
    <mergeCell ref="C107:E107"/>
    <mergeCell ref="A101:I101"/>
    <mergeCell ref="A102:I102"/>
    <mergeCell ref="C108:E108"/>
    <mergeCell ref="A116:I116"/>
    <mergeCell ref="A117:I117"/>
    <mergeCell ref="C110:E110"/>
    <mergeCell ref="C111:E111"/>
    <mergeCell ref="A113:I113"/>
    <mergeCell ref="A114:I114"/>
    <mergeCell ref="A115:I115"/>
    <mergeCell ref="A82:I82"/>
    <mergeCell ref="A87:I87"/>
    <mergeCell ref="A97:I97"/>
    <mergeCell ref="R69:U69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18" workbookViewId="0">
      <selection activeCell="B82" sqref="B82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154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268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44500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4</v>
      </c>
      <c r="B30" s="32" t="s">
        <v>98</v>
      </c>
      <c r="C30" s="82" t="s">
        <v>99</v>
      </c>
      <c r="D30" s="81" t="s">
        <v>164</v>
      </c>
      <c r="E30" s="84">
        <v>58</v>
      </c>
      <c r="F30" s="84">
        <f>SUM(E30*52/1000)</f>
        <v>3.016</v>
      </c>
      <c r="G30" s="84">
        <v>193.97</v>
      </c>
      <c r="H30" s="85">
        <f t="shared" ref="H30:H33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5</v>
      </c>
      <c r="B31" s="32" t="s">
        <v>101</v>
      </c>
      <c r="C31" s="82" t="s">
        <v>99</v>
      </c>
      <c r="D31" s="81" t="s">
        <v>163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6</v>
      </c>
      <c r="B33" s="32" t="s">
        <v>103</v>
      </c>
      <c r="C33" s="82" t="s">
        <v>39</v>
      </c>
      <c r="D33" s="81" t="s">
        <v>167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>SUM(F34*G34/1000)</f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>SUM(F35*G35/1000)</f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105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106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99</v>
      </c>
      <c r="D40" s="81" t="s">
        <v>107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108</v>
      </c>
      <c r="C41" s="82" t="s">
        <v>99</v>
      </c>
      <c r="D41" s="81" t="s">
        <v>109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hidden="1" customHeight="1">
      <c r="A43" s="151" t="s">
        <v>133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12</v>
      </c>
      <c r="B44" s="81" t="s">
        <v>110</v>
      </c>
      <c r="C44" s="82" t="s">
        <v>99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13</v>
      </c>
      <c r="B45" s="81" t="s">
        <v>34</v>
      </c>
      <c r="C45" s="82" t="s">
        <v>99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14</v>
      </c>
      <c r="B46" s="81" t="s">
        <v>35</v>
      </c>
      <c r="C46" s="82" t="s">
        <v>99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15</v>
      </c>
      <c r="B47" s="81" t="s">
        <v>36</v>
      </c>
      <c r="C47" s="82" t="s">
        <v>99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16</v>
      </c>
      <c r="B48" s="81" t="s">
        <v>32</v>
      </c>
      <c r="C48" s="82" t="s">
        <v>33</v>
      </c>
      <c r="D48" s="81" t="s">
        <v>137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17</v>
      </c>
      <c r="B49" s="81" t="s">
        <v>55</v>
      </c>
      <c r="C49" s="82" t="s">
        <v>99</v>
      </c>
      <c r="D49" s="81" t="s">
        <v>139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10</v>
      </c>
      <c r="B50" s="81" t="s">
        <v>111</v>
      </c>
      <c r="C50" s="82" t="s">
        <v>99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11</v>
      </c>
      <c r="B51" s="81" t="s">
        <v>112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12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hidden="1" customHeight="1">
      <c r="A53" s="41">
        <v>13</v>
      </c>
      <c r="B53" s="81" t="s">
        <v>138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14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134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114</v>
      </c>
      <c r="C57" s="82" t="s">
        <v>140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115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17</v>
      </c>
      <c r="B62" s="97" t="s">
        <v>46</v>
      </c>
      <c r="C62" s="16" t="s">
        <v>113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0" si="7">SUM(F62*G62/1000)</f>
        <v>0.27673999999999999</v>
      </c>
      <c r="I62" s="13">
        <v>0</v>
      </c>
    </row>
    <row r="63" spans="1:14" ht="15.75" hidden="1" customHeight="1">
      <c r="A63" s="29">
        <v>29</v>
      </c>
      <c r="B63" s="97" t="s">
        <v>47</v>
      </c>
      <c r="C63" s="16" t="s">
        <v>113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116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117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118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141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43"/>
      <c r="S68" s="143"/>
      <c r="T68" s="143"/>
      <c r="U68" s="143"/>
    </row>
    <row r="69" spans="1:22" ht="15.75" hidden="1" customHeight="1">
      <c r="A69" s="29">
        <v>18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f>F69*G69</f>
        <v>124.14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7.25" customHeight="1">
      <c r="A70" s="29">
        <v>7</v>
      </c>
      <c r="B70" s="97" t="s">
        <v>83</v>
      </c>
      <c r="C70" s="41" t="s">
        <v>128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7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120</v>
      </c>
      <c r="C72" s="16" t="s">
        <v>121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9">SUM(F72*G72/1000)</f>
        <v>0.97639999999999993</v>
      </c>
      <c r="I72" s="13">
        <v>0</v>
      </c>
    </row>
    <row r="73" spans="1:22" ht="15.75" hidden="1" customHeight="1">
      <c r="A73" s="29"/>
      <c r="B73" s="97" t="s">
        <v>122</v>
      </c>
      <c r="C73" s="16" t="s">
        <v>123</v>
      </c>
      <c r="D73" s="97"/>
      <c r="E73" s="18">
        <v>1</v>
      </c>
      <c r="F73" s="13">
        <v>1</v>
      </c>
      <c r="G73" s="13">
        <v>650</v>
      </c>
      <c r="H73" s="98">
        <f t="shared" si="9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142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9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9"/>
        <v>1.0614100000000002</v>
      </c>
      <c r="I75" s="13">
        <v>0</v>
      </c>
    </row>
    <row r="76" spans="1:22" ht="18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9"/>
        <v>0.44612000000000002</v>
      </c>
      <c r="I76" s="13">
        <f>G76</f>
        <v>446.12</v>
      </c>
    </row>
    <row r="77" spans="1:22" ht="18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6.5" hidden="1" customHeight="1">
      <c r="A78" s="29">
        <v>16</v>
      </c>
      <c r="B78" s="39" t="s">
        <v>124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0">SUM(F78*G78/1000)</f>
        <v>4.4637839999999995</v>
      </c>
      <c r="I78" s="13">
        <f>G78*0.03</f>
        <v>103.01039999999999</v>
      </c>
    </row>
    <row r="79" spans="1:22" ht="21.75" hidden="1" customHeight="1">
      <c r="A79" s="80"/>
      <c r="B79" s="74" t="s">
        <v>119</v>
      </c>
      <c r="C79" s="74"/>
      <c r="D79" s="74"/>
      <c r="E79" s="74"/>
      <c r="F79" s="74"/>
      <c r="G79" s="74"/>
      <c r="H79" s="74"/>
      <c r="I79" s="18"/>
    </row>
    <row r="80" spans="1:22" ht="16.5" hidden="1" customHeight="1">
      <c r="A80" s="29">
        <v>9</v>
      </c>
      <c r="B80" s="81" t="s">
        <v>86</v>
      </c>
      <c r="C80" s="16"/>
      <c r="D80" s="128">
        <v>44135</v>
      </c>
      <c r="E80" s="101"/>
      <c r="F80" s="13">
        <v>1</v>
      </c>
      <c r="G80" s="13">
        <v>2402.1999999999998</v>
      </c>
      <c r="H80" s="98">
        <f>G80*F80/1000</f>
        <v>2.4021999999999997</v>
      </c>
      <c r="I80" s="13">
        <f>G80</f>
        <v>2402.1999999999998</v>
      </c>
    </row>
    <row r="81" spans="1:9" ht="15.75" customHeight="1">
      <c r="A81" s="136" t="s">
        <v>135</v>
      </c>
      <c r="B81" s="137"/>
      <c r="C81" s="137"/>
      <c r="D81" s="137"/>
      <c r="E81" s="137"/>
      <c r="F81" s="137"/>
      <c r="G81" s="137"/>
      <c r="H81" s="137"/>
      <c r="I81" s="138"/>
    </row>
    <row r="82" spans="1:9" ht="15.75" customHeight="1">
      <c r="A82" s="29">
        <v>8</v>
      </c>
      <c r="B82" s="81" t="s">
        <v>125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9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hidden="1" customHeight="1">
      <c r="A84" s="29">
        <v>19</v>
      </c>
      <c r="B84" s="97" t="s">
        <v>129</v>
      </c>
      <c r="C84" s="16" t="s">
        <v>130</v>
      </c>
      <c r="D84" s="102" t="s">
        <v>143</v>
      </c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I83+I82+I70+I33+I31+I30+I18+I17+I16</f>
        <v>21357.340388000001</v>
      </c>
    </row>
    <row r="86" spans="1:9" ht="15.75" customHeight="1">
      <c r="A86" s="139" t="s">
        <v>59</v>
      </c>
      <c r="B86" s="140"/>
      <c r="C86" s="140"/>
      <c r="D86" s="140"/>
      <c r="E86" s="140"/>
      <c r="F86" s="140"/>
      <c r="G86" s="140"/>
      <c r="H86" s="140"/>
      <c r="I86" s="141"/>
    </row>
    <row r="87" spans="1:9" ht="18.75" customHeight="1">
      <c r="A87" s="29">
        <v>10</v>
      </c>
      <c r="B87" s="37" t="s">
        <v>157</v>
      </c>
      <c r="C87" s="38" t="s">
        <v>158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17.25" customHeight="1">
      <c r="A88" s="29">
        <v>11</v>
      </c>
      <c r="B88" s="119" t="s">
        <v>250</v>
      </c>
      <c r="C88" s="134" t="s">
        <v>28</v>
      </c>
      <c r="D88" s="126"/>
      <c r="E88" s="36"/>
      <c r="F88" s="36">
        <f>0.502*4</f>
        <v>2.008</v>
      </c>
      <c r="G88" s="36">
        <v>241.69</v>
      </c>
      <c r="H88" s="98"/>
      <c r="I88" s="104">
        <f>G88*1.004</f>
        <v>242.65675999999999</v>
      </c>
    </row>
    <row r="89" spans="1:9" ht="17.25" customHeight="1">
      <c r="A89" s="29">
        <v>12</v>
      </c>
      <c r="B89" s="119" t="s">
        <v>269</v>
      </c>
      <c r="C89" s="65" t="s">
        <v>113</v>
      </c>
      <c r="D89" s="130" t="s">
        <v>271</v>
      </c>
      <c r="E89" s="36"/>
      <c r="F89" s="36">
        <v>1</v>
      </c>
      <c r="G89" s="36">
        <v>101.85</v>
      </c>
      <c r="H89" s="98"/>
      <c r="I89" s="104">
        <v>0</v>
      </c>
    </row>
    <row r="90" spans="1:9" ht="17.25" customHeight="1">
      <c r="A90" s="29">
        <v>13</v>
      </c>
      <c r="B90" s="119" t="s">
        <v>270</v>
      </c>
      <c r="C90" s="65" t="s">
        <v>113</v>
      </c>
      <c r="D90" s="130" t="s">
        <v>271</v>
      </c>
      <c r="E90" s="36"/>
      <c r="F90" s="36">
        <v>1</v>
      </c>
      <c r="G90" s="36">
        <v>218.81</v>
      </c>
      <c r="H90" s="98"/>
      <c r="I90" s="104">
        <v>0</v>
      </c>
    </row>
    <row r="91" spans="1:9" ht="17.25" customHeight="1">
      <c r="A91" s="29">
        <v>14</v>
      </c>
      <c r="B91" s="119" t="s">
        <v>184</v>
      </c>
      <c r="C91" s="65" t="s">
        <v>39</v>
      </c>
      <c r="D91" s="130"/>
      <c r="E91" s="36"/>
      <c r="F91" s="36">
        <v>0.03</v>
      </c>
      <c r="G91" s="36">
        <v>28224.75</v>
      </c>
      <c r="H91" s="98"/>
      <c r="I91" s="104">
        <v>0</v>
      </c>
    </row>
    <row r="92" spans="1:9" ht="17.25" customHeight="1">
      <c r="A92" s="29">
        <v>15</v>
      </c>
      <c r="B92" s="119" t="s">
        <v>191</v>
      </c>
      <c r="C92" s="65" t="s">
        <v>192</v>
      </c>
      <c r="D92" s="126" t="s">
        <v>272</v>
      </c>
      <c r="E92" s="36"/>
      <c r="F92" s="36">
        <v>5.5</v>
      </c>
      <c r="G92" s="36">
        <v>295.36</v>
      </c>
      <c r="H92" s="98"/>
      <c r="I92" s="104">
        <v>0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SUM(I87:I92)</f>
        <v>259.45675999999997</v>
      </c>
    </row>
    <row r="94" spans="1:9" ht="15.75" customHeight="1">
      <c r="A94" s="29"/>
      <c r="B94" s="52" t="s">
        <v>77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136</v>
      </c>
      <c r="C95" s="34"/>
      <c r="D95" s="34"/>
      <c r="E95" s="34"/>
      <c r="F95" s="34"/>
      <c r="G95" s="34"/>
      <c r="H95" s="34"/>
      <c r="I95" s="45">
        <f>I85+I93</f>
        <v>21616.797148000001</v>
      </c>
    </row>
    <row r="96" spans="1:9" ht="15.75">
      <c r="A96" s="142" t="s">
        <v>273</v>
      </c>
      <c r="B96" s="142"/>
      <c r="C96" s="142"/>
      <c r="D96" s="142"/>
      <c r="E96" s="142"/>
      <c r="F96" s="142"/>
      <c r="G96" s="142"/>
      <c r="H96" s="142"/>
      <c r="I96" s="142"/>
    </row>
    <row r="97" spans="1:9" ht="15.75">
      <c r="A97" s="61"/>
      <c r="B97" s="158" t="s">
        <v>274</v>
      </c>
      <c r="C97" s="158"/>
      <c r="D97" s="158"/>
      <c r="E97" s="158"/>
      <c r="F97" s="158"/>
      <c r="G97" s="158"/>
      <c r="H97" s="79"/>
      <c r="I97" s="3"/>
    </row>
    <row r="98" spans="1:9">
      <c r="A98" s="70"/>
      <c r="B98" s="154" t="s">
        <v>6</v>
      </c>
      <c r="C98" s="154"/>
      <c r="D98" s="154"/>
      <c r="E98" s="154"/>
      <c r="F98" s="154"/>
      <c r="G98" s="15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59" t="s">
        <v>60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5.75">
      <c r="A103" s="11"/>
    </row>
    <row r="104" spans="1:9" ht="15.75">
      <c r="A104" s="160" t="s">
        <v>9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>
      <c r="A105" s="4"/>
    </row>
    <row r="106" spans="1:9" ht="15.75">
      <c r="B106" s="69" t="s">
        <v>10</v>
      </c>
      <c r="C106" s="161" t="s">
        <v>186</v>
      </c>
      <c r="D106" s="161"/>
      <c r="E106" s="161"/>
      <c r="F106" s="77"/>
      <c r="I106" s="72"/>
    </row>
    <row r="107" spans="1:9">
      <c r="A107" s="70"/>
      <c r="C107" s="154" t="s">
        <v>11</v>
      </c>
      <c r="D107" s="154"/>
      <c r="E107" s="154"/>
      <c r="F107" s="24"/>
      <c r="I107" s="71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69" t="s">
        <v>13</v>
      </c>
      <c r="C109" s="156"/>
      <c r="D109" s="156"/>
      <c r="E109" s="156"/>
      <c r="F109" s="78"/>
      <c r="I109" s="72"/>
    </row>
    <row r="110" spans="1:9">
      <c r="A110" s="70"/>
      <c r="C110" s="143" t="s">
        <v>11</v>
      </c>
      <c r="D110" s="143"/>
      <c r="E110" s="143"/>
      <c r="F110" s="70"/>
      <c r="I110" s="71" t="s">
        <v>12</v>
      </c>
    </row>
    <row r="111" spans="1:9" ht="15.75">
      <c r="A111" s="4" t="s">
        <v>14</v>
      </c>
    </row>
    <row r="112" spans="1:9">
      <c r="A112" s="157" t="s">
        <v>15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45" customHeight="1">
      <c r="A113" s="155" t="s">
        <v>16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17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30" customHeight="1">
      <c r="A115" s="155" t="s">
        <v>21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15.75">
      <c r="A116" s="155" t="s">
        <v>20</v>
      </c>
      <c r="B116" s="155"/>
      <c r="C116" s="155"/>
      <c r="D116" s="155"/>
      <c r="E116" s="155"/>
      <c r="F116" s="155"/>
      <c r="G116" s="155"/>
      <c r="H116" s="155"/>
      <c r="I116" s="15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topLeftCell="A63" workbookViewId="0">
      <selection activeCell="G90" sqref="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155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275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44530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187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2" t="s">
        <v>24</v>
      </c>
      <c r="D28" s="81"/>
      <c r="E28" s="83">
        <v>1839.1</v>
      </c>
      <c r="F28" s="84">
        <f>SUM(E28*12)</f>
        <v>22069.199999999997</v>
      </c>
      <c r="G28" s="84">
        <v>4.58</v>
      </c>
      <c r="H28" s="85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98</v>
      </c>
      <c r="C31" s="82" t="s">
        <v>99</v>
      </c>
      <c r="D31" s="81" t="s">
        <v>100</v>
      </c>
      <c r="E31" s="84">
        <v>58</v>
      </c>
      <c r="F31" s="84">
        <f>SUM(E31*52/1000)</f>
        <v>3.016</v>
      </c>
      <c r="G31" s="84">
        <v>193.97</v>
      </c>
      <c r="H31" s="85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101</v>
      </c>
      <c r="C32" s="82" t="s">
        <v>99</v>
      </c>
      <c r="D32" s="81" t="s">
        <v>102</v>
      </c>
      <c r="E32" s="84">
        <v>48.3</v>
      </c>
      <c r="F32" s="84">
        <f>SUM(E32*78/1000)</f>
        <v>3.7673999999999994</v>
      </c>
      <c r="G32" s="84">
        <v>321.82</v>
      </c>
      <c r="H32" s="85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2" t="s">
        <v>99</v>
      </c>
      <c r="D33" s="81" t="s">
        <v>53</v>
      </c>
      <c r="E33" s="84">
        <v>58</v>
      </c>
      <c r="F33" s="84">
        <f>SUM(E33/1000)</f>
        <v>5.8000000000000003E-2</v>
      </c>
      <c r="G33" s="84">
        <v>3758.28</v>
      </c>
      <c r="H33" s="85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103</v>
      </c>
      <c r="C34" s="82" t="s">
        <v>39</v>
      </c>
      <c r="D34" s="81" t="s">
        <v>62</v>
      </c>
      <c r="E34" s="84">
        <v>1</v>
      </c>
      <c r="F34" s="84">
        <f>E34*155/100</f>
        <v>1.55</v>
      </c>
      <c r="G34" s="84">
        <v>1620.15</v>
      </c>
      <c r="H34" s="85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104</v>
      </c>
      <c r="C35" s="82" t="s">
        <v>29</v>
      </c>
      <c r="D35" s="81" t="s">
        <v>62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1" t="s">
        <v>63</v>
      </c>
      <c r="C36" s="82" t="s">
        <v>31</v>
      </c>
      <c r="D36" s="81" t="s">
        <v>65</v>
      </c>
      <c r="E36" s="83"/>
      <c r="F36" s="84">
        <v>1</v>
      </c>
      <c r="G36" s="84">
        <v>238.07</v>
      </c>
      <c r="H36" s="85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1" t="s">
        <v>64</v>
      </c>
      <c r="C37" s="82" t="s">
        <v>30</v>
      </c>
      <c r="D37" s="81" t="s">
        <v>65</v>
      </c>
      <c r="E37" s="83"/>
      <c r="F37" s="84">
        <v>1</v>
      </c>
      <c r="G37" s="84">
        <v>1413.96</v>
      </c>
      <c r="H37" s="85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8" customHeight="1">
      <c r="A39" s="33">
        <v>4</v>
      </c>
      <c r="B39" s="81" t="s">
        <v>25</v>
      </c>
      <c r="C39" s="82" t="s">
        <v>30</v>
      </c>
      <c r="D39" s="81" t="s">
        <v>276</v>
      </c>
      <c r="E39" s="83"/>
      <c r="F39" s="84">
        <v>2</v>
      </c>
      <c r="G39" s="84">
        <v>1900.37</v>
      </c>
      <c r="H39" s="85">
        <f t="shared" ref="H39:H44" si="1">SUM(F39*G39/1000)</f>
        <v>3.8007399999999998</v>
      </c>
      <c r="I39" s="13">
        <f>G39*1</f>
        <v>1900.37</v>
      </c>
      <c r="J39" s="23"/>
    </row>
    <row r="40" spans="1:14" ht="15.75" customHeight="1">
      <c r="A40" s="33">
        <v>5</v>
      </c>
      <c r="B40" s="81" t="s">
        <v>66</v>
      </c>
      <c r="C40" s="82" t="s">
        <v>28</v>
      </c>
      <c r="D40" s="81" t="s">
        <v>166</v>
      </c>
      <c r="E40" s="84">
        <v>48.3</v>
      </c>
      <c r="F40" s="84">
        <f>SUM(E40*30/1000)</f>
        <v>1.4490000000000001</v>
      </c>
      <c r="G40" s="84">
        <v>2616.4899999999998</v>
      </c>
      <c r="H40" s="85">
        <f t="shared" si="1"/>
        <v>3.7912940100000001</v>
      </c>
      <c r="I40" s="13">
        <f t="shared" ref="I40:I42" si="2">F40/6*G40</f>
        <v>631.88233500000001</v>
      </c>
      <c r="J40" s="23"/>
    </row>
    <row r="41" spans="1:14" ht="15.75" customHeight="1">
      <c r="A41" s="33">
        <v>6</v>
      </c>
      <c r="B41" s="81" t="s">
        <v>67</v>
      </c>
      <c r="C41" s="82" t="s">
        <v>28</v>
      </c>
      <c r="D41" s="81" t="s">
        <v>167</v>
      </c>
      <c r="E41" s="84">
        <v>48.3</v>
      </c>
      <c r="F41" s="84">
        <f>SUM(E41*155/1000)</f>
        <v>7.4865000000000004</v>
      </c>
      <c r="G41" s="84">
        <v>436.45</v>
      </c>
      <c r="H41" s="85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7</v>
      </c>
      <c r="B42" s="81" t="s">
        <v>79</v>
      </c>
      <c r="C42" s="82" t="s">
        <v>99</v>
      </c>
      <c r="D42" s="81" t="s">
        <v>168</v>
      </c>
      <c r="E42" s="84">
        <f>E40</f>
        <v>48.3</v>
      </c>
      <c r="F42" s="84">
        <f>SUM(E42*35/1000)</f>
        <v>1.6904999999999999</v>
      </c>
      <c r="G42" s="84">
        <v>7221.21</v>
      </c>
      <c r="H42" s="85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hidden="1" customHeight="1">
      <c r="A43" s="33">
        <v>8</v>
      </c>
      <c r="B43" s="81" t="s">
        <v>108</v>
      </c>
      <c r="C43" s="82" t="s">
        <v>99</v>
      </c>
      <c r="D43" s="81" t="s">
        <v>165</v>
      </c>
      <c r="E43" s="84">
        <f>E40</f>
        <v>48.3</v>
      </c>
      <c r="F43" s="84">
        <f>SUM(E43*20/1000)</f>
        <v>0.96599999999999997</v>
      </c>
      <c r="G43" s="84">
        <v>533.45000000000005</v>
      </c>
      <c r="H43" s="85">
        <f t="shared" si="1"/>
        <v>0.51531270000000007</v>
      </c>
      <c r="I43" s="13">
        <f>G43*F43/20*2</f>
        <v>51.531270000000006</v>
      </c>
      <c r="J43" s="23"/>
      <c r="L43" s="19"/>
      <c r="M43" s="20"/>
      <c r="N43" s="21"/>
    </row>
    <row r="44" spans="1:14" ht="15.75" hidden="1" customHeight="1">
      <c r="A44" s="33">
        <v>9</v>
      </c>
      <c r="B44" s="81" t="s">
        <v>68</v>
      </c>
      <c r="C44" s="82" t="s">
        <v>31</v>
      </c>
      <c r="D44" s="81"/>
      <c r="E44" s="83"/>
      <c r="F44" s="84">
        <v>0.5</v>
      </c>
      <c r="G44" s="84">
        <v>992.97</v>
      </c>
      <c r="H44" s="85">
        <f t="shared" si="1"/>
        <v>0.49648500000000001</v>
      </c>
      <c r="I44" s="13">
        <f>G44*F44/20*2</f>
        <v>49.648499999999999</v>
      </c>
      <c r="J44" s="23"/>
      <c r="L44" s="19"/>
      <c r="M44" s="20"/>
      <c r="N44" s="21"/>
    </row>
    <row r="45" spans="1:14" ht="15.75" customHeight="1">
      <c r="A45" s="151" t="s">
        <v>133</v>
      </c>
      <c r="B45" s="152"/>
      <c r="C45" s="152"/>
      <c r="D45" s="152"/>
      <c r="E45" s="152"/>
      <c r="F45" s="152"/>
      <c r="G45" s="152"/>
      <c r="H45" s="152"/>
      <c r="I45" s="153"/>
      <c r="J45" s="23"/>
      <c r="L45" s="19"/>
      <c r="M45" s="20"/>
      <c r="N45" s="21"/>
    </row>
    <row r="46" spans="1:14" ht="15.75" hidden="1" customHeight="1">
      <c r="A46" s="41">
        <v>12</v>
      </c>
      <c r="B46" s="81" t="s">
        <v>110</v>
      </c>
      <c r="C46" s="82" t="s">
        <v>99</v>
      </c>
      <c r="D46" s="81" t="s">
        <v>41</v>
      </c>
      <c r="E46" s="83">
        <v>1044.7</v>
      </c>
      <c r="F46" s="84">
        <f>SUM(E46*2/1000)</f>
        <v>2.0893999999999999</v>
      </c>
      <c r="G46" s="13">
        <v>1283.46</v>
      </c>
      <c r="H46" s="85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1" t="s">
        <v>34</v>
      </c>
      <c r="C47" s="82" t="s">
        <v>99</v>
      </c>
      <c r="D47" s="81" t="s">
        <v>41</v>
      </c>
      <c r="E47" s="83">
        <v>19.8</v>
      </c>
      <c r="F47" s="84">
        <f>SUM(E47*2/1000)</f>
        <v>3.9600000000000003E-2</v>
      </c>
      <c r="G47" s="13">
        <v>4192.6400000000003</v>
      </c>
      <c r="H47" s="85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1" t="s">
        <v>35</v>
      </c>
      <c r="C48" s="82" t="s">
        <v>99</v>
      </c>
      <c r="D48" s="81" t="s">
        <v>41</v>
      </c>
      <c r="E48" s="83">
        <v>660.84</v>
      </c>
      <c r="F48" s="84">
        <f>SUM(E48*2/1000)</f>
        <v>1.32168</v>
      </c>
      <c r="G48" s="13">
        <v>1711.28</v>
      </c>
      <c r="H48" s="85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1" t="s">
        <v>36</v>
      </c>
      <c r="C49" s="82" t="s">
        <v>99</v>
      </c>
      <c r="D49" s="81" t="s">
        <v>41</v>
      </c>
      <c r="E49" s="83">
        <v>1156.21</v>
      </c>
      <c r="F49" s="84">
        <f>SUM(E49*2/1000)</f>
        <v>2.3124199999999999</v>
      </c>
      <c r="G49" s="13">
        <v>1179.73</v>
      </c>
      <c r="H49" s="85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1" t="s">
        <v>32</v>
      </c>
      <c r="C50" s="82" t="s">
        <v>33</v>
      </c>
      <c r="D50" s="81" t="s">
        <v>137</v>
      </c>
      <c r="E50" s="83">
        <v>17.2</v>
      </c>
      <c r="F50" s="84">
        <f>SUM(E50*2/100)</f>
        <v>0.34399999999999997</v>
      </c>
      <c r="G50" s="13">
        <v>90.61</v>
      </c>
      <c r="H50" s="85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17</v>
      </c>
      <c r="B51" s="81" t="s">
        <v>55</v>
      </c>
      <c r="C51" s="82" t="s">
        <v>99</v>
      </c>
      <c r="D51" s="81" t="s">
        <v>139</v>
      </c>
      <c r="E51" s="83">
        <v>1839.1</v>
      </c>
      <c r="F51" s="84">
        <f>SUM(E51*5/1000)</f>
        <v>9.1954999999999991</v>
      </c>
      <c r="G51" s="13">
        <v>1711.28</v>
      </c>
      <c r="H51" s="85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1" t="s">
        <v>111</v>
      </c>
      <c r="C52" s="82" t="s">
        <v>99</v>
      </c>
      <c r="D52" s="81" t="s">
        <v>41</v>
      </c>
      <c r="E52" s="83">
        <f>E51</f>
        <v>1839.1</v>
      </c>
      <c r="F52" s="84">
        <f>SUM(E52*2/1000)</f>
        <v>3.6781999999999999</v>
      </c>
      <c r="G52" s="13">
        <v>1510.06</v>
      </c>
      <c r="H52" s="85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1" t="s">
        <v>112</v>
      </c>
      <c r="C53" s="82" t="s">
        <v>37</v>
      </c>
      <c r="D53" s="81" t="s">
        <v>41</v>
      </c>
      <c r="E53" s="83">
        <v>9</v>
      </c>
      <c r="F53" s="84">
        <f>SUM(E53*2/100)</f>
        <v>0.18</v>
      </c>
      <c r="G53" s="13">
        <v>3850.4</v>
      </c>
      <c r="H53" s="85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1" t="s">
        <v>38</v>
      </c>
      <c r="C54" s="82" t="s">
        <v>39</v>
      </c>
      <c r="D54" s="81" t="s">
        <v>41</v>
      </c>
      <c r="E54" s="83">
        <v>1</v>
      </c>
      <c r="F54" s="84">
        <v>0.02</v>
      </c>
      <c r="G54" s="13">
        <v>7033.13</v>
      </c>
      <c r="H54" s="85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customHeight="1">
      <c r="A55" s="41">
        <v>8</v>
      </c>
      <c r="B55" s="81" t="s">
        <v>138</v>
      </c>
      <c r="C55" s="82" t="s">
        <v>29</v>
      </c>
      <c r="D55" s="124">
        <v>44512</v>
      </c>
      <c r="E55" s="83">
        <v>36</v>
      </c>
      <c r="F55" s="84">
        <f>E55*3</f>
        <v>108</v>
      </c>
      <c r="G55" s="13">
        <v>175.6</v>
      </c>
      <c r="H55" s="85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customHeight="1">
      <c r="A56" s="41">
        <v>9</v>
      </c>
      <c r="B56" s="81" t="s">
        <v>40</v>
      </c>
      <c r="C56" s="82" t="s">
        <v>29</v>
      </c>
      <c r="D56" s="124">
        <v>44512</v>
      </c>
      <c r="E56" s="83">
        <v>36</v>
      </c>
      <c r="F56" s="84">
        <f>E56*3</f>
        <v>108</v>
      </c>
      <c r="G56" s="13">
        <v>81.73</v>
      </c>
      <c r="H56" s="85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51" t="s">
        <v>134</v>
      </c>
      <c r="B57" s="152"/>
      <c r="C57" s="152"/>
      <c r="D57" s="152"/>
      <c r="E57" s="152"/>
      <c r="F57" s="152"/>
      <c r="G57" s="152"/>
      <c r="H57" s="152"/>
      <c r="I57" s="153"/>
      <c r="J57" s="23"/>
      <c r="L57" s="19"/>
      <c r="M57" s="20"/>
      <c r="N57" s="21"/>
    </row>
    <row r="58" spans="1:14" ht="15.75" customHeight="1">
      <c r="A58" s="108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customHeight="1">
      <c r="A59" s="41">
        <v>10</v>
      </c>
      <c r="B59" s="81" t="s">
        <v>114</v>
      </c>
      <c r="C59" s="82" t="s">
        <v>140</v>
      </c>
      <c r="D59" s="81"/>
      <c r="E59" s="83">
        <v>12.5</v>
      </c>
      <c r="F59" s="84">
        <f>E59*6/100</f>
        <v>0.75</v>
      </c>
      <c r="G59" s="90">
        <v>2306.62</v>
      </c>
      <c r="H59" s="85">
        <f>F59*G59/1000</f>
        <v>1.729965</v>
      </c>
      <c r="I59" s="13">
        <f>G59*0.125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1" t="s">
        <v>82</v>
      </c>
      <c r="C60" s="92" t="s">
        <v>115</v>
      </c>
      <c r="D60" s="37" t="s">
        <v>65</v>
      </c>
      <c r="E60" s="93"/>
      <c r="F60" s="94">
        <v>2</v>
      </c>
      <c r="G60" s="95">
        <v>1501</v>
      </c>
      <c r="H60" s="85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107" t="s">
        <v>43</v>
      </c>
      <c r="C61" s="107"/>
      <c r="D61" s="107"/>
      <c r="E61" s="107"/>
      <c r="F61" s="75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1" t="s">
        <v>44</v>
      </c>
      <c r="C62" s="92" t="s">
        <v>52</v>
      </c>
      <c r="D62" s="91" t="s">
        <v>53</v>
      </c>
      <c r="E62" s="93">
        <v>164</v>
      </c>
      <c r="F62" s="94">
        <f>E62/100</f>
        <v>1.64</v>
      </c>
      <c r="G62" s="95">
        <v>987.51</v>
      </c>
      <c r="H62" s="96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07" t="s">
        <v>45</v>
      </c>
      <c r="C63" s="16"/>
      <c r="D63" s="37"/>
      <c r="E63" s="15"/>
      <c r="F63" s="76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7" t="s">
        <v>46</v>
      </c>
      <c r="C64" s="16" t="s">
        <v>113</v>
      </c>
      <c r="D64" s="97" t="s">
        <v>65</v>
      </c>
      <c r="E64" s="18">
        <v>1</v>
      </c>
      <c r="F64" s="84">
        <f>E64</f>
        <v>1</v>
      </c>
      <c r="G64" s="13">
        <v>276.74</v>
      </c>
      <c r="H64" s="98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7" t="s">
        <v>47</v>
      </c>
      <c r="C65" s="16" t="s">
        <v>113</v>
      </c>
      <c r="D65" s="97" t="s">
        <v>65</v>
      </c>
      <c r="E65" s="18">
        <v>3</v>
      </c>
      <c r="F65" s="84">
        <v>3</v>
      </c>
      <c r="G65" s="13">
        <v>94.89</v>
      </c>
      <c r="H65" s="98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7" t="s">
        <v>48</v>
      </c>
      <c r="C66" s="16" t="s">
        <v>116</v>
      </c>
      <c r="D66" s="97" t="s">
        <v>53</v>
      </c>
      <c r="E66" s="83">
        <v>7265</v>
      </c>
      <c r="F66" s="13">
        <f>SUM(E66/100)</f>
        <v>72.650000000000006</v>
      </c>
      <c r="G66" s="13">
        <v>263.99</v>
      </c>
      <c r="H66" s="98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7" t="s">
        <v>49</v>
      </c>
      <c r="C67" s="16" t="s">
        <v>117</v>
      </c>
      <c r="D67" s="97" t="s">
        <v>53</v>
      </c>
      <c r="E67" s="83">
        <f>E66</f>
        <v>7265</v>
      </c>
      <c r="F67" s="13">
        <f>SUM(E67/1000)</f>
        <v>7.2649999999999997</v>
      </c>
      <c r="G67" s="13">
        <v>205.57</v>
      </c>
      <c r="H67" s="98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7" t="s">
        <v>50</v>
      </c>
      <c r="C68" s="16" t="s">
        <v>75</v>
      </c>
      <c r="D68" s="97" t="s">
        <v>53</v>
      </c>
      <c r="E68" s="83">
        <v>1090</v>
      </c>
      <c r="F68" s="13">
        <f>SUM(E68/100)</f>
        <v>10.9</v>
      </c>
      <c r="G68" s="13">
        <v>2581.5300000000002</v>
      </c>
      <c r="H68" s="98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99" t="s">
        <v>118</v>
      </c>
      <c r="C69" s="16" t="s">
        <v>31</v>
      </c>
      <c r="D69" s="97"/>
      <c r="E69" s="83">
        <v>7.6</v>
      </c>
      <c r="F69" s="13">
        <f>SUM(E69)</f>
        <v>7.6</v>
      </c>
      <c r="G69" s="13">
        <v>47.45</v>
      </c>
      <c r="H69" s="98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99" t="s">
        <v>141</v>
      </c>
      <c r="C70" s="16" t="s">
        <v>31</v>
      </c>
      <c r="D70" s="97"/>
      <c r="E70" s="83">
        <f>E69</f>
        <v>7.6</v>
      </c>
      <c r="F70" s="13">
        <f>SUM(E70)</f>
        <v>7.6</v>
      </c>
      <c r="G70" s="13">
        <v>44.27</v>
      </c>
      <c r="H70" s="98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43"/>
      <c r="S70" s="143"/>
      <c r="T70" s="143"/>
      <c r="U70" s="143"/>
    </row>
    <row r="71" spans="1:22" ht="15.75" hidden="1" customHeight="1">
      <c r="A71" s="29">
        <v>18</v>
      </c>
      <c r="B71" s="97" t="s">
        <v>56</v>
      </c>
      <c r="C71" s="16" t="s">
        <v>57</v>
      </c>
      <c r="D71" s="97" t="s">
        <v>53</v>
      </c>
      <c r="E71" s="18">
        <v>2</v>
      </c>
      <c r="F71" s="84">
        <f>SUM(E71)</f>
        <v>2</v>
      </c>
      <c r="G71" s="13">
        <v>62.07</v>
      </c>
      <c r="H71" s="98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11</v>
      </c>
      <c r="B72" s="97" t="s">
        <v>83</v>
      </c>
      <c r="C72" s="41" t="s">
        <v>128</v>
      </c>
      <c r="D72" s="37"/>
      <c r="E72" s="17">
        <v>1839.1</v>
      </c>
      <c r="F72" s="100">
        <f>SUM(E72*12)</f>
        <v>22069.199999999997</v>
      </c>
      <c r="G72" s="13">
        <v>2.16</v>
      </c>
      <c r="H72" s="98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71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7" t="s">
        <v>120</v>
      </c>
      <c r="C74" s="16" t="s">
        <v>121</v>
      </c>
      <c r="D74" s="97" t="s">
        <v>65</v>
      </c>
      <c r="E74" s="18">
        <v>1</v>
      </c>
      <c r="F74" s="13">
        <f>E74</f>
        <v>1</v>
      </c>
      <c r="G74" s="13">
        <v>976.4</v>
      </c>
      <c r="H74" s="98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7" t="s">
        <v>122</v>
      </c>
      <c r="C75" s="16" t="s">
        <v>123</v>
      </c>
      <c r="D75" s="97"/>
      <c r="E75" s="18">
        <v>1</v>
      </c>
      <c r="F75" s="13">
        <v>1</v>
      </c>
      <c r="G75" s="13">
        <v>650</v>
      </c>
      <c r="H75" s="98">
        <f t="shared" si="8"/>
        <v>0.65</v>
      </c>
      <c r="I75" s="13">
        <v>0</v>
      </c>
    </row>
    <row r="76" spans="1:22" ht="15.75" hidden="1" customHeight="1">
      <c r="A76" s="29"/>
      <c r="B76" s="97" t="s">
        <v>72</v>
      </c>
      <c r="C76" s="16" t="s">
        <v>142</v>
      </c>
      <c r="D76" s="97" t="s">
        <v>65</v>
      </c>
      <c r="E76" s="18">
        <v>3</v>
      </c>
      <c r="F76" s="13">
        <f>E76/10</f>
        <v>0.3</v>
      </c>
      <c r="G76" s="13">
        <v>624.16999999999996</v>
      </c>
      <c r="H76" s="98">
        <f t="shared" si="8"/>
        <v>0.18725099999999997</v>
      </c>
      <c r="I76" s="13">
        <v>0</v>
      </c>
    </row>
    <row r="77" spans="1:22" ht="15.75" hidden="1" customHeight="1">
      <c r="A77" s="29"/>
      <c r="B77" s="97" t="s">
        <v>73</v>
      </c>
      <c r="C77" s="16" t="s">
        <v>29</v>
      </c>
      <c r="D77" s="97" t="s">
        <v>65</v>
      </c>
      <c r="E77" s="18">
        <v>1</v>
      </c>
      <c r="F77" s="13">
        <v>1</v>
      </c>
      <c r="G77" s="13">
        <v>1061.4100000000001</v>
      </c>
      <c r="H77" s="98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7" t="s">
        <v>84</v>
      </c>
      <c r="C78" s="16" t="s">
        <v>29</v>
      </c>
      <c r="D78" s="97" t="s">
        <v>65</v>
      </c>
      <c r="E78" s="18">
        <v>1</v>
      </c>
      <c r="F78" s="84">
        <f>SUM(E78)</f>
        <v>1</v>
      </c>
      <c r="G78" s="13">
        <v>446.12</v>
      </c>
      <c r="H78" s="98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124</v>
      </c>
      <c r="C80" s="16" t="s">
        <v>75</v>
      </c>
      <c r="D80" s="97"/>
      <c r="E80" s="18"/>
      <c r="F80" s="13">
        <v>1.3</v>
      </c>
      <c r="G80" s="13">
        <v>3433.68</v>
      </c>
      <c r="H80" s="98">
        <f t="shared" ref="H80" si="9">SUM(F80*G80/1000)</f>
        <v>4.4637839999999995</v>
      </c>
      <c r="I80" s="13">
        <v>0</v>
      </c>
    </row>
    <row r="81" spans="1:9" ht="15.75" hidden="1" customHeight="1">
      <c r="A81" s="108"/>
      <c r="B81" s="107" t="s">
        <v>119</v>
      </c>
      <c r="C81" s="107"/>
      <c r="D81" s="107"/>
      <c r="E81" s="107"/>
      <c r="F81" s="107"/>
      <c r="G81" s="107"/>
      <c r="H81" s="107"/>
      <c r="I81" s="18"/>
    </row>
    <row r="82" spans="1:9" ht="15.75" hidden="1" customHeight="1">
      <c r="A82" s="29">
        <v>15</v>
      </c>
      <c r="B82" s="81" t="s">
        <v>86</v>
      </c>
      <c r="C82" s="16"/>
      <c r="D82" s="97"/>
      <c r="E82" s="101"/>
      <c r="F82" s="13">
        <v>1</v>
      </c>
      <c r="G82" s="13">
        <v>13707.8</v>
      </c>
      <c r="H82" s="98">
        <f>G82*F82/1000</f>
        <v>13.707799999999999</v>
      </c>
      <c r="I82" s="13">
        <f>G82</f>
        <v>13707.8</v>
      </c>
    </row>
    <row r="83" spans="1:9" ht="15.75" customHeight="1">
      <c r="A83" s="136" t="s">
        <v>135</v>
      </c>
      <c r="B83" s="137"/>
      <c r="C83" s="137"/>
      <c r="D83" s="137"/>
      <c r="E83" s="137"/>
      <c r="F83" s="137"/>
      <c r="G83" s="137"/>
      <c r="H83" s="137"/>
      <c r="I83" s="138"/>
    </row>
    <row r="84" spans="1:9" ht="15.75" customHeight="1">
      <c r="A84" s="29">
        <v>12</v>
      </c>
      <c r="B84" s="81" t="s">
        <v>125</v>
      </c>
      <c r="C84" s="16" t="s">
        <v>54</v>
      </c>
      <c r="D84" s="102"/>
      <c r="E84" s="13">
        <v>1839.1</v>
      </c>
      <c r="F84" s="13">
        <f>SUM(E84*12)</f>
        <v>22069.199999999997</v>
      </c>
      <c r="G84" s="13">
        <v>2.95</v>
      </c>
      <c r="H84" s="98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13</v>
      </c>
      <c r="B85" s="97" t="s">
        <v>76</v>
      </c>
      <c r="C85" s="16"/>
      <c r="D85" s="102"/>
      <c r="E85" s="83">
        <v>1839.1</v>
      </c>
      <c r="F85" s="13">
        <f>E85*12</f>
        <v>22069.199999999997</v>
      </c>
      <c r="G85" s="13">
        <v>3.05</v>
      </c>
      <c r="H85" s="98">
        <f>F85*G85/1000</f>
        <v>67.311059999999983</v>
      </c>
      <c r="I85" s="13">
        <f>F85/12*G85</f>
        <v>5609.2549999999983</v>
      </c>
    </row>
    <row r="86" spans="1:9" ht="31.5" hidden="1" customHeight="1">
      <c r="A86" s="29">
        <v>14</v>
      </c>
      <c r="B86" s="97" t="s">
        <v>129</v>
      </c>
      <c r="C86" s="16" t="s">
        <v>130</v>
      </c>
      <c r="D86" s="102" t="s">
        <v>143</v>
      </c>
      <c r="E86" s="101"/>
      <c r="F86" s="13"/>
      <c r="G86" s="13"/>
      <c r="H86" s="98">
        <v>59.113</v>
      </c>
      <c r="I86" s="13">
        <v>4926.08</v>
      </c>
    </row>
    <row r="87" spans="1:9" ht="15.75" customHeight="1">
      <c r="A87" s="108"/>
      <c r="B87" s="40" t="s">
        <v>78</v>
      </c>
      <c r="C87" s="41"/>
      <c r="D87" s="15"/>
      <c r="E87" s="15"/>
      <c r="F87" s="15"/>
      <c r="G87" s="18"/>
      <c r="H87" s="18"/>
      <c r="I87" s="31">
        <f>I85+I84+I72+I59+I56+I55+I42+I41+I40+I39+I18+I17+I16</f>
        <v>35302.84484666666</v>
      </c>
    </row>
    <row r="88" spans="1:9" ht="15.75" customHeight="1">
      <c r="A88" s="139" t="s">
        <v>59</v>
      </c>
      <c r="B88" s="140"/>
      <c r="C88" s="140"/>
      <c r="D88" s="140"/>
      <c r="E88" s="140"/>
      <c r="F88" s="140"/>
      <c r="G88" s="140"/>
      <c r="H88" s="140"/>
      <c r="I88" s="141"/>
    </row>
    <row r="89" spans="1:9" ht="15.75" customHeight="1">
      <c r="A89" s="103">
        <v>14</v>
      </c>
      <c r="B89" s="37" t="s">
        <v>157</v>
      </c>
      <c r="C89" s="38" t="s">
        <v>158</v>
      </c>
      <c r="D89" s="52"/>
      <c r="E89" s="13"/>
      <c r="F89" s="13">
        <v>2</v>
      </c>
      <c r="G89" s="36">
        <v>1.4</v>
      </c>
      <c r="H89" s="98">
        <f t="shared" ref="H89" si="10">G89*F89/1000</f>
        <v>2.8E-3</v>
      </c>
      <c r="I89" s="104">
        <f>G89*12</f>
        <v>16.799999999999997</v>
      </c>
    </row>
    <row r="90" spans="1:9" ht="30.75" customHeight="1">
      <c r="A90" s="103">
        <v>15</v>
      </c>
      <c r="B90" s="119" t="s">
        <v>160</v>
      </c>
      <c r="C90" s="65" t="s">
        <v>28</v>
      </c>
      <c r="D90" s="52"/>
      <c r="E90" s="13"/>
      <c r="F90" s="13"/>
      <c r="G90" s="118">
        <v>21369.24</v>
      </c>
      <c r="H90" s="98"/>
      <c r="I90" s="104">
        <f>G90*0.599*6/1000</f>
        <v>76.801048559999998</v>
      </c>
    </row>
    <row r="91" spans="1:9" ht="17.25" customHeight="1">
      <c r="A91" s="103">
        <v>16</v>
      </c>
      <c r="B91" s="119" t="s">
        <v>250</v>
      </c>
      <c r="C91" s="134" t="s">
        <v>28</v>
      </c>
      <c r="D91" s="126"/>
      <c r="E91" s="36"/>
      <c r="F91" s="36">
        <f>0.502*5</f>
        <v>2.5099999999999998</v>
      </c>
      <c r="G91" s="36">
        <v>241.69</v>
      </c>
      <c r="H91" s="98"/>
      <c r="I91" s="104">
        <f>G91*0.502</f>
        <v>121.32838</v>
      </c>
    </row>
    <row r="92" spans="1:9" ht="17.25" customHeight="1">
      <c r="A92" s="103">
        <v>17</v>
      </c>
      <c r="B92" s="135" t="s">
        <v>277</v>
      </c>
      <c r="C92" s="41" t="s">
        <v>85</v>
      </c>
      <c r="D92" s="126"/>
      <c r="E92" s="36"/>
      <c r="F92" s="36">
        <v>0.12</v>
      </c>
      <c r="G92" s="36">
        <v>3880.23</v>
      </c>
      <c r="H92" s="98"/>
      <c r="I92" s="104">
        <f>G92*0.12</f>
        <v>465.62759999999997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SUM(I89:I92)</f>
        <v>680.55702855999994</v>
      </c>
    </row>
    <row r="94" spans="1:9" ht="15.75" customHeight="1">
      <c r="A94" s="29"/>
      <c r="B94" s="52" t="s">
        <v>77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136</v>
      </c>
      <c r="C95" s="34"/>
      <c r="D95" s="34"/>
      <c r="E95" s="34"/>
      <c r="F95" s="34"/>
      <c r="G95" s="34"/>
      <c r="H95" s="34"/>
      <c r="I95" s="45">
        <f>I87+I93</f>
        <v>35983.401875226657</v>
      </c>
    </row>
    <row r="96" spans="1:9" ht="15.75">
      <c r="A96" s="142" t="s">
        <v>278</v>
      </c>
      <c r="B96" s="142"/>
      <c r="C96" s="142"/>
      <c r="D96" s="142"/>
      <c r="E96" s="142"/>
      <c r="F96" s="142"/>
      <c r="G96" s="142"/>
      <c r="H96" s="142"/>
      <c r="I96" s="142"/>
    </row>
    <row r="97" spans="1:9" ht="15.75">
      <c r="A97" s="61"/>
      <c r="B97" s="158" t="s">
        <v>279</v>
      </c>
      <c r="C97" s="158"/>
      <c r="D97" s="158"/>
      <c r="E97" s="158"/>
      <c r="F97" s="158"/>
      <c r="G97" s="158"/>
      <c r="H97" s="79"/>
      <c r="I97" s="3"/>
    </row>
    <row r="98" spans="1:9">
      <c r="A98" s="105"/>
      <c r="B98" s="154" t="s">
        <v>6</v>
      </c>
      <c r="C98" s="154"/>
      <c r="D98" s="154"/>
      <c r="E98" s="154"/>
      <c r="F98" s="154"/>
      <c r="G98" s="15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59" t="s">
        <v>60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5.75">
      <c r="A103" s="11"/>
    </row>
    <row r="104" spans="1:9" ht="15.75">
      <c r="A104" s="160" t="s">
        <v>9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>
      <c r="A105" s="4"/>
    </row>
    <row r="106" spans="1:9" ht="15.75">
      <c r="B106" s="110" t="s">
        <v>10</v>
      </c>
      <c r="C106" s="161" t="s">
        <v>186</v>
      </c>
      <c r="D106" s="161"/>
      <c r="E106" s="161"/>
      <c r="F106" s="77"/>
      <c r="I106" s="109"/>
    </row>
    <row r="107" spans="1:9">
      <c r="A107" s="105"/>
      <c r="C107" s="154" t="s">
        <v>11</v>
      </c>
      <c r="D107" s="154"/>
      <c r="E107" s="154"/>
      <c r="F107" s="24"/>
      <c r="I107" s="111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110" t="s">
        <v>13</v>
      </c>
      <c r="C109" s="156"/>
      <c r="D109" s="156"/>
      <c r="E109" s="156"/>
      <c r="F109" s="78"/>
      <c r="I109" s="109"/>
    </row>
    <row r="110" spans="1:9">
      <c r="A110" s="105"/>
      <c r="C110" s="143" t="s">
        <v>11</v>
      </c>
      <c r="D110" s="143"/>
      <c r="E110" s="143"/>
      <c r="F110" s="105"/>
      <c r="I110" s="111" t="s">
        <v>12</v>
      </c>
    </row>
    <row r="111" spans="1:9" ht="15.75">
      <c r="A111" s="4" t="s">
        <v>14</v>
      </c>
    </row>
    <row r="112" spans="1:9">
      <c r="A112" s="157" t="s">
        <v>15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45" customHeight="1">
      <c r="A113" s="155" t="s">
        <v>16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17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30" customHeight="1">
      <c r="A115" s="155" t="s">
        <v>21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15.75">
      <c r="A116" s="155" t="s">
        <v>20</v>
      </c>
      <c r="B116" s="155"/>
      <c r="C116" s="155"/>
      <c r="D116" s="155"/>
      <c r="E116" s="155"/>
      <c r="F116" s="155"/>
      <c r="G116" s="155"/>
      <c r="H116" s="155"/>
      <c r="I116" s="155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abSelected="1" topLeftCell="A15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156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280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44561</v>
      </c>
      <c r="J6" s="2"/>
      <c r="K6" s="2"/>
      <c r="L6" s="2"/>
      <c r="M6" s="2"/>
    </row>
    <row r="7" spans="1:13" ht="15.75" customHeight="1">
      <c r="B7" s="110"/>
      <c r="C7" s="110"/>
      <c r="D7" s="11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2" t="s">
        <v>24</v>
      </c>
      <c r="D28" s="81"/>
      <c r="E28" s="83">
        <v>1839.1</v>
      </c>
      <c r="F28" s="84">
        <f>SUM(E28*12)</f>
        <v>22069.199999999997</v>
      </c>
      <c r="G28" s="84">
        <v>4.58</v>
      </c>
      <c r="H28" s="85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98</v>
      </c>
      <c r="C31" s="82" t="s">
        <v>99</v>
      </c>
      <c r="D31" s="81" t="s">
        <v>100</v>
      </c>
      <c r="E31" s="84">
        <v>58</v>
      </c>
      <c r="F31" s="84">
        <f>SUM(E31*52/1000)</f>
        <v>3.016</v>
      </c>
      <c r="G31" s="84">
        <v>193.97</v>
      </c>
      <c r="H31" s="85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101</v>
      </c>
      <c r="C32" s="82" t="s">
        <v>99</v>
      </c>
      <c r="D32" s="81" t="s">
        <v>102</v>
      </c>
      <c r="E32" s="84">
        <v>48.3</v>
      </c>
      <c r="F32" s="84">
        <f>SUM(E32*78/1000)</f>
        <v>3.7673999999999994</v>
      </c>
      <c r="G32" s="84">
        <v>321.82</v>
      </c>
      <c r="H32" s="85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2" t="s">
        <v>99</v>
      </c>
      <c r="D33" s="81" t="s">
        <v>53</v>
      </c>
      <c r="E33" s="84">
        <v>58</v>
      </c>
      <c r="F33" s="84">
        <f>SUM(E33/1000)</f>
        <v>5.8000000000000003E-2</v>
      </c>
      <c r="G33" s="84">
        <v>3758.28</v>
      </c>
      <c r="H33" s="85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103</v>
      </c>
      <c r="C34" s="82" t="s">
        <v>39</v>
      </c>
      <c r="D34" s="81" t="s">
        <v>62</v>
      </c>
      <c r="E34" s="84">
        <v>1</v>
      </c>
      <c r="F34" s="84">
        <f>E34*155/100</f>
        <v>1.55</v>
      </c>
      <c r="G34" s="84">
        <v>1620.15</v>
      </c>
      <c r="H34" s="85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104</v>
      </c>
      <c r="C35" s="82" t="s">
        <v>29</v>
      </c>
      <c r="D35" s="81" t="s">
        <v>62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1" t="s">
        <v>63</v>
      </c>
      <c r="C36" s="82" t="s">
        <v>31</v>
      </c>
      <c r="D36" s="81" t="s">
        <v>65</v>
      </c>
      <c r="E36" s="83"/>
      <c r="F36" s="84">
        <v>1</v>
      </c>
      <c r="G36" s="84">
        <v>238.07</v>
      </c>
      <c r="H36" s="85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1" t="s">
        <v>64</v>
      </c>
      <c r="C37" s="82" t="s">
        <v>30</v>
      </c>
      <c r="D37" s="81" t="s">
        <v>65</v>
      </c>
      <c r="E37" s="83"/>
      <c r="F37" s="84">
        <v>1</v>
      </c>
      <c r="G37" s="84">
        <v>1413.96</v>
      </c>
      <c r="H37" s="85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4</v>
      </c>
      <c r="B39" s="81" t="s">
        <v>25</v>
      </c>
      <c r="C39" s="82" t="s">
        <v>30</v>
      </c>
      <c r="D39" s="81" t="s">
        <v>281</v>
      </c>
      <c r="E39" s="83"/>
      <c r="F39" s="84">
        <v>2</v>
      </c>
      <c r="G39" s="84">
        <v>1900.37</v>
      </c>
      <c r="H39" s="85">
        <f t="shared" ref="H39" si="1">SUM(F39*G39/1000)</f>
        <v>3.8007399999999998</v>
      </c>
      <c r="I39" s="13">
        <f>G39*1.5</f>
        <v>2850.5549999999998</v>
      </c>
      <c r="J39" s="23"/>
    </row>
    <row r="40" spans="1:14" ht="15.75" customHeight="1">
      <c r="A40" s="33">
        <v>5</v>
      </c>
      <c r="B40" s="81" t="s">
        <v>66</v>
      </c>
      <c r="C40" s="82" t="s">
        <v>28</v>
      </c>
      <c r="D40" s="81" t="s">
        <v>166</v>
      </c>
      <c r="E40" s="84">
        <v>48.3</v>
      </c>
      <c r="F40" s="84">
        <f>SUM(E40*30/1000)</f>
        <v>1.4490000000000001</v>
      </c>
      <c r="G40" s="84">
        <v>2616.4899999999998</v>
      </c>
      <c r="H40" s="85">
        <f t="shared" ref="H40:H44" si="2">SUM(F40*G40/1000)</f>
        <v>3.7912940100000001</v>
      </c>
      <c r="I40" s="13">
        <f t="shared" ref="I40:I42" si="3">F40/6*G40</f>
        <v>631.88233500000001</v>
      </c>
      <c r="J40" s="23"/>
    </row>
    <row r="41" spans="1:14" ht="15.75" customHeight="1">
      <c r="A41" s="33">
        <v>6</v>
      </c>
      <c r="B41" s="81" t="s">
        <v>67</v>
      </c>
      <c r="C41" s="82" t="s">
        <v>28</v>
      </c>
      <c r="D41" s="81" t="s">
        <v>167</v>
      </c>
      <c r="E41" s="84">
        <v>48.3</v>
      </c>
      <c r="F41" s="84">
        <f>SUM(E41*155/1000)</f>
        <v>7.4865000000000004</v>
      </c>
      <c r="G41" s="84">
        <v>436.45</v>
      </c>
      <c r="H41" s="85">
        <f t="shared" si="2"/>
        <v>3.2674829250000004</v>
      </c>
      <c r="I41" s="13">
        <f t="shared" si="3"/>
        <v>544.5804875</v>
      </c>
      <c r="J41" s="23"/>
    </row>
    <row r="42" spans="1:14" ht="47.25" customHeight="1">
      <c r="A42" s="33">
        <v>7</v>
      </c>
      <c r="B42" s="81" t="s">
        <v>79</v>
      </c>
      <c r="C42" s="82" t="s">
        <v>99</v>
      </c>
      <c r="D42" s="81" t="s">
        <v>168</v>
      </c>
      <c r="E42" s="84">
        <f>E40</f>
        <v>48.3</v>
      </c>
      <c r="F42" s="84">
        <f>SUM(E42*35/1000)</f>
        <v>1.6904999999999999</v>
      </c>
      <c r="G42" s="84">
        <v>7221.21</v>
      </c>
      <c r="H42" s="85">
        <f t="shared" si="2"/>
        <v>12.207455505</v>
      </c>
      <c r="I42" s="13">
        <f t="shared" si="3"/>
        <v>2034.5759175000001</v>
      </c>
      <c r="J42" s="23"/>
      <c r="L42" s="19"/>
      <c r="M42" s="20"/>
      <c r="N42" s="21"/>
    </row>
    <row r="43" spans="1:14" ht="15.75" hidden="1" customHeight="1">
      <c r="A43" s="33">
        <v>9</v>
      </c>
      <c r="B43" s="81" t="s">
        <v>108</v>
      </c>
      <c r="C43" s="82" t="s">
        <v>99</v>
      </c>
      <c r="D43" s="81" t="s">
        <v>169</v>
      </c>
      <c r="E43" s="84">
        <f>E40</f>
        <v>48.3</v>
      </c>
      <c r="F43" s="84">
        <f>SUM(E43*20/1000)</f>
        <v>0.96599999999999997</v>
      </c>
      <c r="G43" s="84">
        <v>533.45000000000005</v>
      </c>
      <c r="H43" s="85">
        <f t="shared" si="2"/>
        <v>0.51531270000000007</v>
      </c>
      <c r="I43" s="13">
        <f>F43/7.5*G43</f>
        <v>68.708359999999999</v>
      </c>
      <c r="J43" s="23"/>
      <c r="L43" s="19"/>
      <c r="M43" s="20"/>
      <c r="N43" s="21"/>
    </row>
    <row r="44" spans="1:14" ht="15.75" hidden="1" customHeight="1">
      <c r="A44" s="33">
        <v>10</v>
      </c>
      <c r="B44" s="81" t="s">
        <v>68</v>
      </c>
      <c r="C44" s="82" t="s">
        <v>31</v>
      </c>
      <c r="D44" s="81"/>
      <c r="E44" s="83"/>
      <c r="F44" s="84">
        <v>0.5</v>
      </c>
      <c r="G44" s="84">
        <v>992.97</v>
      </c>
      <c r="H44" s="85">
        <f t="shared" si="2"/>
        <v>0.49648500000000001</v>
      </c>
      <c r="I44" s="13">
        <f>F44/7.5*G44</f>
        <v>66.198000000000008</v>
      </c>
      <c r="J44" s="23"/>
      <c r="L44" s="19"/>
      <c r="M44" s="20"/>
      <c r="N44" s="21"/>
    </row>
    <row r="45" spans="1:14" ht="15.75" customHeight="1">
      <c r="A45" s="151" t="s">
        <v>133</v>
      </c>
      <c r="B45" s="152"/>
      <c r="C45" s="152"/>
      <c r="D45" s="152"/>
      <c r="E45" s="152"/>
      <c r="F45" s="152"/>
      <c r="G45" s="152"/>
      <c r="H45" s="152"/>
      <c r="I45" s="153"/>
      <c r="J45" s="23"/>
      <c r="L45" s="19"/>
      <c r="M45" s="20"/>
      <c r="N45" s="21"/>
    </row>
    <row r="46" spans="1:14" ht="15.75" hidden="1" customHeight="1">
      <c r="A46" s="41">
        <v>12</v>
      </c>
      <c r="B46" s="81" t="s">
        <v>110</v>
      </c>
      <c r="C46" s="82" t="s">
        <v>99</v>
      </c>
      <c r="D46" s="81" t="s">
        <v>41</v>
      </c>
      <c r="E46" s="83">
        <v>1044.7</v>
      </c>
      <c r="F46" s="84">
        <f>SUM(E46*2/1000)</f>
        <v>2.0893999999999999</v>
      </c>
      <c r="G46" s="13">
        <v>1283.46</v>
      </c>
      <c r="H46" s="85">
        <f t="shared" ref="H46:H56" si="4">SUM(F46*G46/1000)</f>
        <v>2.6816613240000002</v>
      </c>
      <c r="I46" s="13">
        <f t="shared" ref="I46:I49" si="5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1" t="s">
        <v>34</v>
      </c>
      <c r="C47" s="82" t="s">
        <v>99</v>
      </c>
      <c r="D47" s="81" t="s">
        <v>41</v>
      </c>
      <c r="E47" s="83">
        <v>19.8</v>
      </c>
      <c r="F47" s="84">
        <f>SUM(E47*2/1000)</f>
        <v>3.9600000000000003E-2</v>
      </c>
      <c r="G47" s="13">
        <v>4192.6400000000003</v>
      </c>
      <c r="H47" s="85">
        <f t="shared" si="4"/>
        <v>0.16602854400000003</v>
      </c>
      <c r="I47" s="13">
        <f t="shared" si="5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1" t="s">
        <v>35</v>
      </c>
      <c r="C48" s="82" t="s">
        <v>99</v>
      </c>
      <c r="D48" s="81" t="s">
        <v>41</v>
      </c>
      <c r="E48" s="83">
        <v>660.84</v>
      </c>
      <c r="F48" s="84">
        <f>SUM(E48*2/1000)</f>
        <v>1.32168</v>
      </c>
      <c r="G48" s="13">
        <v>1711.28</v>
      </c>
      <c r="H48" s="85">
        <f t="shared" si="4"/>
        <v>2.2617645503999997</v>
      </c>
      <c r="I48" s="13">
        <f t="shared" si="5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1" t="s">
        <v>36</v>
      </c>
      <c r="C49" s="82" t="s">
        <v>99</v>
      </c>
      <c r="D49" s="81" t="s">
        <v>41</v>
      </c>
      <c r="E49" s="83">
        <v>1156.21</v>
      </c>
      <c r="F49" s="84">
        <f>SUM(E49*2/1000)</f>
        <v>2.3124199999999999</v>
      </c>
      <c r="G49" s="13">
        <v>1179.73</v>
      </c>
      <c r="H49" s="85">
        <f t="shared" si="4"/>
        <v>2.7280312466000001</v>
      </c>
      <c r="I49" s="13">
        <f t="shared" si="5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1" t="s">
        <v>32</v>
      </c>
      <c r="C50" s="82" t="s">
        <v>33</v>
      </c>
      <c r="D50" s="81" t="s">
        <v>137</v>
      </c>
      <c r="E50" s="83">
        <v>17.2</v>
      </c>
      <c r="F50" s="84">
        <f>SUM(E50*2/100)</f>
        <v>0.34399999999999997</v>
      </c>
      <c r="G50" s="13">
        <v>90.61</v>
      </c>
      <c r="H50" s="85">
        <f t="shared" si="4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8</v>
      </c>
      <c r="B51" s="81" t="s">
        <v>55</v>
      </c>
      <c r="C51" s="82" t="s">
        <v>99</v>
      </c>
      <c r="D51" s="81" t="s">
        <v>170</v>
      </c>
      <c r="E51" s="83">
        <v>1839.1</v>
      </c>
      <c r="F51" s="84">
        <f>SUM(E51*5/1000)</f>
        <v>9.1954999999999991</v>
      </c>
      <c r="G51" s="13">
        <v>1711.28</v>
      </c>
      <c r="H51" s="85">
        <f t="shared" si="4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1" t="s">
        <v>111</v>
      </c>
      <c r="C52" s="82" t="s">
        <v>99</v>
      </c>
      <c r="D52" s="81" t="s">
        <v>41</v>
      </c>
      <c r="E52" s="83">
        <f>E51</f>
        <v>1839.1</v>
      </c>
      <c r="F52" s="84">
        <f>SUM(E52*2/1000)</f>
        <v>3.6781999999999999</v>
      </c>
      <c r="G52" s="13">
        <v>1510.06</v>
      </c>
      <c r="H52" s="85">
        <f t="shared" si="4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1" t="s">
        <v>112</v>
      </c>
      <c r="C53" s="82" t="s">
        <v>37</v>
      </c>
      <c r="D53" s="81" t="s">
        <v>41</v>
      </c>
      <c r="E53" s="83">
        <v>9</v>
      </c>
      <c r="F53" s="84">
        <f>SUM(E53*2/100)</f>
        <v>0.18</v>
      </c>
      <c r="G53" s="13">
        <v>3850.4</v>
      </c>
      <c r="H53" s="85">
        <f t="shared" si="4"/>
        <v>0.69307200000000002</v>
      </c>
      <c r="I53" s="13">
        <f t="shared" ref="I53:I54" si="6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1" t="s">
        <v>38</v>
      </c>
      <c r="C54" s="82" t="s">
        <v>39</v>
      </c>
      <c r="D54" s="81" t="s">
        <v>41</v>
      </c>
      <c r="E54" s="83">
        <v>1</v>
      </c>
      <c r="F54" s="84">
        <v>0.02</v>
      </c>
      <c r="G54" s="13">
        <v>7033.13</v>
      </c>
      <c r="H54" s="85">
        <f t="shared" si="4"/>
        <v>0.1406626</v>
      </c>
      <c r="I54" s="13">
        <f t="shared" si="6"/>
        <v>70.331299999999999</v>
      </c>
      <c r="J54" s="23"/>
      <c r="L54" s="19"/>
      <c r="M54" s="20"/>
      <c r="N54" s="21"/>
    </row>
    <row r="55" spans="1:14" ht="15.75" hidden="1" customHeight="1">
      <c r="A55" s="41">
        <v>10</v>
      </c>
      <c r="B55" s="81" t="s">
        <v>138</v>
      </c>
      <c r="C55" s="82" t="s">
        <v>29</v>
      </c>
      <c r="D55" s="124">
        <v>44193</v>
      </c>
      <c r="E55" s="83">
        <v>36</v>
      </c>
      <c r="F55" s="84">
        <f>E55*3</f>
        <v>108</v>
      </c>
      <c r="G55" s="13">
        <v>175.6</v>
      </c>
      <c r="H55" s="85">
        <f t="shared" si="4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11</v>
      </c>
      <c r="B56" s="81" t="s">
        <v>40</v>
      </c>
      <c r="C56" s="82" t="s">
        <v>29</v>
      </c>
      <c r="D56" s="124">
        <v>44193</v>
      </c>
      <c r="E56" s="83">
        <v>36</v>
      </c>
      <c r="F56" s="84">
        <f>E56*3</f>
        <v>108</v>
      </c>
      <c r="G56" s="13">
        <v>81.73</v>
      </c>
      <c r="H56" s="85">
        <f t="shared" si="4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51" t="s">
        <v>134</v>
      </c>
      <c r="B57" s="152"/>
      <c r="C57" s="152"/>
      <c r="D57" s="152"/>
      <c r="E57" s="152"/>
      <c r="F57" s="152"/>
      <c r="G57" s="152"/>
      <c r="H57" s="152"/>
      <c r="I57" s="153"/>
      <c r="J57" s="23"/>
      <c r="L57" s="19"/>
      <c r="M57" s="20"/>
      <c r="N57" s="21"/>
    </row>
    <row r="58" spans="1:14" ht="15.75" hidden="1" customHeight="1">
      <c r="A58" s="108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1" t="s">
        <v>114</v>
      </c>
      <c r="C59" s="82" t="s">
        <v>140</v>
      </c>
      <c r="D59" s="81" t="s">
        <v>70</v>
      </c>
      <c r="E59" s="83">
        <v>12.5</v>
      </c>
      <c r="F59" s="84">
        <f>E59*6/100</f>
        <v>0.75</v>
      </c>
      <c r="G59" s="90">
        <v>2306.62</v>
      </c>
      <c r="H59" s="85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1" t="s">
        <v>82</v>
      </c>
      <c r="C60" s="92" t="s">
        <v>115</v>
      </c>
      <c r="D60" s="37" t="s">
        <v>65</v>
      </c>
      <c r="E60" s="93"/>
      <c r="F60" s="94">
        <v>2</v>
      </c>
      <c r="G60" s="95">
        <v>1501</v>
      </c>
      <c r="H60" s="85">
        <f>F60*G60/1000</f>
        <v>3.0019999999999998</v>
      </c>
      <c r="I60" s="13">
        <f>G60*1.5</f>
        <v>2251.5</v>
      </c>
      <c r="J60" s="23"/>
      <c r="L60" s="19"/>
      <c r="M60" s="20"/>
      <c r="N60" s="21"/>
    </row>
    <row r="61" spans="1:14" ht="15.75" hidden="1" customHeight="1">
      <c r="A61" s="41"/>
      <c r="B61" s="107" t="s">
        <v>43</v>
      </c>
      <c r="C61" s="107"/>
      <c r="D61" s="107"/>
      <c r="E61" s="107"/>
      <c r="F61" s="75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1" t="s">
        <v>44</v>
      </c>
      <c r="C62" s="92" t="s">
        <v>52</v>
      </c>
      <c r="D62" s="91" t="s">
        <v>53</v>
      </c>
      <c r="E62" s="93">
        <v>164</v>
      </c>
      <c r="F62" s="94">
        <f>E62/100</f>
        <v>1.64</v>
      </c>
      <c r="G62" s="95">
        <v>987.51</v>
      </c>
      <c r="H62" s="96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07" t="s">
        <v>45</v>
      </c>
      <c r="C63" s="16"/>
      <c r="D63" s="37"/>
      <c r="E63" s="15"/>
      <c r="F63" s="76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7" t="s">
        <v>46</v>
      </c>
      <c r="C64" s="16" t="s">
        <v>113</v>
      </c>
      <c r="D64" s="97" t="s">
        <v>65</v>
      </c>
      <c r="E64" s="18">
        <v>1</v>
      </c>
      <c r="F64" s="84">
        <f>E64</f>
        <v>1</v>
      </c>
      <c r="G64" s="13">
        <v>276.74</v>
      </c>
      <c r="H64" s="98">
        <f t="shared" ref="H64:H72" si="7">SUM(F64*G64/1000)</f>
        <v>0.27673999999999999</v>
      </c>
      <c r="I64" s="13">
        <v>0</v>
      </c>
    </row>
    <row r="65" spans="1:22" ht="15.75" hidden="1" customHeight="1">
      <c r="A65" s="29">
        <v>29</v>
      </c>
      <c r="B65" s="97" t="s">
        <v>47</v>
      </c>
      <c r="C65" s="16" t="s">
        <v>113</v>
      </c>
      <c r="D65" s="97" t="s">
        <v>65</v>
      </c>
      <c r="E65" s="18">
        <v>3</v>
      </c>
      <c r="F65" s="84">
        <v>3</v>
      </c>
      <c r="G65" s="13">
        <v>94.89</v>
      </c>
      <c r="H65" s="98">
        <f t="shared" si="7"/>
        <v>0.28467000000000003</v>
      </c>
      <c r="I65" s="13">
        <v>0</v>
      </c>
    </row>
    <row r="66" spans="1:22" ht="15.75" hidden="1" customHeight="1">
      <c r="A66" s="29">
        <v>28</v>
      </c>
      <c r="B66" s="97" t="s">
        <v>48</v>
      </c>
      <c r="C66" s="16" t="s">
        <v>116</v>
      </c>
      <c r="D66" s="97" t="s">
        <v>53</v>
      </c>
      <c r="E66" s="83">
        <v>7265</v>
      </c>
      <c r="F66" s="13">
        <f>SUM(E66/100)</f>
        <v>72.650000000000006</v>
      </c>
      <c r="G66" s="13">
        <v>263.99</v>
      </c>
      <c r="H66" s="98">
        <f t="shared" si="7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7" t="s">
        <v>49</v>
      </c>
      <c r="C67" s="16" t="s">
        <v>117</v>
      </c>
      <c r="D67" s="97" t="s">
        <v>53</v>
      </c>
      <c r="E67" s="83">
        <f>E66</f>
        <v>7265</v>
      </c>
      <c r="F67" s="13">
        <f>SUM(E67/1000)</f>
        <v>7.2649999999999997</v>
      </c>
      <c r="G67" s="13">
        <v>205.57</v>
      </c>
      <c r="H67" s="98">
        <f t="shared" si="7"/>
        <v>1.4934660500000001</v>
      </c>
      <c r="I67" s="13">
        <f t="shared" ref="I67:I70" si="8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7" t="s">
        <v>50</v>
      </c>
      <c r="C68" s="16" t="s">
        <v>75</v>
      </c>
      <c r="D68" s="97" t="s">
        <v>53</v>
      </c>
      <c r="E68" s="83">
        <v>1090</v>
      </c>
      <c r="F68" s="13">
        <f>SUM(E68/100)</f>
        <v>10.9</v>
      </c>
      <c r="G68" s="13">
        <v>2581.5300000000002</v>
      </c>
      <c r="H68" s="98">
        <f t="shared" si="7"/>
        <v>28.138677000000005</v>
      </c>
      <c r="I68" s="13">
        <f t="shared" si="8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99" t="s">
        <v>118</v>
      </c>
      <c r="C69" s="16" t="s">
        <v>31</v>
      </c>
      <c r="D69" s="97"/>
      <c r="E69" s="83">
        <v>7.6</v>
      </c>
      <c r="F69" s="13">
        <f>SUM(E69)</f>
        <v>7.6</v>
      </c>
      <c r="G69" s="13">
        <v>47.45</v>
      </c>
      <c r="H69" s="98">
        <f t="shared" si="7"/>
        <v>0.36062</v>
      </c>
      <c r="I69" s="13">
        <f t="shared" si="8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99" t="s">
        <v>141</v>
      </c>
      <c r="C70" s="16" t="s">
        <v>31</v>
      </c>
      <c r="D70" s="97"/>
      <c r="E70" s="83">
        <f>E69</f>
        <v>7.6</v>
      </c>
      <c r="F70" s="13">
        <f>SUM(E70)</f>
        <v>7.6</v>
      </c>
      <c r="G70" s="13">
        <v>44.27</v>
      </c>
      <c r="H70" s="98">
        <f t="shared" si="7"/>
        <v>0.33645199999999997</v>
      </c>
      <c r="I70" s="13">
        <f t="shared" si="8"/>
        <v>336.452</v>
      </c>
      <c r="J70" s="5"/>
      <c r="K70" s="5"/>
      <c r="L70" s="5"/>
      <c r="M70" s="5"/>
      <c r="N70" s="5"/>
      <c r="O70" s="5"/>
      <c r="P70" s="5"/>
      <c r="Q70" s="5"/>
      <c r="R70" s="143"/>
      <c r="S70" s="143"/>
      <c r="T70" s="143"/>
      <c r="U70" s="143"/>
    </row>
    <row r="71" spans="1:22" ht="15.75" hidden="1" customHeight="1">
      <c r="A71" s="29">
        <v>18</v>
      </c>
      <c r="B71" s="97" t="s">
        <v>56</v>
      </c>
      <c r="C71" s="16" t="s">
        <v>57</v>
      </c>
      <c r="D71" s="97" t="s">
        <v>53</v>
      </c>
      <c r="E71" s="18">
        <v>2</v>
      </c>
      <c r="F71" s="84">
        <f>SUM(E71)</f>
        <v>2</v>
      </c>
      <c r="G71" s="13">
        <v>62.07</v>
      </c>
      <c r="H71" s="98">
        <f t="shared" si="7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9</v>
      </c>
      <c r="B72" s="97" t="s">
        <v>83</v>
      </c>
      <c r="C72" s="41" t="s">
        <v>128</v>
      </c>
      <c r="D72" s="37"/>
      <c r="E72" s="17">
        <v>1839.1</v>
      </c>
      <c r="F72" s="100">
        <f>SUM(E72*12)</f>
        <v>22069.199999999997</v>
      </c>
      <c r="G72" s="13">
        <v>2.16</v>
      </c>
      <c r="H72" s="98">
        <f t="shared" si="7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71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7" t="s">
        <v>120</v>
      </c>
      <c r="C74" s="16" t="s">
        <v>121</v>
      </c>
      <c r="D74" s="97" t="s">
        <v>65</v>
      </c>
      <c r="E74" s="18">
        <v>1</v>
      </c>
      <c r="F74" s="13">
        <f>E74</f>
        <v>1</v>
      </c>
      <c r="G74" s="13">
        <v>976.4</v>
      </c>
      <c r="H74" s="98">
        <f t="shared" ref="H74:H78" si="9">SUM(F74*G74/1000)</f>
        <v>0.97639999999999993</v>
      </c>
      <c r="I74" s="13">
        <v>0</v>
      </c>
    </row>
    <row r="75" spans="1:22" ht="15.75" hidden="1" customHeight="1">
      <c r="A75" s="29"/>
      <c r="B75" s="97" t="s">
        <v>122</v>
      </c>
      <c r="C75" s="16" t="s">
        <v>123</v>
      </c>
      <c r="D75" s="97"/>
      <c r="E75" s="18">
        <v>1</v>
      </c>
      <c r="F75" s="13">
        <v>1</v>
      </c>
      <c r="G75" s="13">
        <v>650</v>
      </c>
      <c r="H75" s="98">
        <f t="shared" si="9"/>
        <v>0.65</v>
      </c>
      <c r="I75" s="13">
        <v>0</v>
      </c>
    </row>
    <row r="76" spans="1:22" ht="15.75" hidden="1" customHeight="1">
      <c r="A76" s="29"/>
      <c r="B76" s="97" t="s">
        <v>72</v>
      </c>
      <c r="C76" s="16" t="s">
        <v>142</v>
      </c>
      <c r="D76" s="97" t="s">
        <v>65</v>
      </c>
      <c r="E76" s="18">
        <v>3</v>
      </c>
      <c r="F76" s="13">
        <f>E76/10</f>
        <v>0.3</v>
      </c>
      <c r="G76" s="13">
        <v>624.16999999999996</v>
      </c>
      <c r="H76" s="98">
        <f t="shared" si="9"/>
        <v>0.18725099999999997</v>
      </c>
      <c r="I76" s="13">
        <v>0</v>
      </c>
    </row>
    <row r="77" spans="1:22" ht="15.75" hidden="1" customHeight="1">
      <c r="A77" s="29"/>
      <c r="B77" s="97" t="s">
        <v>73</v>
      </c>
      <c r="C77" s="16" t="s">
        <v>29</v>
      </c>
      <c r="D77" s="97" t="s">
        <v>65</v>
      </c>
      <c r="E77" s="18">
        <v>1</v>
      </c>
      <c r="F77" s="13">
        <v>1</v>
      </c>
      <c r="G77" s="13">
        <v>1061.4100000000001</v>
      </c>
      <c r="H77" s="98">
        <f t="shared" si="9"/>
        <v>1.0614100000000002</v>
      </c>
      <c r="I77" s="13">
        <v>0</v>
      </c>
    </row>
    <row r="78" spans="1:22" ht="15.75" hidden="1" customHeight="1">
      <c r="A78" s="29">
        <v>17</v>
      </c>
      <c r="B78" s="97" t="s">
        <v>84</v>
      </c>
      <c r="C78" s="16" t="s">
        <v>29</v>
      </c>
      <c r="D78" s="97" t="s">
        <v>65</v>
      </c>
      <c r="E78" s="18">
        <v>1</v>
      </c>
      <c r="F78" s="84">
        <f>SUM(E78)</f>
        <v>1</v>
      </c>
      <c r="G78" s="13">
        <v>446.12</v>
      </c>
      <c r="H78" s="98">
        <f t="shared" si="9"/>
        <v>0.44612000000000002</v>
      </c>
      <c r="I78" s="13">
        <f>G78</f>
        <v>446.12</v>
      </c>
    </row>
    <row r="79" spans="1:22" ht="15.75" hidden="1" customHeight="1">
      <c r="A79" s="29"/>
      <c r="B79" s="50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124</v>
      </c>
      <c r="C80" s="16" t="s">
        <v>75</v>
      </c>
      <c r="D80" s="97"/>
      <c r="E80" s="18"/>
      <c r="F80" s="13">
        <v>1.3</v>
      </c>
      <c r="G80" s="13">
        <v>3433.68</v>
      </c>
      <c r="H80" s="98">
        <f t="shared" ref="H80" si="10">SUM(F80*G80/1000)</f>
        <v>4.4637839999999995</v>
      </c>
      <c r="I80" s="13">
        <v>0</v>
      </c>
    </row>
    <row r="81" spans="1:9" ht="15.75" hidden="1" customHeight="1">
      <c r="A81" s="108"/>
      <c r="B81" s="107" t="s">
        <v>119</v>
      </c>
      <c r="C81" s="107"/>
      <c r="D81" s="107"/>
      <c r="E81" s="107"/>
      <c r="F81" s="107"/>
      <c r="G81" s="107"/>
      <c r="H81" s="107"/>
      <c r="I81" s="18"/>
    </row>
    <row r="82" spans="1:9" ht="15.75" hidden="1" customHeight="1">
      <c r="A82" s="29">
        <v>15</v>
      </c>
      <c r="B82" s="81" t="s">
        <v>86</v>
      </c>
      <c r="C82" s="16"/>
      <c r="D82" s="97"/>
      <c r="E82" s="101"/>
      <c r="F82" s="13">
        <v>1</v>
      </c>
      <c r="G82" s="13">
        <v>13707.8</v>
      </c>
      <c r="H82" s="98">
        <f>G82*F82/1000</f>
        <v>13.707799999999999</v>
      </c>
      <c r="I82" s="13">
        <f>G82</f>
        <v>13707.8</v>
      </c>
    </row>
    <row r="83" spans="1:9" ht="15.75" customHeight="1">
      <c r="A83" s="136" t="s">
        <v>135</v>
      </c>
      <c r="B83" s="137"/>
      <c r="C83" s="137"/>
      <c r="D83" s="137"/>
      <c r="E83" s="137"/>
      <c r="F83" s="137"/>
      <c r="G83" s="137"/>
      <c r="H83" s="137"/>
      <c r="I83" s="138"/>
    </row>
    <row r="84" spans="1:9" ht="15.75" customHeight="1">
      <c r="A84" s="29">
        <v>10</v>
      </c>
      <c r="B84" s="81" t="s">
        <v>125</v>
      </c>
      <c r="C84" s="16" t="s">
        <v>54</v>
      </c>
      <c r="D84" s="102"/>
      <c r="E84" s="13">
        <v>1839.1</v>
      </c>
      <c r="F84" s="13">
        <f>SUM(E84*12)</f>
        <v>22069.199999999997</v>
      </c>
      <c r="G84" s="13">
        <v>2.95</v>
      </c>
      <c r="H84" s="98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11</v>
      </c>
      <c r="B85" s="97" t="s">
        <v>76</v>
      </c>
      <c r="C85" s="16"/>
      <c r="D85" s="102"/>
      <c r="E85" s="83">
        <v>1839.1</v>
      </c>
      <c r="F85" s="13">
        <f>E85*12</f>
        <v>22069.199999999997</v>
      </c>
      <c r="G85" s="13">
        <v>3.05</v>
      </c>
      <c r="H85" s="98">
        <f>F85*G85/1000</f>
        <v>67.311059999999983</v>
      </c>
      <c r="I85" s="13">
        <f>F85/12*G85</f>
        <v>5609.2549999999983</v>
      </c>
    </row>
    <row r="86" spans="1:9" ht="31.5" hidden="1" customHeight="1">
      <c r="A86" s="29">
        <v>17</v>
      </c>
      <c r="B86" s="97" t="s">
        <v>129</v>
      </c>
      <c r="C86" s="16" t="s">
        <v>130</v>
      </c>
      <c r="D86" s="102" t="s">
        <v>143</v>
      </c>
      <c r="E86" s="101"/>
      <c r="F86" s="13"/>
      <c r="G86" s="13"/>
      <c r="H86" s="98">
        <v>59.113</v>
      </c>
      <c r="I86" s="13">
        <v>4926.08</v>
      </c>
    </row>
    <row r="87" spans="1:9" ht="15.75" customHeight="1">
      <c r="A87" s="108"/>
      <c r="B87" s="40" t="s">
        <v>78</v>
      </c>
      <c r="C87" s="41"/>
      <c r="D87" s="15"/>
      <c r="E87" s="15"/>
      <c r="F87" s="15"/>
      <c r="G87" s="18"/>
      <c r="H87" s="18"/>
      <c r="I87" s="31">
        <f>I85+I84+I72+I51+I42+I41+I40+I39+I18+I17+I16</f>
        <v>29848.037394666662</v>
      </c>
    </row>
    <row r="88" spans="1:9" ht="15.75" customHeight="1">
      <c r="A88" s="139" t="s">
        <v>59</v>
      </c>
      <c r="B88" s="140"/>
      <c r="C88" s="140"/>
      <c r="D88" s="140"/>
      <c r="E88" s="140"/>
      <c r="F88" s="140"/>
      <c r="G88" s="140"/>
      <c r="H88" s="140"/>
      <c r="I88" s="141"/>
    </row>
    <row r="89" spans="1:9" ht="15.75" customHeight="1">
      <c r="A89" s="29">
        <v>12</v>
      </c>
      <c r="B89" s="37" t="s">
        <v>157</v>
      </c>
      <c r="C89" s="38" t="s">
        <v>158</v>
      </c>
      <c r="D89" s="52"/>
      <c r="E89" s="13"/>
      <c r="F89" s="13">
        <v>2</v>
      </c>
      <c r="G89" s="36">
        <v>1.4</v>
      </c>
      <c r="H89" s="98">
        <f t="shared" ref="H89" si="11">G89*F89/1000</f>
        <v>2.8E-3</v>
      </c>
      <c r="I89" s="104">
        <f>G89*12</f>
        <v>16.799999999999997</v>
      </c>
    </row>
    <row r="90" spans="1:9" ht="31.5" customHeight="1">
      <c r="A90" s="29">
        <v>13</v>
      </c>
      <c r="B90" s="119" t="s">
        <v>160</v>
      </c>
      <c r="C90" s="65" t="s">
        <v>28</v>
      </c>
      <c r="D90" s="52"/>
      <c r="E90" s="13"/>
      <c r="F90" s="13"/>
      <c r="G90" s="118">
        <v>21369.24</v>
      </c>
      <c r="H90" s="98"/>
      <c r="I90" s="104">
        <f>G90*0.599*6/1000</f>
        <v>76.801048559999998</v>
      </c>
    </row>
    <row r="91" spans="1:9" ht="15" customHeight="1">
      <c r="A91" s="29">
        <v>14</v>
      </c>
      <c r="B91" s="119" t="s">
        <v>38</v>
      </c>
      <c r="C91" s="65" t="s">
        <v>282</v>
      </c>
      <c r="D91" s="130"/>
      <c r="E91" s="36"/>
      <c r="F91" s="36">
        <v>0.01</v>
      </c>
      <c r="G91" s="36">
        <v>8763.7900000000009</v>
      </c>
      <c r="H91" s="98"/>
      <c r="I91" s="104">
        <v>0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SUM(I89:I91)</f>
        <v>93.601048559999995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136</v>
      </c>
      <c r="C94" s="34"/>
      <c r="D94" s="34"/>
      <c r="E94" s="34"/>
      <c r="F94" s="34"/>
      <c r="G94" s="34"/>
      <c r="H94" s="34"/>
      <c r="I94" s="45">
        <f>I87+I92</f>
        <v>29941.638443226664</v>
      </c>
    </row>
    <row r="95" spans="1:9" ht="15.75">
      <c r="A95" s="142" t="s">
        <v>283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61"/>
      <c r="B96" s="158" t="s">
        <v>284</v>
      </c>
      <c r="C96" s="158"/>
      <c r="D96" s="158"/>
      <c r="E96" s="158"/>
      <c r="F96" s="158"/>
      <c r="G96" s="158"/>
      <c r="H96" s="79"/>
      <c r="I96" s="3"/>
    </row>
    <row r="97" spans="1:9">
      <c r="A97" s="105"/>
      <c r="B97" s="154" t="s">
        <v>6</v>
      </c>
      <c r="C97" s="154"/>
      <c r="D97" s="154"/>
      <c r="E97" s="154"/>
      <c r="F97" s="154"/>
      <c r="G97" s="15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59" t="s">
        <v>60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5.75">
      <c r="A102" s="11"/>
    </row>
    <row r="103" spans="1:9" ht="15.75">
      <c r="A103" s="160" t="s">
        <v>9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4"/>
    </row>
    <row r="105" spans="1:9" ht="15.75">
      <c r="B105" s="110" t="s">
        <v>10</v>
      </c>
      <c r="C105" s="161" t="s">
        <v>186</v>
      </c>
      <c r="D105" s="161"/>
      <c r="E105" s="161"/>
      <c r="F105" s="77"/>
      <c r="I105" s="109"/>
    </row>
    <row r="106" spans="1:9">
      <c r="A106" s="105"/>
      <c r="C106" s="154" t="s">
        <v>11</v>
      </c>
      <c r="D106" s="154"/>
      <c r="E106" s="154"/>
      <c r="F106" s="24"/>
      <c r="I106" s="11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110" t="s">
        <v>13</v>
      </c>
      <c r="C108" s="156"/>
      <c r="D108" s="156"/>
      <c r="E108" s="156"/>
      <c r="F108" s="78"/>
      <c r="I108" s="109"/>
    </row>
    <row r="109" spans="1:9">
      <c r="A109" s="105"/>
      <c r="C109" s="143" t="s">
        <v>11</v>
      </c>
      <c r="D109" s="143"/>
      <c r="E109" s="143"/>
      <c r="F109" s="105"/>
      <c r="I109" s="111" t="s">
        <v>12</v>
      </c>
    </row>
    <row r="110" spans="1:9" ht="15.75">
      <c r="A110" s="4" t="s">
        <v>14</v>
      </c>
    </row>
    <row r="111" spans="1:9">
      <c r="A111" s="157" t="s">
        <v>15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45" customHeight="1">
      <c r="A112" s="155" t="s">
        <v>16</v>
      </c>
      <c r="B112" s="155"/>
      <c r="C112" s="155"/>
      <c r="D112" s="155"/>
      <c r="E112" s="155"/>
      <c r="F112" s="155"/>
      <c r="G112" s="155"/>
      <c r="H112" s="155"/>
      <c r="I112" s="155"/>
    </row>
    <row r="113" spans="1:9" ht="30" customHeight="1">
      <c r="A113" s="155" t="s">
        <v>17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21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15.75">
      <c r="A115" s="155" t="s">
        <v>20</v>
      </c>
      <c r="B115" s="155"/>
      <c r="C115" s="155"/>
      <c r="D115" s="155"/>
      <c r="E115" s="155"/>
      <c r="F115" s="155"/>
      <c r="G115" s="155"/>
      <c r="H115" s="155"/>
      <c r="I115" s="155"/>
    </row>
  </sheetData>
  <autoFilter ref="I12:I65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0:U70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topLeftCell="A50" workbookViewId="0">
      <selection activeCell="G90" sqref="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144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201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44255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98</v>
      </c>
      <c r="C30" s="82" t="s">
        <v>99</v>
      </c>
      <c r="D30" s="81" t="s">
        <v>100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101</v>
      </c>
      <c r="C31" s="82" t="s">
        <v>99</v>
      </c>
      <c r="D31" s="81" t="s">
        <v>102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103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104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customHeight="1">
      <c r="A38" s="33">
        <v>5</v>
      </c>
      <c r="B38" s="81" t="s">
        <v>25</v>
      </c>
      <c r="C38" s="82" t="s">
        <v>30</v>
      </c>
      <c r="D38" s="81" t="s">
        <v>202</v>
      </c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>G38*1.3</f>
        <v>2470.4809999999998</v>
      </c>
      <c r="J38" s="23"/>
    </row>
    <row r="39" spans="1:14" ht="15.75" customHeight="1">
      <c r="A39" s="33">
        <v>6</v>
      </c>
      <c r="B39" s="81" t="s">
        <v>66</v>
      </c>
      <c r="C39" s="82" t="s">
        <v>28</v>
      </c>
      <c r="D39" s="81" t="s">
        <v>166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ref="I39:I41" si="2">F39/6*G39</f>
        <v>631.88233500000001</v>
      </c>
      <c r="J39" s="23"/>
    </row>
    <row r="40" spans="1:14" ht="15.75" customHeight="1">
      <c r="A40" s="33">
        <v>7</v>
      </c>
      <c r="B40" s="81" t="s">
        <v>67</v>
      </c>
      <c r="C40" s="82" t="s">
        <v>28</v>
      </c>
      <c r="D40" s="81" t="s">
        <v>167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8</v>
      </c>
      <c r="B41" s="81" t="s">
        <v>79</v>
      </c>
      <c r="C41" s="82" t="s">
        <v>99</v>
      </c>
      <c r="D41" s="81" t="s">
        <v>168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9</v>
      </c>
      <c r="B42" s="81" t="s">
        <v>108</v>
      </c>
      <c r="C42" s="82" t="s">
        <v>99</v>
      </c>
      <c r="D42" s="81" t="s">
        <v>165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G42*F42/20*2</f>
        <v>51.531270000000006</v>
      </c>
      <c r="J42" s="23"/>
      <c r="L42" s="19"/>
      <c r="M42" s="20"/>
      <c r="N42" s="21"/>
    </row>
    <row r="43" spans="1:14" ht="15.75" customHeight="1">
      <c r="A43" s="33">
        <v>10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G43*F43/20*2</f>
        <v>49.648499999999999</v>
      </c>
      <c r="J43" s="23"/>
      <c r="L43" s="19"/>
      <c r="M43" s="20"/>
      <c r="N43" s="21"/>
    </row>
    <row r="44" spans="1:14" ht="15.75" customHeight="1">
      <c r="A44" s="151" t="s">
        <v>133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15.75" hidden="1" customHeight="1">
      <c r="A45" s="41">
        <v>15</v>
      </c>
      <c r="B45" s="81" t="s">
        <v>110</v>
      </c>
      <c r="C45" s="82" t="s">
        <v>99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41"/>
      <c r="B46" s="81" t="s">
        <v>34</v>
      </c>
      <c r="C46" s="82" t="s">
        <v>99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15.75" hidden="1" customHeight="1">
      <c r="A47" s="41">
        <v>16</v>
      </c>
      <c r="B47" s="81" t="s">
        <v>35</v>
      </c>
      <c r="C47" s="82" t="s">
        <v>99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17</v>
      </c>
      <c r="B48" s="81" t="s">
        <v>36</v>
      </c>
      <c r="C48" s="82" t="s">
        <v>99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18</v>
      </c>
      <c r="B49" s="81" t="s">
        <v>32</v>
      </c>
      <c r="C49" s="82" t="s">
        <v>33</v>
      </c>
      <c r="D49" s="81" t="s">
        <v>137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15.75" customHeight="1">
      <c r="A50" s="41">
        <v>11</v>
      </c>
      <c r="B50" s="81" t="s">
        <v>55</v>
      </c>
      <c r="C50" s="82" t="s">
        <v>99</v>
      </c>
      <c r="D50" s="81" t="s">
        <v>170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1.5" hidden="1" customHeight="1">
      <c r="A51" s="41">
        <v>13</v>
      </c>
      <c r="B51" s="81" t="s">
        <v>111</v>
      </c>
      <c r="C51" s="82" t="s">
        <v>99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v>0</v>
      </c>
      <c r="J51" s="23"/>
      <c r="L51" s="19"/>
      <c r="M51" s="20"/>
      <c r="N51" s="21"/>
    </row>
    <row r="52" spans="1:14" ht="31.5" hidden="1" customHeight="1">
      <c r="A52" s="41">
        <v>14</v>
      </c>
      <c r="B52" s="81" t="s">
        <v>112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v>0</v>
      </c>
      <c r="J52" s="23"/>
      <c r="L52" s="19"/>
      <c r="M52" s="20"/>
      <c r="N52" s="21"/>
    </row>
    <row r="53" spans="1:14" ht="15.75" hidden="1" customHeight="1">
      <c r="A53" s="41">
        <v>15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13</v>
      </c>
      <c r="B54" s="81" t="s">
        <v>138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15.75" hidden="1" customHeight="1">
      <c r="A55" s="41">
        <v>14</v>
      </c>
      <c r="B55" s="81" t="s">
        <v>40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134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6.5" hidden="1" customHeight="1">
      <c r="A57" s="80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3" hidden="1" customHeight="1">
      <c r="A58" s="41">
        <v>10</v>
      </c>
      <c r="B58" s="81" t="s">
        <v>114</v>
      </c>
      <c r="C58" s="82" t="s">
        <v>52</v>
      </c>
      <c r="D58" s="81"/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G58*0.09</f>
        <v>207.59579999999997</v>
      </c>
      <c r="J58" s="23"/>
      <c r="L58" s="19"/>
      <c r="M58" s="20"/>
      <c r="N58" s="21"/>
    </row>
    <row r="59" spans="1:14" ht="18" hidden="1" customHeight="1">
      <c r="A59" s="41"/>
      <c r="B59" s="91" t="s">
        <v>82</v>
      </c>
      <c r="C59" s="92" t="s">
        <v>115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v>0</v>
      </c>
      <c r="J59" s="23"/>
      <c r="L59" s="19"/>
      <c r="M59" s="20"/>
      <c r="N59" s="21"/>
    </row>
    <row r="60" spans="1:14" ht="15.75" hidden="1" customHeight="1">
      <c r="A60" s="41"/>
      <c r="B60" s="74" t="s">
        <v>43</v>
      </c>
      <c r="C60" s="74"/>
      <c r="D60" s="74"/>
      <c r="E60" s="74"/>
      <c r="F60" s="75"/>
      <c r="G60" s="63"/>
      <c r="H60" s="63"/>
      <c r="I60" s="35"/>
      <c r="J60" s="23"/>
      <c r="L60" s="19"/>
      <c r="M60" s="20"/>
      <c r="N60" s="21"/>
    </row>
    <row r="61" spans="1:14" ht="18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hidden="1" customHeight="1">
      <c r="A62" s="41"/>
      <c r="B62" s="74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113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2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113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116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117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118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141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43"/>
      <c r="S69" s="143"/>
      <c r="T69" s="143"/>
      <c r="U69" s="143"/>
    </row>
    <row r="70" spans="1:22" ht="19.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9.5" customHeight="1">
      <c r="A71" s="29"/>
      <c r="B71" s="97"/>
      <c r="C71" s="16"/>
      <c r="D71" s="97"/>
      <c r="E71" s="18"/>
      <c r="F71" s="84"/>
      <c r="G71" s="13"/>
      <c r="H71" s="98"/>
      <c r="I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12</v>
      </c>
      <c r="B72" s="97" t="s">
        <v>83</v>
      </c>
      <c r="C72" s="41" t="s">
        <v>128</v>
      </c>
      <c r="D72" s="37"/>
      <c r="E72" s="17">
        <v>1839.1</v>
      </c>
      <c r="F72" s="100">
        <f>SUM(E72*12)</f>
        <v>22069.199999999997</v>
      </c>
      <c r="G72" s="13">
        <v>2.16</v>
      </c>
      <c r="H72" s="98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71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7" t="s">
        <v>120</v>
      </c>
      <c r="C74" s="16" t="s">
        <v>121</v>
      </c>
      <c r="D74" s="97" t="s">
        <v>65</v>
      </c>
      <c r="E74" s="18">
        <v>1</v>
      </c>
      <c r="F74" s="13">
        <f>E74</f>
        <v>1</v>
      </c>
      <c r="G74" s="13">
        <v>976.4</v>
      </c>
      <c r="H74" s="98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7" t="s">
        <v>122</v>
      </c>
      <c r="C75" s="16" t="s">
        <v>123</v>
      </c>
      <c r="D75" s="97"/>
      <c r="E75" s="18">
        <v>1</v>
      </c>
      <c r="F75" s="13">
        <v>1</v>
      </c>
      <c r="G75" s="13">
        <v>650</v>
      </c>
      <c r="H75" s="98">
        <f t="shared" si="5"/>
        <v>0.65</v>
      </c>
      <c r="I75" s="13">
        <v>0</v>
      </c>
    </row>
    <row r="76" spans="1:22" ht="15.75" hidden="1" customHeight="1">
      <c r="A76" s="29"/>
      <c r="B76" s="97" t="s">
        <v>72</v>
      </c>
      <c r="C76" s="16" t="s">
        <v>142</v>
      </c>
      <c r="D76" s="97" t="s">
        <v>65</v>
      </c>
      <c r="E76" s="18">
        <v>3</v>
      </c>
      <c r="F76" s="13">
        <f>E76/10</f>
        <v>0.3</v>
      </c>
      <c r="G76" s="13">
        <v>624.16999999999996</v>
      </c>
      <c r="H76" s="98">
        <f t="shared" si="5"/>
        <v>0.18725099999999997</v>
      </c>
      <c r="I76" s="13">
        <v>0</v>
      </c>
    </row>
    <row r="77" spans="1:22" ht="15.75" hidden="1" customHeight="1">
      <c r="A77" s="29"/>
      <c r="B77" s="97" t="s">
        <v>73</v>
      </c>
      <c r="C77" s="16" t="s">
        <v>29</v>
      </c>
      <c r="D77" s="97" t="s">
        <v>65</v>
      </c>
      <c r="E77" s="18">
        <v>1</v>
      </c>
      <c r="F77" s="13">
        <v>1</v>
      </c>
      <c r="G77" s="13">
        <v>1061.4100000000001</v>
      </c>
      <c r="H77" s="98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7" t="s">
        <v>84</v>
      </c>
      <c r="C78" s="16" t="s">
        <v>29</v>
      </c>
      <c r="D78" s="97" t="s">
        <v>65</v>
      </c>
      <c r="E78" s="18">
        <v>1</v>
      </c>
      <c r="F78" s="84">
        <f>SUM(E78)</f>
        <v>1</v>
      </c>
      <c r="G78" s="13">
        <v>446.12</v>
      </c>
      <c r="H78" s="98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124</v>
      </c>
      <c r="C80" s="16" t="s">
        <v>75</v>
      </c>
      <c r="D80" s="97"/>
      <c r="E80" s="18"/>
      <c r="F80" s="13">
        <v>1.3</v>
      </c>
      <c r="G80" s="13">
        <v>3433.68</v>
      </c>
      <c r="H80" s="98">
        <f t="shared" ref="H80" si="6">SUM(F80*G80/1000)</f>
        <v>4.4637839999999995</v>
      </c>
      <c r="I80" s="13">
        <v>0</v>
      </c>
    </row>
    <row r="81" spans="1:9" ht="15.75" hidden="1" customHeight="1">
      <c r="A81" s="80"/>
      <c r="B81" s="74" t="s">
        <v>119</v>
      </c>
      <c r="C81" s="74"/>
      <c r="D81" s="74"/>
      <c r="E81" s="74"/>
      <c r="F81" s="74"/>
      <c r="G81" s="74"/>
      <c r="H81" s="74"/>
      <c r="I81" s="18"/>
    </row>
    <row r="82" spans="1:9" ht="15.75" hidden="1" customHeight="1">
      <c r="A82" s="29">
        <v>15</v>
      </c>
      <c r="B82" s="81" t="s">
        <v>86</v>
      </c>
      <c r="C82" s="16"/>
      <c r="D82" s="97"/>
      <c r="E82" s="101"/>
      <c r="F82" s="13">
        <v>1</v>
      </c>
      <c r="G82" s="13">
        <v>13707.8</v>
      </c>
      <c r="H82" s="98">
        <f>G82*F82/1000</f>
        <v>13.707799999999999</v>
      </c>
      <c r="I82" s="13">
        <f>G82</f>
        <v>13707.8</v>
      </c>
    </row>
    <row r="83" spans="1:9" ht="15.75" customHeight="1">
      <c r="A83" s="136" t="s">
        <v>135</v>
      </c>
      <c r="B83" s="137"/>
      <c r="C83" s="137"/>
      <c r="D83" s="137"/>
      <c r="E83" s="137"/>
      <c r="F83" s="137"/>
      <c r="G83" s="137"/>
      <c r="H83" s="137"/>
      <c r="I83" s="138"/>
    </row>
    <row r="84" spans="1:9" ht="15.75" customHeight="1">
      <c r="A84" s="29">
        <v>13</v>
      </c>
      <c r="B84" s="81" t="s">
        <v>125</v>
      </c>
      <c r="C84" s="16" t="s">
        <v>54</v>
      </c>
      <c r="D84" s="102"/>
      <c r="E84" s="13">
        <v>1839.1</v>
      </c>
      <c r="F84" s="13">
        <f>SUM(E84*12)</f>
        <v>22069.199999999997</v>
      </c>
      <c r="G84" s="13">
        <v>2.95</v>
      </c>
      <c r="H84" s="98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14</v>
      </c>
      <c r="B85" s="97" t="s">
        <v>76</v>
      </c>
      <c r="C85" s="16"/>
      <c r="D85" s="102"/>
      <c r="E85" s="83">
        <v>1839.1</v>
      </c>
      <c r="F85" s="13">
        <f>E85*12</f>
        <v>22069.199999999997</v>
      </c>
      <c r="G85" s="13">
        <v>3.05</v>
      </c>
      <c r="H85" s="98">
        <f>F85*G85/1000</f>
        <v>67.311059999999983</v>
      </c>
      <c r="I85" s="13">
        <f>F85/12*G85</f>
        <v>5609.2549999999983</v>
      </c>
    </row>
    <row r="86" spans="1:9" ht="31.5" hidden="1" customHeight="1">
      <c r="A86" s="29">
        <v>16</v>
      </c>
      <c r="B86" s="97" t="s">
        <v>129</v>
      </c>
      <c r="C86" s="16" t="s">
        <v>130</v>
      </c>
      <c r="D86" s="102"/>
      <c r="E86" s="101"/>
      <c r="F86" s="13"/>
      <c r="G86" s="13"/>
      <c r="H86" s="98">
        <v>59.113</v>
      </c>
      <c r="I86" s="13">
        <v>4926.08</v>
      </c>
    </row>
    <row r="87" spans="1:9" ht="15.75" customHeight="1">
      <c r="A87" s="80"/>
      <c r="B87" s="40" t="s">
        <v>78</v>
      </c>
      <c r="C87" s="41"/>
      <c r="D87" s="15"/>
      <c r="E87" s="15"/>
      <c r="F87" s="15"/>
      <c r="G87" s="18"/>
      <c r="H87" s="18"/>
      <c r="I87" s="31">
        <f>I85+I84+I72+I50+I43+I42+I41+I40+I39+I38+I27+I18+I17+I16</f>
        <v>30335.35371466666</v>
      </c>
    </row>
    <row r="88" spans="1:9" ht="15.75" customHeight="1">
      <c r="A88" s="139" t="s">
        <v>59</v>
      </c>
      <c r="B88" s="140"/>
      <c r="C88" s="140"/>
      <c r="D88" s="140"/>
      <c r="E88" s="140"/>
      <c r="F88" s="140"/>
      <c r="G88" s="140"/>
      <c r="H88" s="140"/>
      <c r="I88" s="141"/>
    </row>
    <row r="89" spans="1:9" ht="15.75" customHeight="1">
      <c r="A89" s="29">
        <v>15</v>
      </c>
      <c r="B89" s="97" t="s">
        <v>157</v>
      </c>
      <c r="C89" s="16" t="s">
        <v>158</v>
      </c>
      <c r="D89" s="97"/>
      <c r="E89" s="18"/>
      <c r="F89" s="13">
        <v>24</v>
      </c>
      <c r="G89" s="13">
        <v>1.4</v>
      </c>
      <c r="H89" s="13">
        <f>F89*G89/1000</f>
        <v>3.3599999999999991E-2</v>
      </c>
      <c r="I89" s="13">
        <f>G89*12</f>
        <v>16.799999999999997</v>
      </c>
    </row>
    <row r="90" spans="1:9" ht="30.75" customHeight="1">
      <c r="A90" s="29">
        <v>16</v>
      </c>
      <c r="B90" s="119" t="s">
        <v>160</v>
      </c>
      <c r="C90" s="65" t="s">
        <v>28</v>
      </c>
      <c r="D90" s="97"/>
      <c r="E90" s="18"/>
      <c r="F90" s="13">
        <v>2.2000000000000002</v>
      </c>
      <c r="G90" s="118">
        <v>21369.24</v>
      </c>
      <c r="H90" s="13">
        <f>F90*G90/1000</f>
        <v>47.012328000000011</v>
      </c>
      <c r="I90" s="13">
        <f>G90*6*0.599/1000</f>
        <v>76.801048559999998</v>
      </c>
    </row>
    <row r="91" spans="1:9" ht="16.5" customHeight="1">
      <c r="A91" s="29">
        <v>17</v>
      </c>
      <c r="B91" s="131" t="s">
        <v>203</v>
      </c>
      <c r="C91" s="29" t="s">
        <v>204</v>
      </c>
      <c r="D91" s="126"/>
      <c r="E91" s="36"/>
      <c r="F91" s="36">
        <v>1</v>
      </c>
      <c r="G91" s="36">
        <v>4402.3500000000004</v>
      </c>
      <c r="H91" s="13"/>
      <c r="I91" s="13">
        <f>G91*1</f>
        <v>4402.3500000000004</v>
      </c>
    </row>
    <row r="92" spans="1:9" ht="15" customHeight="1">
      <c r="A92" s="29">
        <v>18</v>
      </c>
      <c r="B92" s="119" t="s">
        <v>182</v>
      </c>
      <c r="C92" s="65" t="s">
        <v>113</v>
      </c>
      <c r="D92" s="126"/>
      <c r="E92" s="36"/>
      <c r="F92" s="36">
        <v>1</v>
      </c>
      <c r="G92" s="36">
        <v>224.48</v>
      </c>
      <c r="H92" s="13"/>
      <c r="I92" s="13">
        <f>G92*1</f>
        <v>224.48</v>
      </c>
    </row>
    <row r="93" spans="1:9" ht="30.75" customHeight="1">
      <c r="A93" s="29">
        <v>19</v>
      </c>
      <c r="B93" s="119" t="s">
        <v>176</v>
      </c>
      <c r="C93" s="65" t="s">
        <v>177</v>
      </c>
      <c r="D93" s="126" t="s">
        <v>196</v>
      </c>
      <c r="E93" s="36"/>
      <c r="F93" s="36">
        <v>2</v>
      </c>
      <c r="G93" s="36">
        <v>64.040000000000006</v>
      </c>
      <c r="H93" s="13"/>
      <c r="I93" s="13">
        <f>G93*1</f>
        <v>64.040000000000006</v>
      </c>
    </row>
    <row r="94" spans="1:9" ht="18.75" customHeight="1">
      <c r="A94" s="29">
        <v>20</v>
      </c>
      <c r="B94" s="119" t="s">
        <v>205</v>
      </c>
      <c r="C94" s="65" t="s">
        <v>113</v>
      </c>
      <c r="D94" s="130" t="s">
        <v>198</v>
      </c>
      <c r="E94" s="36"/>
      <c r="F94" s="36">
        <v>1</v>
      </c>
      <c r="G94" s="36">
        <v>362.5</v>
      </c>
      <c r="H94" s="13"/>
      <c r="I94" s="13">
        <f>G94*1</f>
        <v>362.5</v>
      </c>
    </row>
    <row r="95" spans="1:9" ht="15.75" customHeight="1">
      <c r="A95" s="29"/>
      <c r="B95" s="46" t="s">
        <v>51</v>
      </c>
      <c r="C95" s="42"/>
      <c r="D95" s="54"/>
      <c r="E95" s="42">
        <v>1</v>
      </c>
      <c r="F95" s="42"/>
      <c r="G95" s="42"/>
      <c r="H95" s="42"/>
      <c r="I95" s="31">
        <f>SUM(I89:I94)</f>
        <v>5146.9710485599999</v>
      </c>
    </row>
    <row r="96" spans="1:9" ht="15.75" customHeight="1">
      <c r="A96" s="29"/>
      <c r="B96" s="52" t="s">
        <v>77</v>
      </c>
      <c r="C96" s="15"/>
      <c r="D96" s="15"/>
      <c r="E96" s="43"/>
      <c r="F96" s="43"/>
      <c r="G96" s="44"/>
      <c r="H96" s="44"/>
      <c r="I96" s="17">
        <v>0</v>
      </c>
    </row>
    <row r="97" spans="1:9" ht="15.75" customHeight="1">
      <c r="A97" s="55"/>
      <c r="B97" s="47" t="s">
        <v>136</v>
      </c>
      <c r="C97" s="34"/>
      <c r="D97" s="34"/>
      <c r="E97" s="34"/>
      <c r="F97" s="34"/>
      <c r="G97" s="34"/>
      <c r="H97" s="34"/>
      <c r="I97" s="45">
        <f>I95+I87</f>
        <v>35482.324763226658</v>
      </c>
    </row>
    <row r="98" spans="1:9" ht="15.75">
      <c r="A98" s="142" t="s">
        <v>206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61"/>
      <c r="B99" s="158" t="s">
        <v>207</v>
      </c>
      <c r="C99" s="158"/>
      <c r="D99" s="158"/>
      <c r="E99" s="158"/>
      <c r="F99" s="158"/>
      <c r="G99" s="158"/>
      <c r="H99" s="79"/>
      <c r="I99" s="3"/>
    </row>
    <row r="100" spans="1:9">
      <c r="A100" s="70"/>
      <c r="B100" s="154" t="s">
        <v>6</v>
      </c>
      <c r="C100" s="154"/>
      <c r="D100" s="154"/>
      <c r="E100" s="154"/>
      <c r="F100" s="154"/>
      <c r="G100" s="154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62" t="s">
        <v>7</v>
      </c>
      <c r="B102" s="162"/>
      <c r="C102" s="162"/>
      <c r="D102" s="162"/>
      <c r="E102" s="162"/>
      <c r="F102" s="162"/>
      <c r="G102" s="162"/>
      <c r="H102" s="162"/>
      <c r="I102" s="162"/>
    </row>
    <row r="103" spans="1:9" ht="15.75">
      <c r="A103" s="162" t="s">
        <v>8</v>
      </c>
      <c r="B103" s="162"/>
      <c r="C103" s="162"/>
      <c r="D103" s="162"/>
      <c r="E103" s="162"/>
      <c r="F103" s="162"/>
      <c r="G103" s="162"/>
      <c r="H103" s="162"/>
      <c r="I103" s="162"/>
    </row>
    <row r="104" spans="1:9" ht="15.75">
      <c r="A104" s="159" t="s">
        <v>60</v>
      </c>
      <c r="B104" s="159"/>
      <c r="C104" s="159"/>
      <c r="D104" s="159"/>
      <c r="E104" s="159"/>
      <c r="F104" s="159"/>
      <c r="G104" s="159"/>
      <c r="H104" s="159"/>
      <c r="I104" s="159"/>
    </row>
    <row r="105" spans="1:9" ht="15.75">
      <c r="A105" s="11"/>
    </row>
    <row r="106" spans="1:9" ht="15.75">
      <c r="A106" s="160" t="s">
        <v>9</v>
      </c>
      <c r="B106" s="160"/>
      <c r="C106" s="160"/>
      <c r="D106" s="160"/>
      <c r="E106" s="160"/>
      <c r="F106" s="160"/>
      <c r="G106" s="160"/>
      <c r="H106" s="160"/>
      <c r="I106" s="160"/>
    </row>
    <row r="107" spans="1:9" ht="15.75">
      <c r="A107" s="4"/>
    </row>
    <row r="108" spans="1:9" ht="15.75">
      <c r="B108" s="69" t="s">
        <v>10</v>
      </c>
      <c r="C108" s="161" t="s">
        <v>186</v>
      </c>
      <c r="D108" s="161"/>
      <c r="E108" s="161"/>
      <c r="F108" s="77"/>
      <c r="I108" s="72"/>
    </row>
    <row r="109" spans="1:9">
      <c r="A109" s="70"/>
      <c r="C109" s="154" t="s">
        <v>11</v>
      </c>
      <c r="D109" s="154"/>
      <c r="E109" s="154"/>
      <c r="F109" s="24"/>
      <c r="I109" s="71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69" t="s">
        <v>13</v>
      </c>
      <c r="C111" s="156"/>
      <c r="D111" s="156"/>
      <c r="E111" s="156"/>
      <c r="F111" s="78"/>
      <c r="I111" s="72"/>
    </row>
    <row r="112" spans="1:9">
      <c r="A112" s="70"/>
      <c r="C112" s="143" t="s">
        <v>11</v>
      </c>
      <c r="D112" s="143"/>
      <c r="E112" s="143"/>
      <c r="F112" s="70"/>
      <c r="I112" s="71" t="s">
        <v>12</v>
      </c>
    </row>
    <row r="113" spans="1:9" ht="15.75">
      <c r="A113" s="4" t="s">
        <v>14</v>
      </c>
    </row>
    <row r="114" spans="1:9">
      <c r="A114" s="157" t="s">
        <v>15</v>
      </c>
      <c r="B114" s="157"/>
      <c r="C114" s="157"/>
      <c r="D114" s="157"/>
      <c r="E114" s="157"/>
      <c r="F114" s="157"/>
      <c r="G114" s="157"/>
      <c r="H114" s="157"/>
      <c r="I114" s="157"/>
    </row>
    <row r="115" spans="1:9" ht="45" customHeight="1">
      <c r="A115" s="155" t="s">
        <v>16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30" customHeight="1">
      <c r="A116" s="155" t="s">
        <v>17</v>
      </c>
      <c r="B116" s="155"/>
      <c r="C116" s="155"/>
      <c r="D116" s="155"/>
      <c r="E116" s="155"/>
      <c r="F116" s="155"/>
      <c r="G116" s="155"/>
      <c r="H116" s="155"/>
      <c r="I116" s="155"/>
    </row>
    <row r="117" spans="1:9" ht="30" customHeight="1">
      <c r="A117" s="155" t="s">
        <v>21</v>
      </c>
      <c r="B117" s="155"/>
      <c r="C117" s="155"/>
      <c r="D117" s="155"/>
      <c r="E117" s="155"/>
      <c r="F117" s="155"/>
      <c r="G117" s="155"/>
      <c r="H117" s="155"/>
      <c r="I117" s="155"/>
    </row>
    <row r="118" spans="1:9" ht="15.75">
      <c r="A118" s="155" t="s">
        <v>20</v>
      </c>
      <c r="B118" s="155"/>
      <c r="C118" s="155"/>
      <c r="D118" s="155"/>
      <c r="E118" s="155"/>
      <c r="F118" s="155"/>
      <c r="G118" s="155"/>
      <c r="H118" s="155"/>
      <c r="I118" s="155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3:I83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topLeftCell="A59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145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208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44286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98</v>
      </c>
      <c r="C30" s="82" t="s">
        <v>99</v>
      </c>
      <c r="D30" s="81" t="s">
        <v>100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101</v>
      </c>
      <c r="C31" s="82" t="s">
        <v>99</v>
      </c>
      <c r="D31" s="81" t="s">
        <v>102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103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104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customHeight="1">
      <c r="A38" s="33">
        <v>4</v>
      </c>
      <c r="B38" s="81" t="s">
        <v>25</v>
      </c>
      <c r="C38" s="82" t="s">
        <v>30</v>
      </c>
      <c r="D38" s="125" t="s">
        <v>209</v>
      </c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>G38*1.5</f>
        <v>2850.5549999999998</v>
      </c>
      <c r="J38" s="23"/>
    </row>
    <row r="39" spans="1:14" ht="15.75" customHeight="1">
      <c r="A39" s="33">
        <v>5</v>
      </c>
      <c r="B39" s="81" t="s">
        <v>66</v>
      </c>
      <c r="C39" s="82" t="s">
        <v>28</v>
      </c>
      <c r="D39" s="81" t="s">
        <v>171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ref="I39:I41" si="2">F39/6*G39</f>
        <v>631.88233500000001</v>
      </c>
      <c r="J39" s="23"/>
    </row>
    <row r="40" spans="1:14" ht="15.75" customHeight="1">
      <c r="A40" s="33">
        <v>6</v>
      </c>
      <c r="B40" s="81" t="s">
        <v>67</v>
      </c>
      <c r="C40" s="82" t="s">
        <v>28</v>
      </c>
      <c r="D40" s="81" t="s">
        <v>167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7</v>
      </c>
      <c r="B41" s="81" t="s">
        <v>79</v>
      </c>
      <c r="C41" s="82" t="s">
        <v>99</v>
      </c>
      <c r="D41" s="81" t="s">
        <v>168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8</v>
      </c>
      <c r="B42" s="81" t="s">
        <v>108</v>
      </c>
      <c r="C42" s="82" t="s">
        <v>99</v>
      </c>
      <c r="D42" s="81" t="s">
        <v>165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G42*F42/20*2</f>
        <v>51.531270000000006</v>
      </c>
      <c r="J42" s="23"/>
      <c r="L42" s="19"/>
      <c r="M42" s="20"/>
      <c r="N42" s="21"/>
    </row>
    <row r="43" spans="1:14" ht="15.75" customHeight="1">
      <c r="A43" s="33">
        <v>9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G43*F43/20*2</f>
        <v>49.648499999999999</v>
      </c>
      <c r="J43" s="23"/>
      <c r="L43" s="19"/>
      <c r="M43" s="20"/>
      <c r="N43" s="21"/>
    </row>
    <row r="44" spans="1:14" ht="15.75" hidden="1" customHeight="1">
      <c r="A44" s="151" t="s">
        <v>133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15.75" hidden="1" customHeight="1">
      <c r="A45" s="41">
        <v>15</v>
      </c>
      <c r="B45" s="81" t="s">
        <v>110</v>
      </c>
      <c r="C45" s="82" t="s">
        <v>99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41"/>
      <c r="B46" s="81" t="s">
        <v>34</v>
      </c>
      <c r="C46" s="82" t="s">
        <v>99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15.75" hidden="1" customHeight="1">
      <c r="A47" s="41">
        <v>16</v>
      </c>
      <c r="B47" s="81" t="s">
        <v>35</v>
      </c>
      <c r="C47" s="82" t="s">
        <v>99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17</v>
      </c>
      <c r="B48" s="81" t="s">
        <v>36</v>
      </c>
      <c r="C48" s="82" t="s">
        <v>99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18</v>
      </c>
      <c r="B49" s="81" t="s">
        <v>32</v>
      </c>
      <c r="C49" s="82" t="s">
        <v>33</v>
      </c>
      <c r="D49" s="81" t="s">
        <v>137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12</v>
      </c>
      <c r="B50" s="81" t="s">
        <v>55</v>
      </c>
      <c r="C50" s="82" t="s">
        <v>99</v>
      </c>
      <c r="D50" s="81" t="s">
        <v>139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1.5" hidden="1" customHeight="1">
      <c r="A51" s="41">
        <v>13</v>
      </c>
      <c r="B51" s="81" t="s">
        <v>111</v>
      </c>
      <c r="C51" s="82" t="s">
        <v>99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v>0</v>
      </c>
      <c r="J51" s="23"/>
      <c r="L51" s="19"/>
      <c r="M51" s="20"/>
      <c r="N51" s="21"/>
    </row>
    <row r="52" spans="1:14" ht="31.5" hidden="1" customHeight="1">
      <c r="A52" s="41">
        <v>14</v>
      </c>
      <c r="B52" s="81" t="s">
        <v>112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v>0</v>
      </c>
      <c r="J52" s="23"/>
      <c r="L52" s="19"/>
      <c r="M52" s="20"/>
      <c r="N52" s="21"/>
    </row>
    <row r="53" spans="1:14" ht="15.75" hidden="1" customHeight="1">
      <c r="A53" s="41">
        <v>15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13</v>
      </c>
      <c r="B54" s="81" t="s">
        <v>138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15.75" hidden="1" customHeight="1">
      <c r="A55" s="41">
        <v>14</v>
      </c>
      <c r="B55" s="81" t="s">
        <v>40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146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5.75" customHeight="1">
      <c r="A57" s="80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customHeight="1">
      <c r="A58" s="41">
        <v>10</v>
      </c>
      <c r="B58" s="81" t="s">
        <v>114</v>
      </c>
      <c r="C58" s="82" t="s">
        <v>140</v>
      </c>
      <c r="D58" s="81"/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G58*0.935</f>
        <v>2156.6896999999999</v>
      </c>
      <c r="J58" s="23"/>
      <c r="L58" s="19"/>
      <c r="M58" s="20"/>
      <c r="N58" s="21"/>
    </row>
    <row r="59" spans="1:14" ht="15.75" customHeight="1">
      <c r="A59" s="41">
        <v>11</v>
      </c>
      <c r="B59" s="91" t="s">
        <v>82</v>
      </c>
      <c r="C59" s="92" t="s">
        <v>115</v>
      </c>
      <c r="D59" s="37" t="s">
        <v>178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f>G59*2</f>
        <v>3002</v>
      </c>
      <c r="J59" s="23"/>
      <c r="L59" s="19"/>
      <c r="M59" s="20"/>
      <c r="N59" s="21"/>
    </row>
    <row r="60" spans="1:14" ht="15.75" customHeight="1">
      <c r="A60" s="41"/>
      <c r="B60" s="74" t="s">
        <v>43</v>
      </c>
      <c r="C60" s="74"/>
      <c r="D60" s="74"/>
      <c r="E60" s="74"/>
      <c r="F60" s="75"/>
      <c r="G60" s="63"/>
      <c r="H60" s="63"/>
      <c r="I60" s="35"/>
      <c r="J60" s="23"/>
      <c r="L60" s="19"/>
      <c r="M60" s="20"/>
      <c r="N60" s="21"/>
    </row>
    <row r="61" spans="1:14" ht="15.75" customHeight="1">
      <c r="A61" s="41">
        <v>12</v>
      </c>
      <c r="B61" s="91" t="s">
        <v>44</v>
      </c>
      <c r="C61" s="92" t="s">
        <v>52</v>
      </c>
      <c r="D61" s="91" t="s">
        <v>210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f>G61*F61</f>
        <v>1619.5164</v>
      </c>
      <c r="J61" s="23"/>
      <c r="L61" s="19"/>
      <c r="M61" s="20"/>
      <c r="N61" s="21"/>
    </row>
    <row r="62" spans="1:14" ht="15.75" customHeight="1">
      <c r="A62" s="41"/>
      <c r="B62" s="74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113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1" si="4">SUM(F63*G63/1000)</f>
        <v>0.27673999999999999</v>
      </c>
      <c r="I63" s="13">
        <v>0</v>
      </c>
    </row>
    <row r="64" spans="1:14" ht="15.75" customHeight="1">
      <c r="A64" s="29">
        <v>13</v>
      </c>
      <c r="B64" s="97" t="s">
        <v>47</v>
      </c>
      <c r="C64" s="16" t="s">
        <v>113</v>
      </c>
      <c r="D64" s="97" t="s">
        <v>170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f>G64*1</f>
        <v>94.89</v>
      </c>
    </row>
    <row r="65" spans="1:22" ht="15.75" hidden="1" customHeight="1">
      <c r="A65" s="29">
        <v>8</v>
      </c>
      <c r="B65" s="97" t="s">
        <v>48</v>
      </c>
      <c r="C65" s="16" t="s">
        <v>116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117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118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141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43"/>
      <c r="S69" s="143"/>
      <c r="T69" s="143"/>
      <c r="U69" s="143"/>
    </row>
    <row r="70" spans="1:22" ht="15.7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" customHeight="1">
      <c r="A71" s="29">
        <v>14</v>
      </c>
      <c r="B71" s="97" t="s">
        <v>83</v>
      </c>
      <c r="C71" s="41" t="s">
        <v>128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4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120</v>
      </c>
      <c r="C73" s="16" t="s">
        <v>121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5">SUM(F73*G73/1000)</f>
        <v>0.97639999999999993</v>
      </c>
      <c r="I73" s="13">
        <v>0</v>
      </c>
    </row>
    <row r="74" spans="1:22" ht="15.75" hidden="1" customHeight="1">
      <c r="A74" s="29"/>
      <c r="B74" s="97" t="s">
        <v>122</v>
      </c>
      <c r="C74" s="16" t="s">
        <v>123</v>
      </c>
      <c r="D74" s="97"/>
      <c r="E74" s="18">
        <v>1</v>
      </c>
      <c r="F74" s="13">
        <v>1</v>
      </c>
      <c r="G74" s="13">
        <v>650</v>
      </c>
      <c r="H74" s="98">
        <f t="shared" si="5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142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5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5"/>
        <v>1.0614100000000002</v>
      </c>
      <c r="I76" s="13">
        <v>0</v>
      </c>
    </row>
    <row r="77" spans="1:22" ht="15.75" hidden="1" customHeight="1">
      <c r="A77" s="29">
        <v>17</v>
      </c>
      <c r="B77" s="97" t="s">
        <v>84</v>
      </c>
      <c r="C77" s="16" t="s">
        <v>29</v>
      </c>
      <c r="D77" s="97" t="s">
        <v>65</v>
      </c>
      <c r="E77" s="18">
        <v>1</v>
      </c>
      <c r="F77" s="84">
        <f>SUM(E77)</f>
        <v>1</v>
      </c>
      <c r="G77" s="13">
        <v>446.12</v>
      </c>
      <c r="H77" s="98">
        <f t="shared" si="5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124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6">SUM(F79*G79/1000)</f>
        <v>4.4637839999999995</v>
      </c>
      <c r="I79" s="13">
        <v>0</v>
      </c>
    </row>
    <row r="80" spans="1:22" ht="15.75" hidden="1" customHeight="1">
      <c r="A80" s="80"/>
      <c r="B80" s="74" t="s">
        <v>119</v>
      </c>
      <c r="C80" s="74"/>
      <c r="D80" s="74"/>
      <c r="E80" s="74"/>
      <c r="F80" s="74"/>
      <c r="G80" s="74"/>
      <c r="H80" s="74"/>
      <c r="I80" s="18"/>
    </row>
    <row r="81" spans="1:9" ht="15.75" hidden="1" customHeight="1">
      <c r="A81" s="29">
        <v>14</v>
      </c>
      <c r="B81" s="81" t="s">
        <v>86</v>
      </c>
      <c r="C81" s="16"/>
      <c r="D81" s="97"/>
      <c r="E81" s="101"/>
      <c r="F81" s="13">
        <v>1</v>
      </c>
      <c r="G81" s="13">
        <v>5828.6</v>
      </c>
      <c r="H81" s="98">
        <f>G81*F81/1000</f>
        <v>5.8286000000000007</v>
      </c>
      <c r="I81" s="13">
        <f>G81</f>
        <v>5828.6</v>
      </c>
    </row>
    <row r="82" spans="1:9" ht="15.75" customHeight="1">
      <c r="A82" s="136" t="s">
        <v>147</v>
      </c>
      <c r="B82" s="137"/>
      <c r="C82" s="137"/>
      <c r="D82" s="137"/>
      <c r="E82" s="137"/>
      <c r="F82" s="137"/>
      <c r="G82" s="137"/>
      <c r="H82" s="137"/>
      <c r="I82" s="138"/>
    </row>
    <row r="83" spans="1:9" ht="15.75" customHeight="1">
      <c r="A83" s="29">
        <v>15</v>
      </c>
      <c r="B83" s="81" t="s">
        <v>125</v>
      </c>
      <c r="C83" s="16" t="s">
        <v>54</v>
      </c>
      <c r="D83" s="102"/>
      <c r="E83" s="13">
        <v>1839.1</v>
      </c>
      <c r="F83" s="13">
        <f>SUM(E83*12)</f>
        <v>22069.199999999997</v>
      </c>
      <c r="G83" s="13">
        <v>2.95</v>
      </c>
      <c r="H83" s="98">
        <f>SUM(F83*G83/1000)</f>
        <v>65.104139999999987</v>
      </c>
      <c r="I83" s="13">
        <f>F83/12*G83</f>
        <v>5425.3449999999993</v>
      </c>
    </row>
    <row r="84" spans="1:9" ht="31.5" customHeight="1">
      <c r="A84" s="29">
        <v>16</v>
      </c>
      <c r="B84" s="97" t="s">
        <v>76</v>
      </c>
      <c r="C84" s="16"/>
      <c r="D84" s="102"/>
      <c r="E84" s="83">
        <v>1839.1</v>
      </c>
      <c r="F84" s="13">
        <f>E84*12</f>
        <v>22069.199999999997</v>
      </c>
      <c r="G84" s="13">
        <v>3.05</v>
      </c>
      <c r="H84" s="98">
        <f>F84*G84/1000</f>
        <v>67.311059999999983</v>
      </c>
      <c r="I84" s="13">
        <f>F84/12*G84</f>
        <v>5609.2549999999983</v>
      </c>
    </row>
    <row r="85" spans="1:9" ht="31.5" hidden="1" customHeight="1">
      <c r="A85" s="29">
        <v>14</v>
      </c>
      <c r="B85" s="97" t="s">
        <v>129</v>
      </c>
      <c r="C85" s="16" t="s">
        <v>130</v>
      </c>
      <c r="D85" s="102"/>
      <c r="E85" s="101"/>
      <c r="F85" s="13"/>
      <c r="G85" s="13"/>
      <c r="H85" s="98">
        <v>59.113</v>
      </c>
      <c r="I85" s="13">
        <f>59113/12</f>
        <v>4926.083333333333</v>
      </c>
    </row>
    <row r="86" spans="1:9" ht="15.75" customHeight="1">
      <c r="A86" s="80"/>
      <c r="B86" s="40" t="s">
        <v>78</v>
      </c>
      <c r="C86" s="41"/>
      <c r="D86" s="15"/>
      <c r="E86" s="15"/>
      <c r="F86" s="15"/>
      <c r="G86" s="18"/>
      <c r="H86" s="18"/>
      <c r="I86" s="31">
        <f>I84+I83+I64+I61+I59+I58+I43+I42+I41+I40+I39+I38+I18+I17+I16+I71</f>
        <v>33675.098216666658</v>
      </c>
    </row>
    <row r="87" spans="1:9" ht="15.75" customHeight="1">
      <c r="A87" s="139" t="s">
        <v>59</v>
      </c>
      <c r="B87" s="140"/>
      <c r="C87" s="140"/>
      <c r="D87" s="140"/>
      <c r="E87" s="140"/>
      <c r="F87" s="140"/>
      <c r="G87" s="140"/>
      <c r="H87" s="140"/>
      <c r="I87" s="141"/>
    </row>
    <row r="88" spans="1:9" ht="15.75" customHeight="1">
      <c r="A88" s="42">
        <v>17</v>
      </c>
      <c r="B88" s="97" t="s">
        <v>157</v>
      </c>
      <c r="C88" s="16" t="s">
        <v>158</v>
      </c>
      <c r="D88" s="97"/>
      <c r="E88" s="18"/>
      <c r="F88" s="13">
        <v>24</v>
      </c>
      <c r="G88" s="13">
        <v>1.4</v>
      </c>
      <c r="H88" s="13">
        <f>F88*G88/1000</f>
        <v>3.3599999999999991E-2</v>
      </c>
      <c r="I88" s="13">
        <f>G88*12</f>
        <v>16.799999999999997</v>
      </c>
    </row>
    <row r="89" spans="1:9" ht="33.75" customHeight="1">
      <c r="A89" s="29">
        <v>18</v>
      </c>
      <c r="B89" s="119" t="s">
        <v>160</v>
      </c>
      <c r="C89" s="65" t="s">
        <v>28</v>
      </c>
      <c r="D89" s="97"/>
      <c r="E89" s="18"/>
      <c r="F89" s="13">
        <v>2.2000000000000002</v>
      </c>
      <c r="G89" s="118">
        <v>21369.24</v>
      </c>
      <c r="H89" s="13">
        <f>F89*G89/1000</f>
        <v>47.012328000000011</v>
      </c>
      <c r="I89" s="13">
        <f>G89*6*0.599/1000</f>
        <v>76.801048559999998</v>
      </c>
    </row>
    <row r="90" spans="1:9" ht="31.5" customHeight="1">
      <c r="A90" s="29">
        <v>19</v>
      </c>
      <c r="B90" s="119" t="s">
        <v>211</v>
      </c>
      <c r="C90" s="65" t="s">
        <v>192</v>
      </c>
      <c r="D90" s="126" t="s">
        <v>213</v>
      </c>
      <c r="E90" s="36"/>
      <c r="F90" s="36">
        <v>4</v>
      </c>
      <c r="G90" s="36">
        <v>1380.91</v>
      </c>
      <c r="H90" s="98"/>
      <c r="I90" s="13">
        <f>G90*4</f>
        <v>5523.64</v>
      </c>
    </row>
    <row r="91" spans="1:9" ht="31.5" customHeight="1">
      <c r="A91" s="29">
        <v>20</v>
      </c>
      <c r="B91" s="119" t="s">
        <v>212</v>
      </c>
      <c r="C91" s="65" t="s">
        <v>192</v>
      </c>
      <c r="D91" s="126" t="s">
        <v>214</v>
      </c>
      <c r="E91" s="36"/>
      <c r="F91" s="36">
        <v>0.5</v>
      </c>
      <c r="G91" s="36">
        <v>1584.54</v>
      </c>
      <c r="H91" s="98"/>
      <c r="I91" s="13">
        <f>G91*0.5</f>
        <v>792.27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SUM(I88:I91)</f>
        <v>6409.5110485599998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136</v>
      </c>
      <c r="C94" s="34"/>
      <c r="D94" s="34"/>
      <c r="E94" s="34"/>
      <c r="F94" s="34"/>
      <c r="G94" s="34"/>
      <c r="H94" s="34"/>
      <c r="I94" s="45">
        <f>I86+I92</f>
        <v>40084.60926522666</v>
      </c>
    </row>
    <row r="95" spans="1:9" ht="15.75">
      <c r="A95" s="142" t="s">
        <v>215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61"/>
      <c r="B96" s="158" t="s">
        <v>216</v>
      </c>
      <c r="C96" s="158"/>
      <c r="D96" s="158"/>
      <c r="E96" s="158"/>
      <c r="F96" s="158"/>
      <c r="G96" s="158"/>
      <c r="H96" s="79"/>
      <c r="I96" s="3"/>
    </row>
    <row r="97" spans="1:9">
      <c r="A97" s="70"/>
      <c r="B97" s="154" t="s">
        <v>6</v>
      </c>
      <c r="C97" s="154"/>
      <c r="D97" s="154"/>
      <c r="E97" s="154"/>
      <c r="F97" s="154"/>
      <c r="G97" s="15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59" t="s">
        <v>60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5.75">
      <c r="A102" s="11"/>
    </row>
    <row r="103" spans="1:9" ht="15.75">
      <c r="A103" s="160" t="s">
        <v>9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4"/>
    </row>
    <row r="105" spans="1:9" ht="15.75">
      <c r="B105" s="69" t="s">
        <v>10</v>
      </c>
      <c r="C105" s="161" t="s">
        <v>186</v>
      </c>
      <c r="D105" s="161"/>
      <c r="E105" s="161"/>
      <c r="F105" s="77"/>
      <c r="I105" s="72"/>
    </row>
    <row r="106" spans="1:9">
      <c r="A106" s="70"/>
      <c r="C106" s="154" t="s">
        <v>11</v>
      </c>
      <c r="D106" s="154"/>
      <c r="E106" s="154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9" t="s">
        <v>13</v>
      </c>
      <c r="C108" s="156"/>
      <c r="D108" s="156"/>
      <c r="E108" s="156"/>
      <c r="F108" s="78"/>
      <c r="I108" s="72"/>
    </row>
    <row r="109" spans="1:9">
      <c r="A109" s="70"/>
      <c r="C109" s="143" t="s">
        <v>11</v>
      </c>
      <c r="D109" s="143"/>
      <c r="E109" s="143"/>
      <c r="F109" s="70"/>
      <c r="I109" s="71" t="s">
        <v>12</v>
      </c>
    </row>
    <row r="110" spans="1:9" ht="15.75">
      <c r="A110" s="4" t="s">
        <v>14</v>
      </c>
    </row>
    <row r="111" spans="1:9">
      <c r="A111" s="157" t="s">
        <v>15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45" customHeight="1">
      <c r="A112" s="155" t="s">
        <v>16</v>
      </c>
      <c r="B112" s="155"/>
      <c r="C112" s="155"/>
      <c r="D112" s="155"/>
      <c r="E112" s="155"/>
      <c r="F112" s="155"/>
      <c r="G112" s="155"/>
      <c r="H112" s="155"/>
      <c r="I112" s="155"/>
    </row>
    <row r="113" spans="1:9" ht="30" customHeight="1">
      <c r="A113" s="155" t="s">
        <v>17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21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15.75">
      <c r="A115" s="155" t="s">
        <v>20</v>
      </c>
      <c r="B115" s="155"/>
      <c r="C115" s="155"/>
      <c r="D115" s="155"/>
      <c r="E115" s="155"/>
      <c r="F115" s="155"/>
      <c r="G115" s="155"/>
      <c r="H115" s="155"/>
      <c r="I115" s="155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1"/>
  <sheetViews>
    <sheetView topLeftCell="A91" workbookViewId="0">
      <selection activeCell="I111" sqref="I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148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217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44316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218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98</v>
      </c>
      <c r="C30" s="82" t="s">
        <v>99</v>
      </c>
      <c r="D30" s="81" t="s">
        <v>100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101</v>
      </c>
      <c r="C31" s="82" t="s">
        <v>99</v>
      </c>
      <c r="D31" s="81" t="s">
        <v>102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103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104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1" t="s">
        <v>25</v>
      </c>
      <c r="C38" s="82" t="s">
        <v>30</v>
      </c>
      <c r="D38" s="81"/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 t="shared" ref="I38:I41" si="2">F38/6*G38</f>
        <v>633.45666666666659</v>
      </c>
      <c r="J38" s="23"/>
    </row>
    <row r="39" spans="1:14" ht="15.75" customHeight="1">
      <c r="A39" s="33">
        <v>4</v>
      </c>
      <c r="B39" s="81" t="s">
        <v>66</v>
      </c>
      <c r="C39" s="82" t="s">
        <v>28</v>
      </c>
      <c r="D39" s="81" t="s">
        <v>166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si="2"/>
        <v>631.88233500000001</v>
      </c>
      <c r="J39" s="23"/>
    </row>
    <row r="40" spans="1:14" ht="15.75" customHeight="1">
      <c r="A40" s="33">
        <v>5</v>
      </c>
      <c r="B40" s="81" t="s">
        <v>67</v>
      </c>
      <c r="C40" s="82" t="s">
        <v>28</v>
      </c>
      <c r="D40" s="81" t="s">
        <v>167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6</v>
      </c>
      <c r="B41" s="81" t="s">
        <v>79</v>
      </c>
      <c r="C41" s="82" t="s">
        <v>99</v>
      </c>
      <c r="D41" s="81" t="s">
        <v>168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hidden="1" customHeight="1">
      <c r="A42" s="33">
        <v>8</v>
      </c>
      <c r="B42" s="81" t="s">
        <v>108</v>
      </c>
      <c r="C42" s="82" t="s">
        <v>99</v>
      </c>
      <c r="D42" s="81" t="s">
        <v>169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F42/7.5*1.5*G42</f>
        <v>103.06254</v>
      </c>
      <c r="J42" s="23"/>
      <c r="L42" s="19"/>
      <c r="M42" s="20"/>
      <c r="N42" s="21"/>
    </row>
    <row r="43" spans="1:14" ht="15.75" hidden="1" customHeight="1">
      <c r="A43" s="33">
        <v>9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F43/7.5*1.5*G43</f>
        <v>99.297000000000011</v>
      </c>
      <c r="J43" s="23"/>
      <c r="L43" s="19"/>
      <c r="M43" s="20"/>
      <c r="N43" s="21"/>
    </row>
    <row r="44" spans="1:14" ht="21" hidden="1" customHeight="1">
      <c r="A44" s="151" t="s">
        <v>133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30" hidden="1" customHeight="1">
      <c r="A45" s="41">
        <v>15</v>
      </c>
      <c r="B45" s="81" t="s">
        <v>110</v>
      </c>
      <c r="C45" s="82" t="s">
        <v>99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33" hidden="1" customHeight="1">
      <c r="A46" s="41"/>
      <c r="B46" s="81" t="s">
        <v>34</v>
      </c>
      <c r="C46" s="82" t="s">
        <v>99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34.5" hidden="1" customHeight="1">
      <c r="A47" s="41">
        <v>16</v>
      </c>
      <c r="B47" s="81" t="s">
        <v>35</v>
      </c>
      <c r="C47" s="82" t="s">
        <v>99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37.5" hidden="1" customHeight="1">
      <c r="A48" s="41">
        <v>17</v>
      </c>
      <c r="B48" s="81" t="s">
        <v>36</v>
      </c>
      <c r="C48" s="82" t="s">
        <v>99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36" hidden="1" customHeight="1">
      <c r="A49" s="41">
        <v>18</v>
      </c>
      <c r="B49" s="81" t="s">
        <v>32</v>
      </c>
      <c r="C49" s="82" t="s">
        <v>33</v>
      </c>
      <c r="D49" s="81" t="s">
        <v>137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36.75" hidden="1" customHeight="1">
      <c r="A50" s="41">
        <v>12</v>
      </c>
      <c r="B50" s="81" t="s">
        <v>55</v>
      </c>
      <c r="C50" s="82" t="s">
        <v>99</v>
      </c>
      <c r="D50" s="81" t="s">
        <v>139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6.75" hidden="1" customHeight="1">
      <c r="A51" s="41">
        <v>12</v>
      </c>
      <c r="B51" s="81" t="s">
        <v>111</v>
      </c>
      <c r="C51" s="82" t="s">
        <v>99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f>F51/2*G51</f>
        <v>2777.1513459999996</v>
      </c>
      <c r="J51" s="23"/>
      <c r="L51" s="19"/>
      <c r="M51" s="20"/>
      <c r="N51" s="21"/>
    </row>
    <row r="52" spans="1:14" ht="33" hidden="1" customHeight="1">
      <c r="A52" s="41">
        <v>13</v>
      </c>
      <c r="B52" s="81" t="s">
        <v>112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f>F52/2*G52</f>
        <v>346.536</v>
      </c>
      <c r="J52" s="23"/>
      <c r="L52" s="19"/>
      <c r="M52" s="20"/>
      <c r="N52" s="21"/>
    </row>
    <row r="53" spans="1:14" ht="24.75" hidden="1" customHeight="1">
      <c r="A53" s="41">
        <v>14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f>F53/2*G53</f>
        <v>70.331299999999999</v>
      </c>
      <c r="J53" s="23"/>
      <c r="L53" s="19"/>
      <c r="M53" s="20"/>
      <c r="N53" s="21"/>
    </row>
    <row r="54" spans="1:14" ht="26.25" hidden="1" customHeight="1">
      <c r="A54" s="41">
        <v>13</v>
      </c>
      <c r="B54" s="81" t="s">
        <v>138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20.25" hidden="1" customHeight="1">
      <c r="A55" s="41">
        <v>14</v>
      </c>
      <c r="B55" s="81" t="s">
        <v>40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146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5.75" hidden="1" customHeight="1">
      <c r="A57" s="80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1">
        <v>15</v>
      </c>
      <c r="B58" s="81" t="s">
        <v>114</v>
      </c>
      <c r="C58" s="82" t="s">
        <v>140</v>
      </c>
      <c r="D58" s="81" t="s">
        <v>70</v>
      </c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G58*0.651</f>
        <v>1501.6096199999999</v>
      </c>
      <c r="J58" s="23"/>
      <c r="L58" s="19"/>
      <c r="M58" s="20"/>
      <c r="N58" s="21"/>
    </row>
    <row r="59" spans="1:14" ht="15.75" hidden="1" customHeight="1">
      <c r="A59" s="41">
        <v>16</v>
      </c>
      <c r="B59" s="91" t="s">
        <v>82</v>
      </c>
      <c r="C59" s="92" t="s">
        <v>115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f>G59</f>
        <v>1501</v>
      </c>
      <c r="J59" s="23"/>
      <c r="L59" s="19"/>
      <c r="M59" s="20"/>
      <c r="N59" s="21"/>
    </row>
    <row r="60" spans="1:14" ht="15.75" hidden="1" customHeight="1">
      <c r="A60" s="41"/>
      <c r="B60" s="74" t="s">
        <v>43</v>
      </c>
      <c r="C60" s="74"/>
      <c r="D60" s="74"/>
      <c r="E60" s="74"/>
      <c r="F60" s="75"/>
      <c r="G60" s="63"/>
      <c r="H60" s="63"/>
      <c r="I60" s="35"/>
      <c r="J60" s="23"/>
      <c r="L60" s="19"/>
      <c r="M60" s="20"/>
      <c r="N60" s="21"/>
    </row>
    <row r="61" spans="1:14" ht="15.75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customHeight="1">
      <c r="A62" s="41"/>
      <c r="B62" s="74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113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1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113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116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117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118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141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43"/>
      <c r="S69" s="143"/>
      <c r="T69" s="143"/>
      <c r="U69" s="143"/>
    </row>
    <row r="70" spans="1:22" ht="15.7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7</v>
      </c>
      <c r="B71" s="97" t="s">
        <v>83</v>
      </c>
      <c r="C71" s="41" t="s">
        <v>128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4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120</v>
      </c>
      <c r="C73" s="16" t="s">
        <v>121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5">SUM(F73*G73/1000)</f>
        <v>0.97639999999999993</v>
      </c>
      <c r="I73" s="13">
        <v>0</v>
      </c>
    </row>
    <row r="74" spans="1:22" ht="15.75" hidden="1" customHeight="1">
      <c r="A74" s="29"/>
      <c r="B74" s="97" t="s">
        <v>122</v>
      </c>
      <c r="C74" s="16" t="s">
        <v>123</v>
      </c>
      <c r="D74" s="97"/>
      <c r="E74" s="18">
        <v>1</v>
      </c>
      <c r="F74" s="13">
        <v>1</v>
      </c>
      <c r="G74" s="13">
        <v>650</v>
      </c>
      <c r="H74" s="98">
        <f t="shared" si="5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142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5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5"/>
        <v>1.0614100000000002</v>
      </c>
      <c r="I76" s="13">
        <v>0</v>
      </c>
    </row>
    <row r="77" spans="1:22" ht="15.75" hidden="1" customHeight="1">
      <c r="A77" s="29">
        <v>17</v>
      </c>
      <c r="B77" s="97" t="s">
        <v>84</v>
      </c>
      <c r="C77" s="16" t="s">
        <v>29</v>
      </c>
      <c r="D77" s="97" t="s">
        <v>65</v>
      </c>
      <c r="E77" s="18">
        <v>1</v>
      </c>
      <c r="F77" s="84">
        <f>SUM(E77)</f>
        <v>1</v>
      </c>
      <c r="G77" s="13">
        <v>446.12</v>
      </c>
      <c r="H77" s="98">
        <f t="shared" si="5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124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6">SUM(F79*G79/1000)</f>
        <v>4.4637839999999995</v>
      </c>
      <c r="I79" s="13">
        <v>0</v>
      </c>
    </row>
    <row r="80" spans="1:22" ht="15.75" hidden="1" customHeight="1">
      <c r="A80" s="80"/>
      <c r="B80" s="74" t="s">
        <v>119</v>
      </c>
      <c r="C80" s="74"/>
      <c r="D80" s="74"/>
      <c r="E80" s="74"/>
      <c r="F80" s="74"/>
      <c r="G80" s="74"/>
      <c r="H80" s="74"/>
      <c r="I80" s="18"/>
    </row>
    <row r="81" spans="1:9" ht="15.75" hidden="1" customHeight="1">
      <c r="A81" s="112">
        <v>15</v>
      </c>
      <c r="B81" s="91" t="s">
        <v>86</v>
      </c>
      <c r="C81" s="113"/>
      <c r="D81" s="114"/>
      <c r="E81" s="101"/>
      <c r="F81" s="115">
        <v>1</v>
      </c>
      <c r="G81" s="115">
        <v>13707.8</v>
      </c>
      <c r="H81" s="116">
        <f>G81*F81/1000</f>
        <v>13.707799999999999</v>
      </c>
      <c r="I81" s="115">
        <f>G81</f>
        <v>13707.8</v>
      </c>
    </row>
    <row r="82" spans="1:9" ht="15.75" hidden="1" customHeight="1">
      <c r="A82" s="29"/>
      <c r="B82" s="117" t="s">
        <v>71</v>
      </c>
      <c r="C82" s="16"/>
      <c r="D82" s="97"/>
      <c r="E82" s="18"/>
      <c r="F82" s="13"/>
      <c r="G82" s="13"/>
      <c r="H82" s="13"/>
      <c r="I82" s="13"/>
    </row>
    <row r="83" spans="1:9" ht="15.75" hidden="1" customHeight="1">
      <c r="A83" s="29">
        <v>18</v>
      </c>
      <c r="B83" s="37" t="s">
        <v>84</v>
      </c>
      <c r="C83" s="38" t="s">
        <v>29</v>
      </c>
      <c r="D83" s="37" t="s">
        <v>65</v>
      </c>
      <c r="E83" s="18"/>
      <c r="F83" s="13"/>
      <c r="G83" s="118">
        <v>446.12</v>
      </c>
      <c r="H83" s="13"/>
      <c r="I83" s="13">
        <f>G83*1</f>
        <v>446.12</v>
      </c>
    </row>
    <row r="84" spans="1:9" ht="15.75" customHeight="1">
      <c r="A84" s="136" t="s">
        <v>147</v>
      </c>
      <c r="B84" s="137"/>
      <c r="C84" s="137"/>
      <c r="D84" s="137"/>
      <c r="E84" s="137"/>
      <c r="F84" s="137"/>
      <c r="G84" s="137"/>
      <c r="H84" s="137"/>
      <c r="I84" s="138"/>
    </row>
    <row r="85" spans="1:9" ht="15.75" customHeight="1">
      <c r="A85" s="29">
        <v>8</v>
      </c>
      <c r="B85" s="81" t="s">
        <v>125</v>
      </c>
      <c r="C85" s="16" t="s">
        <v>54</v>
      </c>
      <c r="D85" s="102"/>
      <c r="E85" s="13">
        <v>1839.1</v>
      </c>
      <c r="F85" s="13">
        <f>SUM(E85*12)</f>
        <v>22069.199999999997</v>
      </c>
      <c r="G85" s="13">
        <v>2.95</v>
      </c>
      <c r="H85" s="98">
        <f>SUM(F85*G85/1000)</f>
        <v>65.104139999999987</v>
      </c>
      <c r="I85" s="13">
        <f>F85/12*G85</f>
        <v>5425.3449999999993</v>
      </c>
    </row>
    <row r="86" spans="1:9" ht="31.5" customHeight="1">
      <c r="A86" s="29">
        <v>9</v>
      </c>
      <c r="B86" s="97" t="s">
        <v>76</v>
      </c>
      <c r="C86" s="16"/>
      <c r="D86" s="102"/>
      <c r="E86" s="83">
        <v>1839.1</v>
      </c>
      <c r="F86" s="13">
        <f>E86*12</f>
        <v>22069.199999999997</v>
      </c>
      <c r="G86" s="13">
        <v>3.05</v>
      </c>
      <c r="H86" s="98">
        <f>F86*G86/1000</f>
        <v>67.311059999999983</v>
      </c>
      <c r="I86" s="13">
        <f>F86/12*G86</f>
        <v>5609.2549999999983</v>
      </c>
    </row>
    <row r="87" spans="1:9" ht="31.5" hidden="1" customHeight="1">
      <c r="A87" s="29">
        <v>13</v>
      </c>
      <c r="B87" s="97" t="s">
        <v>129</v>
      </c>
      <c r="C87" s="16" t="s">
        <v>130</v>
      </c>
      <c r="D87" s="102"/>
      <c r="E87" s="101"/>
      <c r="F87" s="13"/>
      <c r="G87" s="13"/>
      <c r="H87" s="98">
        <v>59.113</v>
      </c>
      <c r="I87" s="13">
        <f>59113/12</f>
        <v>4926.083333333333</v>
      </c>
    </row>
    <row r="88" spans="1:9" ht="15.75" customHeight="1">
      <c r="A88" s="80"/>
      <c r="B88" s="40" t="s">
        <v>78</v>
      </c>
      <c r="C88" s="41"/>
      <c r="D88" s="15"/>
      <c r="E88" s="15"/>
      <c r="F88" s="15"/>
      <c r="G88" s="18"/>
      <c r="H88" s="18"/>
      <c r="I88" s="31">
        <f>I86+I85+I71+I41+I40+I39+I18+I17+I16</f>
        <v>23850.267346666664</v>
      </c>
    </row>
    <row r="89" spans="1:9" ht="15.75" customHeight="1">
      <c r="A89" s="139" t="s">
        <v>59</v>
      </c>
      <c r="B89" s="140"/>
      <c r="C89" s="140"/>
      <c r="D89" s="140"/>
      <c r="E89" s="140"/>
      <c r="F89" s="140"/>
      <c r="G89" s="140"/>
      <c r="H89" s="140"/>
      <c r="I89" s="141"/>
    </row>
    <row r="90" spans="1:9" ht="17.25" customHeight="1">
      <c r="A90" s="103">
        <v>10</v>
      </c>
      <c r="B90" s="37" t="s">
        <v>157</v>
      </c>
      <c r="C90" s="38" t="s">
        <v>158</v>
      </c>
      <c r="D90" s="52"/>
      <c r="E90" s="13"/>
      <c r="F90" s="13">
        <v>2</v>
      </c>
      <c r="G90" s="36">
        <v>1.4</v>
      </c>
      <c r="H90" s="98">
        <f t="shared" ref="H90" si="7">G90*F90/1000</f>
        <v>2.8E-3</v>
      </c>
      <c r="I90" s="104">
        <f>G90*12</f>
        <v>16.799999999999997</v>
      </c>
    </row>
    <row r="91" spans="1:9" ht="36" customHeight="1">
      <c r="A91" s="103">
        <v>11</v>
      </c>
      <c r="B91" s="119" t="s">
        <v>160</v>
      </c>
      <c r="C91" s="65" t="s">
        <v>28</v>
      </c>
      <c r="D91" s="97"/>
      <c r="E91" s="18"/>
      <c r="F91" s="13"/>
      <c r="G91" s="118">
        <v>21369.24</v>
      </c>
      <c r="H91" s="13"/>
      <c r="I91" s="13">
        <f>G91*0.599*3/1000</f>
        <v>38.400524279999999</v>
      </c>
    </row>
    <row r="92" spans="1:9" ht="19.5" customHeight="1">
      <c r="A92" s="103">
        <v>12</v>
      </c>
      <c r="B92" s="119" t="s">
        <v>182</v>
      </c>
      <c r="C92" s="65" t="s">
        <v>113</v>
      </c>
      <c r="D92" s="126"/>
      <c r="E92" s="36"/>
      <c r="F92" s="36">
        <v>2</v>
      </c>
      <c r="G92" s="36">
        <v>224.48</v>
      </c>
      <c r="H92" s="13"/>
      <c r="I92" s="13">
        <f>G92*1</f>
        <v>224.48</v>
      </c>
    </row>
    <row r="93" spans="1:9" ht="36" customHeight="1">
      <c r="A93" s="103">
        <v>13</v>
      </c>
      <c r="B93" s="119" t="s">
        <v>219</v>
      </c>
      <c r="C93" s="65" t="s">
        <v>220</v>
      </c>
      <c r="D93" s="126" t="s">
        <v>227</v>
      </c>
      <c r="E93" s="36"/>
      <c r="F93" s="36">
        <v>0.157</v>
      </c>
      <c r="G93" s="36">
        <v>5273.1</v>
      </c>
      <c r="H93" s="13"/>
      <c r="I93" s="13">
        <f>G93*0.157</f>
        <v>827.87670000000003</v>
      </c>
    </row>
    <row r="94" spans="1:9" ht="20.25" customHeight="1">
      <c r="A94" s="103">
        <v>14</v>
      </c>
      <c r="B94" s="119" t="s">
        <v>221</v>
      </c>
      <c r="C94" s="65" t="s">
        <v>29</v>
      </c>
      <c r="D94" s="126" t="s">
        <v>181</v>
      </c>
      <c r="E94" s="36"/>
      <c r="F94" s="36">
        <v>1</v>
      </c>
      <c r="G94" s="36">
        <v>420</v>
      </c>
      <c r="H94" s="13"/>
      <c r="I94" s="13">
        <f>G94*1</f>
        <v>420</v>
      </c>
    </row>
    <row r="95" spans="1:9" ht="21" customHeight="1">
      <c r="A95" s="103">
        <v>15</v>
      </c>
      <c r="B95" s="119" t="s">
        <v>222</v>
      </c>
      <c r="C95" s="65" t="s">
        <v>113</v>
      </c>
      <c r="D95" s="126"/>
      <c r="E95" s="36"/>
      <c r="F95" s="36">
        <v>1</v>
      </c>
      <c r="G95" s="36">
        <v>228.9</v>
      </c>
      <c r="H95" s="13"/>
      <c r="I95" s="13">
        <f>G95*1</f>
        <v>228.9</v>
      </c>
    </row>
    <row r="96" spans="1:9" ht="18" customHeight="1">
      <c r="A96" s="103">
        <v>16</v>
      </c>
      <c r="B96" s="119" t="s">
        <v>223</v>
      </c>
      <c r="C96" s="65" t="s">
        <v>52</v>
      </c>
      <c r="D96" s="126" t="s">
        <v>225</v>
      </c>
      <c r="E96" s="36"/>
      <c r="F96" s="36">
        <v>5.0000000000000001E-3</v>
      </c>
      <c r="G96" s="36">
        <v>85495.8</v>
      </c>
      <c r="H96" s="13"/>
      <c r="I96" s="13">
        <f>G96*0.005</f>
        <v>427.47900000000004</v>
      </c>
    </row>
    <row r="97" spans="1:9" ht="18" customHeight="1">
      <c r="A97" s="103">
        <v>17</v>
      </c>
      <c r="B97" s="119" t="s">
        <v>224</v>
      </c>
      <c r="C97" s="65" t="s">
        <v>183</v>
      </c>
      <c r="D97" s="126" t="s">
        <v>226</v>
      </c>
      <c r="E97" s="36"/>
      <c r="F97" s="36">
        <v>1</v>
      </c>
      <c r="G97" s="36">
        <v>231.54</v>
      </c>
      <c r="H97" s="13"/>
      <c r="I97" s="13">
        <f>G97*1</f>
        <v>231.54</v>
      </c>
    </row>
    <row r="98" spans="1:9" ht="15.75" customHeight="1">
      <c r="A98" s="29"/>
      <c r="B98" s="46" t="s">
        <v>51</v>
      </c>
      <c r="C98" s="42"/>
      <c r="D98" s="54"/>
      <c r="E98" s="42">
        <v>1</v>
      </c>
      <c r="F98" s="42"/>
      <c r="G98" s="42"/>
      <c r="H98" s="42"/>
      <c r="I98" s="31">
        <f>SUM(I90:I97)</f>
        <v>2415.4762242799998</v>
      </c>
    </row>
    <row r="99" spans="1:9" ht="15.75" customHeight="1">
      <c r="A99" s="29"/>
      <c r="B99" s="52" t="s">
        <v>77</v>
      </c>
      <c r="C99" s="15"/>
      <c r="D99" s="15"/>
      <c r="E99" s="43"/>
      <c r="F99" s="43"/>
      <c r="G99" s="44"/>
      <c r="H99" s="44"/>
      <c r="I99" s="17">
        <v>0</v>
      </c>
    </row>
    <row r="100" spans="1:9" ht="15.75" customHeight="1">
      <c r="A100" s="55"/>
      <c r="B100" s="47" t="s">
        <v>136</v>
      </c>
      <c r="C100" s="34"/>
      <c r="D100" s="34"/>
      <c r="E100" s="34"/>
      <c r="F100" s="34"/>
      <c r="G100" s="34"/>
      <c r="H100" s="34"/>
      <c r="I100" s="45">
        <f>I88+I98</f>
        <v>26265.743570946663</v>
      </c>
    </row>
    <row r="101" spans="1:9" ht="15.75">
      <c r="A101" s="142" t="s">
        <v>237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>
      <c r="A102" s="61"/>
      <c r="B102" s="158" t="s">
        <v>238</v>
      </c>
      <c r="C102" s="158"/>
      <c r="D102" s="158"/>
      <c r="E102" s="158"/>
      <c r="F102" s="158"/>
      <c r="G102" s="158"/>
      <c r="H102" s="79"/>
      <c r="I102" s="3"/>
    </row>
    <row r="103" spans="1:9">
      <c r="A103" s="70"/>
      <c r="B103" s="154" t="s">
        <v>6</v>
      </c>
      <c r="C103" s="154"/>
      <c r="D103" s="154"/>
      <c r="E103" s="154"/>
      <c r="F103" s="154"/>
      <c r="G103" s="154"/>
      <c r="H103" s="24"/>
      <c r="I103" s="5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>
      <c r="A105" s="162" t="s">
        <v>7</v>
      </c>
      <c r="B105" s="162"/>
      <c r="C105" s="162"/>
      <c r="D105" s="162"/>
      <c r="E105" s="162"/>
      <c r="F105" s="162"/>
      <c r="G105" s="162"/>
      <c r="H105" s="162"/>
      <c r="I105" s="162"/>
    </row>
    <row r="106" spans="1:9" ht="15.75">
      <c r="A106" s="162" t="s">
        <v>8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.75">
      <c r="A107" s="159" t="s">
        <v>60</v>
      </c>
      <c r="B107" s="159"/>
      <c r="C107" s="159"/>
      <c r="D107" s="159"/>
      <c r="E107" s="159"/>
      <c r="F107" s="159"/>
      <c r="G107" s="159"/>
      <c r="H107" s="159"/>
      <c r="I107" s="159"/>
    </row>
    <row r="108" spans="1:9" ht="15.75">
      <c r="A108" s="11"/>
    </row>
    <row r="109" spans="1:9" ht="15.75">
      <c r="A109" s="160" t="s">
        <v>9</v>
      </c>
      <c r="B109" s="160"/>
      <c r="C109" s="160"/>
      <c r="D109" s="160"/>
      <c r="E109" s="160"/>
      <c r="F109" s="160"/>
      <c r="G109" s="160"/>
      <c r="H109" s="160"/>
      <c r="I109" s="160"/>
    </row>
    <row r="110" spans="1:9" ht="15.75">
      <c r="A110" s="4"/>
    </row>
    <row r="111" spans="1:9" ht="15.75">
      <c r="B111" s="69" t="s">
        <v>10</v>
      </c>
      <c r="C111" s="161" t="s">
        <v>186</v>
      </c>
      <c r="D111" s="161"/>
      <c r="E111" s="161"/>
      <c r="F111" s="77"/>
      <c r="I111" s="72"/>
    </row>
    <row r="112" spans="1:9">
      <c r="A112" s="70"/>
      <c r="C112" s="154" t="s">
        <v>11</v>
      </c>
      <c r="D112" s="154"/>
      <c r="E112" s="154"/>
      <c r="F112" s="24"/>
      <c r="I112" s="71" t="s">
        <v>12</v>
      </c>
    </row>
    <row r="113" spans="1:9" ht="15.75">
      <c r="A113" s="25"/>
      <c r="C113" s="12"/>
      <c r="D113" s="12"/>
      <c r="G113" s="12"/>
      <c r="H113" s="12"/>
    </row>
    <row r="114" spans="1:9" ht="15.75">
      <c r="B114" s="69" t="s">
        <v>13</v>
      </c>
      <c r="C114" s="156"/>
      <c r="D114" s="156"/>
      <c r="E114" s="156"/>
      <c r="F114" s="78"/>
      <c r="I114" s="72"/>
    </row>
    <row r="115" spans="1:9">
      <c r="A115" s="70"/>
      <c r="C115" s="143" t="s">
        <v>11</v>
      </c>
      <c r="D115" s="143"/>
      <c r="E115" s="143"/>
      <c r="F115" s="70"/>
      <c r="I115" s="71" t="s">
        <v>12</v>
      </c>
    </row>
    <row r="116" spans="1:9" ht="15.75">
      <c r="A116" s="4" t="s">
        <v>14</v>
      </c>
    </row>
    <row r="117" spans="1:9">
      <c r="A117" s="157" t="s">
        <v>15</v>
      </c>
      <c r="B117" s="157"/>
      <c r="C117" s="157"/>
      <c r="D117" s="157"/>
      <c r="E117" s="157"/>
      <c r="F117" s="157"/>
      <c r="G117" s="157"/>
      <c r="H117" s="157"/>
      <c r="I117" s="157"/>
    </row>
    <row r="118" spans="1:9" ht="45" customHeight="1">
      <c r="A118" s="155" t="s">
        <v>16</v>
      </c>
      <c r="B118" s="155"/>
      <c r="C118" s="155"/>
      <c r="D118" s="155"/>
      <c r="E118" s="155"/>
      <c r="F118" s="155"/>
      <c r="G118" s="155"/>
      <c r="H118" s="155"/>
      <c r="I118" s="155"/>
    </row>
    <row r="119" spans="1:9" ht="30" customHeight="1">
      <c r="A119" s="155" t="s">
        <v>17</v>
      </c>
      <c r="B119" s="155"/>
      <c r="C119" s="155"/>
      <c r="D119" s="155"/>
      <c r="E119" s="155"/>
      <c r="F119" s="155"/>
      <c r="G119" s="155"/>
      <c r="H119" s="155"/>
      <c r="I119" s="155"/>
    </row>
    <row r="120" spans="1:9" ht="30" customHeight="1">
      <c r="A120" s="155" t="s">
        <v>21</v>
      </c>
      <c r="B120" s="155"/>
      <c r="C120" s="155"/>
      <c r="D120" s="155"/>
      <c r="E120" s="155"/>
      <c r="F120" s="155"/>
      <c r="G120" s="155"/>
      <c r="H120" s="155"/>
      <c r="I120" s="155"/>
    </row>
    <row r="121" spans="1:9" ht="15.75">
      <c r="A121" s="155" t="s">
        <v>20</v>
      </c>
      <c r="B121" s="155"/>
      <c r="C121" s="155"/>
      <c r="D121" s="155"/>
      <c r="E121" s="155"/>
      <c r="F121" s="155"/>
      <c r="G121" s="155"/>
      <c r="H121" s="155"/>
      <c r="I121" s="155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15:E115"/>
    <mergeCell ref="A89:I89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4:I84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topLeftCell="A84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149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228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44347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18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170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172</v>
      </c>
      <c r="E19" s="83">
        <v>15.3</v>
      </c>
      <c r="F19" s="84">
        <f>SUM(E19/10)</f>
        <v>1.53</v>
      </c>
      <c r="G19" s="84">
        <v>211.74</v>
      </c>
      <c r="H19" s="85">
        <f t="shared" ref="H19:H26" si="1">SUM(F19*G19/1000)</f>
        <v>0.32396219999999998</v>
      </c>
      <c r="I19" s="13">
        <f>F19*G19</f>
        <v>323.9622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170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1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170</v>
      </c>
      <c r="E21" s="83">
        <v>8.68</v>
      </c>
      <c r="F21" s="84">
        <f>SUM(E21*2/100)</f>
        <v>0.1736</v>
      </c>
      <c r="G21" s="84">
        <v>268.92</v>
      </c>
      <c r="H21" s="85">
        <f t="shared" si="1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173</v>
      </c>
      <c r="E22" s="83">
        <v>215</v>
      </c>
      <c r="F22" s="84">
        <f>SUM(E22/100)</f>
        <v>2.15</v>
      </c>
      <c r="G22" s="84">
        <v>335.05</v>
      </c>
      <c r="H22" s="85">
        <f t="shared" si="1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174</v>
      </c>
      <c r="E23" s="86">
        <v>17.64</v>
      </c>
      <c r="F23" s="84">
        <f>SUM(E23/100)</f>
        <v>0.1764</v>
      </c>
      <c r="G23" s="84">
        <v>55.1</v>
      </c>
      <c r="H23" s="85">
        <f t="shared" si="1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174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31.5" hidden="1" customHeight="1">
      <c r="A25" s="29">
        <v>10</v>
      </c>
      <c r="B25" s="81" t="s">
        <v>127</v>
      </c>
      <c r="C25" s="82" t="s">
        <v>52</v>
      </c>
      <c r="D25" s="81" t="s">
        <v>173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173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1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4</v>
      </c>
      <c r="B30" s="32" t="s">
        <v>98</v>
      </c>
      <c r="C30" s="82" t="s">
        <v>99</v>
      </c>
      <c r="D30" s="81" t="s">
        <v>164</v>
      </c>
      <c r="E30" s="84">
        <v>58</v>
      </c>
      <c r="F30" s="84">
        <f>SUM(E30*52/1000)</f>
        <v>3.016</v>
      </c>
      <c r="G30" s="84">
        <v>193.97</v>
      </c>
      <c r="H30" s="85">
        <f t="shared" ref="H30:H35" si="2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5</v>
      </c>
      <c r="B31" s="32" t="s">
        <v>101</v>
      </c>
      <c r="C31" s="82" t="s">
        <v>99</v>
      </c>
      <c r="D31" s="81" t="s">
        <v>163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2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customHeight="1">
      <c r="A32" s="41">
        <v>6</v>
      </c>
      <c r="B32" s="32" t="s">
        <v>26</v>
      </c>
      <c r="C32" s="82" t="s">
        <v>99</v>
      </c>
      <c r="D32" s="81" t="s">
        <v>170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2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7</v>
      </c>
      <c r="B33" s="32" t="s">
        <v>103</v>
      </c>
      <c r="C33" s="82" t="s">
        <v>39</v>
      </c>
      <c r="D33" s="81" t="s">
        <v>167</v>
      </c>
      <c r="E33" s="84">
        <v>1</v>
      </c>
      <c r="F33" s="84">
        <f>E33*155/100</f>
        <v>1.55</v>
      </c>
      <c r="G33" s="84">
        <v>1620.15</v>
      </c>
      <c r="H33" s="85">
        <f t="shared" si="2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 t="shared" si="2"/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 t="shared" si="2"/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3">
        <f t="shared" ref="I37:I42" si="4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105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3"/>
        <v>3.7912940100000001</v>
      </c>
      <c r="I38" s="13">
        <f t="shared" si="4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106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3"/>
        <v>3.2674829250000004</v>
      </c>
      <c r="I39" s="13">
        <f t="shared" si="4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99</v>
      </c>
      <c r="D40" s="81" t="s">
        <v>107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3"/>
        <v>12.207455505</v>
      </c>
      <c r="I40" s="13">
        <f t="shared" si="4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108</v>
      </c>
      <c r="C41" s="82" t="s">
        <v>99</v>
      </c>
      <c r="D41" s="81" t="s">
        <v>109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3"/>
        <v>0.51531270000000007</v>
      </c>
      <c r="I41" s="13">
        <f t="shared" si="4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3">
        <f t="shared" si="4"/>
        <v>82.747500000000002</v>
      </c>
      <c r="J42" s="23"/>
      <c r="L42" s="19"/>
      <c r="M42" s="20"/>
      <c r="N42" s="21"/>
    </row>
    <row r="43" spans="1:14" ht="15.75" customHeight="1">
      <c r="A43" s="151" t="s">
        <v>133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customHeight="1">
      <c r="A44" s="41">
        <v>8</v>
      </c>
      <c r="B44" s="81" t="s">
        <v>110</v>
      </c>
      <c r="C44" s="82" t="s">
        <v>99</v>
      </c>
      <c r="D44" s="81" t="s">
        <v>170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5">SUM(F44*G44/1000)</f>
        <v>2.6816613240000002</v>
      </c>
      <c r="I44" s="13">
        <f t="shared" ref="I44:I47" si="6">F44/2*G44</f>
        <v>1340.8306620000001</v>
      </c>
      <c r="J44" s="23"/>
      <c r="L44" s="19"/>
      <c r="M44" s="20"/>
      <c r="N44" s="21"/>
    </row>
    <row r="45" spans="1:14" ht="15.75" customHeight="1">
      <c r="A45" s="41">
        <v>9</v>
      </c>
      <c r="B45" s="81" t="s">
        <v>34</v>
      </c>
      <c r="C45" s="82" t="s">
        <v>99</v>
      </c>
      <c r="D45" s="81" t="s">
        <v>170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5"/>
        <v>0.16602854400000003</v>
      </c>
      <c r="I45" s="13">
        <f t="shared" si="6"/>
        <v>83.01427200000002</v>
      </c>
      <c r="J45" s="23"/>
      <c r="L45" s="19"/>
      <c r="M45" s="20"/>
      <c r="N45" s="21"/>
    </row>
    <row r="46" spans="1:14" ht="15.75" customHeight="1">
      <c r="A46" s="41">
        <v>10</v>
      </c>
      <c r="B46" s="81" t="s">
        <v>35</v>
      </c>
      <c r="C46" s="82" t="s">
        <v>99</v>
      </c>
      <c r="D46" s="81" t="s">
        <v>170</v>
      </c>
      <c r="E46" s="83">
        <v>660.84</v>
      </c>
      <c r="F46" s="84">
        <f>SUM(E46*2/1000)</f>
        <v>1.32168</v>
      </c>
      <c r="G46" s="13">
        <v>1711.28</v>
      </c>
      <c r="H46" s="85">
        <f t="shared" si="5"/>
        <v>2.2617645503999997</v>
      </c>
      <c r="I46" s="13">
        <f t="shared" si="6"/>
        <v>1130.8822751999999</v>
      </c>
      <c r="J46" s="23"/>
      <c r="L46" s="19"/>
      <c r="M46" s="20"/>
      <c r="N46" s="21"/>
    </row>
    <row r="47" spans="1:14" ht="15.75" customHeight="1">
      <c r="A47" s="41">
        <v>11</v>
      </c>
      <c r="B47" s="81" t="s">
        <v>36</v>
      </c>
      <c r="C47" s="82" t="s">
        <v>99</v>
      </c>
      <c r="D47" s="81">
        <v>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5"/>
        <v>2.7280312466000001</v>
      </c>
      <c r="I47" s="13">
        <f t="shared" si="6"/>
        <v>1364.0156233</v>
      </c>
      <c r="J47" s="23"/>
      <c r="L47" s="19"/>
      <c r="M47" s="20"/>
      <c r="N47" s="21"/>
    </row>
    <row r="48" spans="1:14" ht="15.75" customHeight="1">
      <c r="A48" s="41">
        <v>12</v>
      </c>
      <c r="B48" s="81" t="s">
        <v>32</v>
      </c>
      <c r="C48" s="82" t="s">
        <v>33</v>
      </c>
      <c r="D48" s="81" t="s">
        <v>137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5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customHeight="1">
      <c r="A49" s="41">
        <v>13</v>
      </c>
      <c r="B49" s="81" t="s">
        <v>55</v>
      </c>
      <c r="C49" s="82" t="s">
        <v>99</v>
      </c>
      <c r="D49" s="81" t="s">
        <v>139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5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2.25" customHeight="1">
      <c r="A50" s="41">
        <v>14</v>
      </c>
      <c r="B50" s="81" t="s">
        <v>111</v>
      </c>
      <c r="C50" s="82" t="s">
        <v>99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5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28.5" customHeight="1">
      <c r="A51" s="41">
        <v>15</v>
      </c>
      <c r="B51" s="81" t="s">
        <v>112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5"/>
        <v>0.69307200000000002</v>
      </c>
      <c r="I51" s="13">
        <f t="shared" ref="I51:I52" si="7">F51/2*G51</f>
        <v>346.536</v>
      </c>
      <c r="J51" s="23"/>
      <c r="L51" s="19"/>
      <c r="M51" s="20"/>
      <c r="N51" s="21"/>
    </row>
    <row r="52" spans="1:14" ht="18.75" customHeight="1">
      <c r="A52" s="41">
        <v>16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5"/>
        <v>0.1406626</v>
      </c>
      <c r="I52" s="13">
        <f t="shared" si="7"/>
        <v>70.331299999999999</v>
      </c>
      <c r="J52" s="23"/>
      <c r="L52" s="19"/>
      <c r="M52" s="20"/>
      <c r="N52" s="21"/>
    </row>
    <row r="53" spans="1:14" ht="15.75" hidden="1" customHeight="1">
      <c r="A53" s="41">
        <v>18</v>
      </c>
      <c r="B53" s="81" t="s">
        <v>138</v>
      </c>
      <c r="C53" s="82" t="s">
        <v>29</v>
      </c>
      <c r="D53" s="124">
        <v>43964</v>
      </c>
      <c r="E53" s="83">
        <v>36</v>
      </c>
      <c r="F53" s="84">
        <f>E53*3</f>
        <v>108</v>
      </c>
      <c r="G53" s="13">
        <v>175.6</v>
      </c>
      <c r="H53" s="85">
        <f t="shared" si="5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19</v>
      </c>
      <c r="B54" s="81" t="s">
        <v>40</v>
      </c>
      <c r="C54" s="82" t="s">
        <v>29</v>
      </c>
      <c r="D54" s="124">
        <v>43964</v>
      </c>
      <c r="E54" s="83">
        <v>36</v>
      </c>
      <c r="F54" s="84">
        <f>E54*3</f>
        <v>108</v>
      </c>
      <c r="G54" s="13">
        <v>81.73</v>
      </c>
      <c r="H54" s="85">
        <f t="shared" si="5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134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114</v>
      </c>
      <c r="C57" s="82" t="s">
        <v>140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115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7.25" hidden="1" customHeight="1">
      <c r="A62" s="41">
        <v>28</v>
      </c>
      <c r="B62" s="97" t="s">
        <v>46</v>
      </c>
      <c r="C62" s="16" t="s">
        <v>113</v>
      </c>
      <c r="D62" s="97" t="s">
        <v>165</v>
      </c>
      <c r="E62" s="18">
        <v>1</v>
      </c>
      <c r="F62" s="84">
        <f>E62</f>
        <v>1</v>
      </c>
      <c r="G62" s="13">
        <v>276.74</v>
      </c>
      <c r="H62" s="98">
        <f t="shared" ref="H62:H70" si="8">SUM(F62*G62/1000)</f>
        <v>0.27673999999999999</v>
      </c>
      <c r="I62" s="13">
        <f>G62*2</f>
        <v>553.48</v>
      </c>
    </row>
    <row r="63" spans="1:14" ht="18.75" hidden="1" customHeight="1">
      <c r="A63" s="29">
        <v>29</v>
      </c>
      <c r="B63" s="97" t="s">
        <v>47</v>
      </c>
      <c r="C63" s="16" t="s">
        <v>113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8"/>
        <v>0.28467000000000003</v>
      </c>
      <c r="I63" s="13">
        <v>0</v>
      </c>
    </row>
    <row r="64" spans="1:14" ht="15.75" hidden="1" customHeight="1">
      <c r="A64" s="29">
        <v>30</v>
      </c>
      <c r="B64" s="97" t="s">
        <v>48</v>
      </c>
      <c r="C64" s="16" t="s">
        <v>116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8"/>
        <v>19.178873500000002</v>
      </c>
      <c r="I64" s="13">
        <f>F64*G64</f>
        <v>19178.873500000002</v>
      </c>
    </row>
    <row r="65" spans="1:22" ht="15.75" hidden="1" customHeight="1">
      <c r="A65" s="29">
        <v>31</v>
      </c>
      <c r="B65" s="97" t="s">
        <v>49</v>
      </c>
      <c r="C65" s="16" t="s">
        <v>117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8"/>
        <v>1.4934660500000001</v>
      </c>
      <c r="I65" s="13">
        <f t="shared" ref="I65:I68" si="9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32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8"/>
        <v>28.138677000000005</v>
      </c>
      <c r="I66" s="13">
        <f t="shared" si="9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33</v>
      </c>
      <c r="B67" s="99" t="s">
        <v>118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8"/>
        <v>0.36062</v>
      </c>
      <c r="I67" s="13">
        <f t="shared" si="9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34</v>
      </c>
      <c r="B68" s="99" t="s">
        <v>141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8"/>
        <v>0.33645199999999997</v>
      </c>
      <c r="I68" s="13">
        <f t="shared" si="9"/>
        <v>336.452</v>
      </c>
      <c r="J68" s="5"/>
      <c r="K68" s="5"/>
      <c r="L68" s="5"/>
      <c r="M68" s="5"/>
      <c r="N68" s="5"/>
      <c r="O68" s="5"/>
      <c r="P68" s="5"/>
      <c r="Q68" s="5"/>
      <c r="R68" s="143"/>
      <c r="S68" s="143"/>
      <c r="T68" s="143"/>
      <c r="U68" s="143"/>
    </row>
    <row r="69" spans="1:22" ht="18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8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17</v>
      </c>
      <c r="B70" s="97" t="s">
        <v>83</v>
      </c>
      <c r="C70" s="41" t="s">
        <v>128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8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120</v>
      </c>
      <c r="C72" s="16" t="s">
        <v>121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10">SUM(F72*G72/1000)</f>
        <v>0.97639999999999993</v>
      </c>
      <c r="I72" s="13">
        <v>0</v>
      </c>
    </row>
    <row r="73" spans="1:22" ht="15.75" hidden="1" customHeight="1">
      <c r="A73" s="29"/>
      <c r="B73" s="97" t="s">
        <v>122</v>
      </c>
      <c r="C73" s="16" t="s">
        <v>123</v>
      </c>
      <c r="D73" s="97"/>
      <c r="E73" s="18">
        <v>1</v>
      </c>
      <c r="F73" s="13">
        <v>1</v>
      </c>
      <c r="G73" s="13">
        <v>650</v>
      </c>
      <c r="H73" s="98">
        <f t="shared" si="10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142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10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10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10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124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1">SUM(F78*G78/1000)</f>
        <v>4.4637839999999995</v>
      </c>
      <c r="I78" s="13">
        <v>0</v>
      </c>
    </row>
    <row r="79" spans="1:22" ht="15.75" hidden="1" customHeight="1">
      <c r="A79" s="80"/>
      <c r="B79" s="74" t="s">
        <v>119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86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6" t="s">
        <v>135</v>
      </c>
      <c r="B81" s="137"/>
      <c r="C81" s="137"/>
      <c r="D81" s="137"/>
      <c r="E81" s="137"/>
      <c r="F81" s="137"/>
      <c r="G81" s="137"/>
      <c r="H81" s="137"/>
      <c r="I81" s="138"/>
    </row>
    <row r="82" spans="1:9" ht="15.75" customHeight="1">
      <c r="A82" s="29">
        <v>18</v>
      </c>
      <c r="B82" s="81" t="s">
        <v>125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19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15.75" customHeight="1">
      <c r="A84" s="80"/>
      <c r="B84" s="40" t="s">
        <v>78</v>
      </c>
      <c r="C84" s="41"/>
      <c r="D84" s="15"/>
      <c r="E84" s="15"/>
      <c r="F84" s="15"/>
      <c r="G84" s="18"/>
      <c r="H84" s="18"/>
      <c r="I84" s="31">
        <f>I83+I82+I70+I52+I51+I50+I49+I48+I47+I46+I45+I44+I33+I32+I31+I30+I18+I17+I16</f>
        <v>31850.882074500001</v>
      </c>
    </row>
    <row r="85" spans="1:9" ht="15.75" customHeight="1">
      <c r="A85" s="139" t="s">
        <v>59</v>
      </c>
      <c r="B85" s="140"/>
      <c r="C85" s="140"/>
      <c r="D85" s="140"/>
      <c r="E85" s="140"/>
      <c r="F85" s="140"/>
      <c r="G85" s="140"/>
      <c r="H85" s="140"/>
      <c r="I85" s="141"/>
    </row>
    <row r="86" spans="1:9" ht="15.75" customHeight="1">
      <c r="A86" s="103">
        <v>20</v>
      </c>
      <c r="B86" s="37" t="s">
        <v>157</v>
      </c>
      <c r="C86" s="38" t="s">
        <v>158</v>
      </c>
      <c r="D86" s="52"/>
      <c r="E86" s="13"/>
      <c r="F86" s="13">
        <v>2</v>
      </c>
      <c r="G86" s="36">
        <v>1.4</v>
      </c>
      <c r="H86" s="98">
        <f t="shared" ref="H86" si="12">G86*F86/1000</f>
        <v>2.8E-3</v>
      </c>
      <c r="I86" s="104">
        <f>G86*12</f>
        <v>16.799999999999997</v>
      </c>
    </row>
    <row r="87" spans="1:9" ht="15.75" customHeight="1">
      <c r="A87" s="103">
        <v>21</v>
      </c>
      <c r="B87" s="119" t="s">
        <v>229</v>
      </c>
      <c r="C87" s="65" t="s">
        <v>113</v>
      </c>
      <c r="D87" s="126"/>
      <c r="E87" s="36"/>
      <c r="F87" s="36">
        <v>1</v>
      </c>
      <c r="G87" s="36">
        <v>7567.04</v>
      </c>
      <c r="H87" s="98"/>
      <c r="I87" s="104">
        <f>G87*1</f>
        <v>7567.04</v>
      </c>
    </row>
    <row r="88" spans="1:9" ht="15.75" customHeight="1">
      <c r="A88" s="29"/>
      <c r="B88" s="46" t="s">
        <v>51</v>
      </c>
      <c r="C88" s="42"/>
      <c r="D88" s="54"/>
      <c r="E88" s="42">
        <v>1</v>
      </c>
      <c r="F88" s="42"/>
      <c r="G88" s="42"/>
      <c r="H88" s="42"/>
      <c r="I88" s="31">
        <f>SUM(I86:I87)</f>
        <v>7583.84</v>
      </c>
    </row>
    <row r="89" spans="1:9" ht="15.75" customHeight="1">
      <c r="A89" s="29"/>
      <c r="B89" s="52" t="s">
        <v>77</v>
      </c>
      <c r="C89" s="15"/>
      <c r="D89" s="15"/>
      <c r="E89" s="43"/>
      <c r="F89" s="43"/>
      <c r="G89" s="44"/>
      <c r="H89" s="44"/>
      <c r="I89" s="17">
        <v>0</v>
      </c>
    </row>
    <row r="90" spans="1:9" ht="15.75" customHeight="1">
      <c r="A90" s="55"/>
      <c r="B90" s="47" t="s">
        <v>136</v>
      </c>
      <c r="C90" s="34"/>
      <c r="D90" s="34"/>
      <c r="E90" s="34"/>
      <c r="F90" s="34"/>
      <c r="G90" s="34"/>
      <c r="H90" s="34"/>
      <c r="I90" s="45">
        <f>I84+I88</f>
        <v>39434.722074500001</v>
      </c>
    </row>
    <row r="91" spans="1:9" ht="15.75">
      <c r="A91" s="142" t="s">
        <v>230</v>
      </c>
      <c r="B91" s="142"/>
      <c r="C91" s="142"/>
      <c r="D91" s="142"/>
      <c r="E91" s="142"/>
      <c r="F91" s="142"/>
      <c r="G91" s="142"/>
      <c r="H91" s="142"/>
      <c r="I91" s="142"/>
    </row>
    <row r="92" spans="1:9" ht="15.75">
      <c r="A92" s="61"/>
      <c r="B92" s="158" t="s">
        <v>231</v>
      </c>
      <c r="C92" s="158"/>
      <c r="D92" s="158"/>
      <c r="E92" s="158"/>
      <c r="F92" s="158"/>
      <c r="G92" s="158"/>
      <c r="H92" s="79"/>
      <c r="I92" s="3"/>
    </row>
    <row r="93" spans="1:9">
      <c r="A93" s="70"/>
      <c r="B93" s="154" t="s">
        <v>6</v>
      </c>
      <c r="C93" s="154"/>
      <c r="D93" s="154"/>
      <c r="E93" s="154"/>
      <c r="F93" s="154"/>
      <c r="G93" s="154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62" t="s">
        <v>7</v>
      </c>
      <c r="B95" s="162"/>
      <c r="C95" s="162"/>
      <c r="D95" s="162"/>
      <c r="E95" s="162"/>
      <c r="F95" s="162"/>
      <c r="G95" s="162"/>
      <c r="H95" s="162"/>
      <c r="I95" s="162"/>
    </row>
    <row r="96" spans="1:9" ht="15.75">
      <c r="A96" s="162" t="s">
        <v>8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>
      <c r="A97" s="159" t="s">
        <v>60</v>
      </c>
      <c r="B97" s="159"/>
      <c r="C97" s="159"/>
      <c r="D97" s="159"/>
      <c r="E97" s="159"/>
      <c r="F97" s="159"/>
      <c r="G97" s="159"/>
      <c r="H97" s="159"/>
      <c r="I97" s="159"/>
    </row>
    <row r="98" spans="1:9" ht="15.75">
      <c r="A98" s="11"/>
    </row>
    <row r="99" spans="1:9" ht="15.75">
      <c r="A99" s="160" t="s">
        <v>9</v>
      </c>
      <c r="B99" s="160"/>
      <c r="C99" s="160"/>
      <c r="D99" s="160"/>
      <c r="E99" s="160"/>
      <c r="F99" s="160"/>
      <c r="G99" s="160"/>
      <c r="H99" s="160"/>
      <c r="I99" s="160"/>
    </row>
    <row r="100" spans="1:9" ht="15.75">
      <c r="A100" s="4"/>
    </row>
    <row r="101" spans="1:9" ht="15.75">
      <c r="B101" s="69" t="s">
        <v>10</v>
      </c>
      <c r="C101" s="161" t="s">
        <v>186</v>
      </c>
      <c r="D101" s="161"/>
      <c r="E101" s="161"/>
      <c r="F101" s="77"/>
      <c r="I101" s="72"/>
    </row>
    <row r="102" spans="1:9">
      <c r="A102" s="70"/>
      <c r="C102" s="154" t="s">
        <v>11</v>
      </c>
      <c r="D102" s="154"/>
      <c r="E102" s="154"/>
      <c r="F102" s="24"/>
      <c r="I102" s="71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69" t="s">
        <v>13</v>
      </c>
      <c r="C104" s="156"/>
      <c r="D104" s="156"/>
      <c r="E104" s="156"/>
      <c r="F104" s="78"/>
      <c r="I104" s="72"/>
    </row>
    <row r="105" spans="1:9">
      <c r="A105" s="70"/>
      <c r="C105" s="143" t="s">
        <v>11</v>
      </c>
      <c r="D105" s="143"/>
      <c r="E105" s="143"/>
      <c r="F105" s="70"/>
      <c r="I105" s="71" t="s">
        <v>12</v>
      </c>
    </row>
    <row r="106" spans="1:9" ht="15.75">
      <c r="A106" s="4" t="s">
        <v>14</v>
      </c>
    </row>
    <row r="107" spans="1:9">
      <c r="A107" s="157" t="s">
        <v>15</v>
      </c>
      <c r="B107" s="157"/>
      <c r="C107" s="157"/>
      <c r="D107" s="157"/>
      <c r="E107" s="157"/>
      <c r="F107" s="157"/>
      <c r="G107" s="157"/>
      <c r="H107" s="157"/>
      <c r="I107" s="157"/>
    </row>
    <row r="108" spans="1:9" ht="45" customHeight="1">
      <c r="A108" s="155" t="s">
        <v>16</v>
      </c>
      <c r="B108" s="155"/>
      <c r="C108" s="155"/>
      <c r="D108" s="155"/>
      <c r="E108" s="155"/>
      <c r="F108" s="155"/>
      <c r="G108" s="155"/>
      <c r="H108" s="155"/>
      <c r="I108" s="155"/>
    </row>
    <row r="109" spans="1:9" ht="30" customHeight="1">
      <c r="A109" s="155" t="s">
        <v>17</v>
      </c>
      <c r="B109" s="155"/>
      <c r="C109" s="155"/>
      <c r="D109" s="155"/>
      <c r="E109" s="155"/>
      <c r="F109" s="155"/>
      <c r="G109" s="155"/>
      <c r="H109" s="155"/>
      <c r="I109" s="155"/>
    </row>
    <row r="110" spans="1:9" ht="30" customHeight="1">
      <c r="A110" s="155" t="s">
        <v>21</v>
      </c>
      <c r="B110" s="155"/>
      <c r="C110" s="155"/>
      <c r="D110" s="155"/>
      <c r="E110" s="155"/>
      <c r="F110" s="155"/>
      <c r="G110" s="155"/>
      <c r="H110" s="155"/>
      <c r="I110" s="155"/>
    </row>
    <row r="111" spans="1:9" ht="15.75">
      <c r="A111" s="155" t="s">
        <v>20</v>
      </c>
      <c r="B111" s="155"/>
      <c r="C111" s="155"/>
      <c r="D111" s="155"/>
      <c r="E111" s="155"/>
      <c r="F111" s="155"/>
      <c r="G111" s="155"/>
      <c r="H111" s="155"/>
      <c r="I111" s="15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topLeftCell="A16" workbookViewId="0">
      <selection activeCell="G105" sqref="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150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232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44377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customHeight="1">
      <c r="A19" s="29">
        <v>4</v>
      </c>
      <c r="B19" s="81" t="s">
        <v>90</v>
      </c>
      <c r="C19" s="82" t="s">
        <v>85</v>
      </c>
      <c r="D19" s="81" t="s">
        <v>172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F19/1*G19</f>
        <v>323.9622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170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170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170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172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180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180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180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12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5</v>
      </c>
      <c r="B30" s="32" t="s">
        <v>98</v>
      </c>
      <c r="C30" s="82" t="s">
        <v>99</v>
      </c>
      <c r="D30" s="81" t="s">
        <v>164</v>
      </c>
      <c r="E30" s="84">
        <v>58</v>
      </c>
      <c r="F30" s="84">
        <f>SUM(E30*52/1000)</f>
        <v>3.016</v>
      </c>
      <c r="G30" s="84">
        <v>193.97</v>
      </c>
      <c r="H30" s="85">
        <f t="shared" ref="H30:H35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6</v>
      </c>
      <c r="B31" s="32" t="s">
        <v>101</v>
      </c>
      <c r="C31" s="82" t="s">
        <v>99</v>
      </c>
      <c r="D31" s="81" t="s">
        <v>163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7</v>
      </c>
      <c r="B33" s="32" t="s">
        <v>103</v>
      </c>
      <c r="C33" s="82" t="s">
        <v>39</v>
      </c>
      <c r="D33" s="81" t="s">
        <v>167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 t="shared" si="1"/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 t="shared" si="1"/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105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106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99</v>
      </c>
      <c r="D40" s="81" t="s">
        <v>107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108</v>
      </c>
      <c r="C41" s="82" t="s">
        <v>99</v>
      </c>
      <c r="D41" s="81" t="s">
        <v>109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customHeight="1">
      <c r="A43" s="151" t="s">
        <v>133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19</v>
      </c>
      <c r="B44" s="81" t="s">
        <v>110</v>
      </c>
      <c r="C44" s="82" t="s">
        <v>99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20</v>
      </c>
      <c r="B45" s="81" t="s">
        <v>34</v>
      </c>
      <c r="C45" s="82" t="s">
        <v>99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21</v>
      </c>
      <c r="B46" s="81" t="s">
        <v>35</v>
      </c>
      <c r="C46" s="82" t="s">
        <v>99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22</v>
      </c>
      <c r="B47" s="81" t="s">
        <v>36</v>
      </c>
      <c r="C47" s="82" t="s">
        <v>99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23</v>
      </c>
      <c r="B48" s="81" t="s">
        <v>32</v>
      </c>
      <c r="C48" s="82" t="s">
        <v>33</v>
      </c>
      <c r="D48" s="81" t="s">
        <v>137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24</v>
      </c>
      <c r="B49" s="81" t="s">
        <v>55</v>
      </c>
      <c r="C49" s="82" t="s">
        <v>99</v>
      </c>
      <c r="D49" s="81" t="s">
        <v>139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25</v>
      </c>
      <c r="B50" s="81" t="s">
        <v>111</v>
      </c>
      <c r="C50" s="82" t="s">
        <v>99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26</v>
      </c>
      <c r="B51" s="81" t="s">
        <v>112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27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customHeight="1">
      <c r="A53" s="41">
        <v>8</v>
      </c>
      <c r="B53" s="81" t="s">
        <v>138</v>
      </c>
      <c r="C53" s="82" t="s">
        <v>29</v>
      </c>
      <c r="D53" s="124">
        <v>44349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customHeight="1">
      <c r="A54" s="41">
        <v>9</v>
      </c>
      <c r="B54" s="81" t="s">
        <v>40</v>
      </c>
      <c r="C54" s="82" t="s">
        <v>29</v>
      </c>
      <c r="D54" s="124">
        <v>44349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134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114</v>
      </c>
      <c r="C57" s="82" t="s">
        <v>140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115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24.75" hidden="1" customHeight="1">
      <c r="A62" s="41">
        <v>17</v>
      </c>
      <c r="B62" s="97" t="s">
        <v>46</v>
      </c>
      <c r="C62" s="16" t="s">
        <v>113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1" si="7">SUM(F62*G62/1000)</f>
        <v>0.27673999999999999</v>
      </c>
      <c r="I62" s="13">
        <v>0</v>
      </c>
    </row>
    <row r="63" spans="1:14" ht="24" hidden="1" customHeight="1">
      <c r="A63" s="29">
        <v>29</v>
      </c>
      <c r="B63" s="97" t="s">
        <v>47</v>
      </c>
      <c r="C63" s="16" t="s">
        <v>113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6.5" customHeight="1">
      <c r="A64" s="29">
        <v>10</v>
      </c>
      <c r="B64" s="97" t="s">
        <v>48</v>
      </c>
      <c r="C64" s="16" t="s">
        <v>116</v>
      </c>
      <c r="D64" s="97"/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9.5" customHeight="1">
      <c r="A65" s="29">
        <v>11</v>
      </c>
      <c r="B65" s="97" t="s">
        <v>49</v>
      </c>
      <c r="C65" s="16" t="s">
        <v>117</v>
      </c>
      <c r="D65" s="97"/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customHeight="1">
      <c r="A66" s="29">
        <v>12</v>
      </c>
      <c r="B66" s="97" t="s">
        <v>50</v>
      </c>
      <c r="C66" s="16" t="s">
        <v>75</v>
      </c>
      <c r="D66" s="97"/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8.75" customHeight="1">
      <c r="A67" s="29">
        <v>13</v>
      </c>
      <c r="B67" s="99" t="s">
        <v>118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8" customHeight="1">
      <c r="A68" s="29">
        <v>14</v>
      </c>
      <c r="B68" s="99" t="s">
        <v>141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43"/>
      <c r="S68" s="143"/>
      <c r="T68" s="143"/>
      <c r="U68" s="143"/>
    </row>
    <row r="69" spans="1:22" ht="23.25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3.25" customHeight="1">
      <c r="A70" s="29"/>
      <c r="B70" s="132" t="s">
        <v>234</v>
      </c>
      <c r="C70" s="16"/>
      <c r="D70" s="97"/>
      <c r="E70" s="18"/>
      <c r="F70" s="84"/>
      <c r="G70" s="13"/>
      <c r="H70" s="98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15</v>
      </c>
      <c r="B71" s="97" t="s">
        <v>83</v>
      </c>
      <c r="C71" s="41" t="s">
        <v>128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7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120</v>
      </c>
      <c r="C73" s="16" t="s">
        <v>121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9">SUM(F73*G73/1000)</f>
        <v>0.97639999999999993</v>
      </c>
      <c r="I73" s="13">
        <v>0</v>
      </c>
    </row>
    <row r="74" spans="1:22" ht="15.75" hidden="1" customHeight="1">
      <c r="A74" s="29"/>
      <c r="B74" s="97" t="s">
        <v>122</v>
      </c>
      <c r="C74" s="16" t="s">
        <v>123</v>
      </c>
      <c r="D74" s="97"/>
      <c r="E74" s="18">
        <v>1</v>
      </c>
      <c r="F74" s="13">
        <v>1</v>
      </c>
      <c r="G74" s="13">
        <v>650</v>
      </c>
      <c r="H74" s="98">
        <f t="shared" si="9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142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9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9"/>
        <v>1.0614100000000002</v>
      </c>
      <c r="I76" s="13">
        <v>0</v>
      </c>
    </row>
    <row r="77" spans="1:22" ht="15.75" hidden="1" customHeight="1">
      <c r="A77" s="29">
        <v>17</v>
      </c>
      <c r="B77" s="97" t="s">
        <v>84</v>
      </c>
      <c r="C77" s="16" t="s">
        <v>29</v>
      </c>
      <c r="D77" s="97" t="s">
        <v>65</v>
      </c>
      <c r="E77" s="18">
        <v>1</v>
      </c>
      <c r="F77" s="84">
        <f>SUM(E77)</f>
        <v>1</v>
      </c>
      <c r="G77" s="13">
        <v>446.12</v>
      </c>
      <c r="H77" s="98">
        <f t="shared" si="9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124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10">SUM(F79*G79/1000)</f>
        <v>4.4637839999999995</v>
      </c>
      <c r="I79" s="13">
        <v>0</v>
      </c>
    </row>
    <row r="80" spans="1:22" ht="15.75" hidden="1" customHeight="1">
      <c r="A80" s="80"/>
      <c r="B80" s="74" t="s">
        <v>119</v>
      </c>
      <c r="C80" s="74"/>
      <c r="D80" s="74"/>
      <c r="E80" s="74"/>
      <c r="F80" s="74"/>
      <c r="G80" s="74"/>
      <c r="H80" s="74"/>
      <c r="I80" s="18"/>
    </row>
    <row r="81" spans="1:9" ht="15.75" hidden="1" customHeight="1">
      <c r="A81" s="29">
        <v>15</v>
      </c>
      <c r="B81" s="81" t="s">
        <v>86</v>
      </c>
      <c r="C81" s="16"/>
      <c r="D81" s="97"/>
      <c r="E81" s="101"/>
      <c r="F81" s="13">
        <v>1</v>
      </c>
      <c r="G81" s="13">
        <v>13707.8</v>
      </c>
      <c r="H81" s="98">
        <f>G81*F81/1000</f>
        <v>13.707799999999999</v>
      </c>
      <c r="I81" s="13">
        <f>G81</f>
        <v>13707.8</v>
      </c>
    </row>
    <row r="82" spans="1:9" ht="15.75" customHeight="1">
      <c r="A82" s="136" t="s">
        <v>135</v>
      </c>
      <c r="B82" s="137"/>
      <c r="C82" s="137"/>
      <c r="D82" s="137"/>
      <c r="E82" s="137"/>
      <c r="F82" s="137"/>
      <c r="G82" s="137"/>
      <c r="H82" s="137"/>
      <c r="I82" s="138"/>
    </row>
    <row r="83" spans="1:9" ht="15.75" customHeight="1">
      <c r="A83" s="29">
        <v>16</v>
      </c>
      <c r="B83" s="81" t="s">
        <v>125</v>
      </c>
      <c r="C83" s="16" t="s">
        <v>54</v>
      </c>
      <c r="D83" s="102"/>
      <c r="E83" s="13">
        <v>1839.1</v>
      </c>
      <c r="F83" s="13">
        <f>SUM(E83*12)</f>
        <v>22069.199999999997</v>
      </c>
      <c r="G83" s="13">
        <v>2.95</v>
      </c>
      <c r="H83" s="98">
        <f>SUM(F83*G83/1000)</f>
        <v>65.104139999999987</v>
      </c>
      <c r="I83" s="13">
        <f>F83/12*G83</f>
        <v>5425.3449999999993</v>
      </c>
    </row>
    <row r="84" spans="1:9" ht="31.5" customHeight="1">
      <c r="A84" s="29">
        <v>17</v>
      </c>
      <c r="B84" s="97" t="s">
        <v>76</v>
      </c>
      <c r="C84" s="16"/>
      <c r="D84" s="102"/>
      <c r="E84" s="83">
        <v>1839.1</v>
      </c>
      <c r="F84" s="13">
        <f>E84*12</f>
        <v>22069.199999999997</v>
      </c>
      <c r="G84" s="13">
        <v>3.05</v>
      </c>
      <c r="H84" s="98">
        <f>F84*G84/1000</f>
        <v>67.311059999999983</v>
      </c>
      <c r="I84" s="13">
        <f>F84/12*G84</f>
        <v>5609.2549999999983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I84+I83+I71+I68+I67+I66+I65+I64+I54+I53+I33+I31+I30+I19+I18+I16+I17</f>
        <v>80453.271138000026</v>
      </c>
    </row>
    <row r="86" spans="1:9" ht="15.75" customHeight="1">
      <c r="A86" s="139" t="s">
        <v>59</v>
      </c>
      <c r="B86" s="140"/>
      <c r="C86" s="140"/>
      <c r="D86" s="140"/>
      <c r="E86" s="140"/>
      <c r="F86" s="140"/>
      <c r="G86" s="140"/>
      <c r="H86" s="140"/>
      <c r="I86" s="141"/>
    </row>
    <row r="87" spans="1:9" ht="18.75" customHeight="1">
      <c r="A87" s="103">
        <v>18</v>
      </c>
      <c r="B87" s="37" t="s">
        <v>157</v>
      </c>
      <c r="C87" s="38" t="s">
        <v>158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31.5" customHeight="1">
      <c r="A88" s="103">
        <v>19</v>
      </c>
      <c r="B88" s="119" t="s">
        <v>212</v>
      </c>
      <c r="C88" s="65" t="s">
        <v>192</v>
      </c>
      <c r="D88" s="37" t="s">
        <v>233</v>
      </c>
      <c r="E88" s="36"/>
      <c r="F88" s="36">
        <v>7</v>
      </c>
      <c r="G88" s="36">
        <v>1584.54</v>
      </c>
      <c r="H88" s="98"/>
      <c r="I88" s="104">
        <f>G88*6.5</f>
        <v>10299.51</v>
      </c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SUM(I87:I88)</f>
        <v>10316.31</v>
      </c>
    </row>
    <row r="90" spans="1:9" ht="15.75" customHeight="1">
      <c r="A90" s="29"/>
      <c r="B90" s="52" t="s">
        <v>77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136</v>
      </c>
      <c r="C91" s="34"/>
      <c r="D91" s="34"/>
      <c r="E91" s="34"/>
      <c r="F91" s="34"/>
      <c r="G91" s="34"/>
      <c r="H91" s="34"/>
      <c r="I91" s="45">
        <f>I85+I89</f>
        <v>90769.581138000023</v>
      </c>
    </row>
    <row r="92" spans="1:9" ht="15.75">
      <c r="A92" s="142" t="s">
        <v>235</v>
      </c>
      <c r="B92" s="142"/>
      <c r="C92" s="142"/>
      <c r="D92" s="142"/>
      <c r="E92" s="142"/>
      <c r="F92" s="142"/>
      <c r="G92" s="142"/>
      <c r="H92" s="142"/>
      <c r="I92" s="142"/>
    </row>
    <row r="93" spans="1:9" ht="15.75">
      <c r="A93" s="61"/>
      <c r="B93" s="158" t="s">
        <v>236</v>
      </c>
      <c r="C93" s="158"/>
      <c r="D93" s="158"/>
      <c r="E93" s="158"/>
      <c r="F93" s="158"/>
      <c r="G93" s="158"/>
      <c r="H93" s="79"/>
      <c r="I93" s="3"/>
    </row>
    <row r="94" spans="1:9">
      <c r="A94" s="70"/>
      <c r="B94" s="154" t="s">
        <v>6</v>
      </c>
      <c r="C94" s="154"/>
      <c r="D94" s="154"/>
      <c r="E94" s="154"/>
      <c r="F94" s="154"/>
      <c r="G94" s="154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62" t="s">
        <v>7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>
      <c r="A97" s="162" t="s">
        <v>8</v>
      </c>
      <c r="B97" s="162"/>
      <c r="C97" s="162"/>
      <c r="D97" s="162"/>
      <c r="E97" s="162"/>
      <c r="F97" s="162"/>
      <c r="G97" s="162"/>
      <c r="H97" s="162"/>
      <c r="I97" s="162"/>
    </row>
    <row r="98" spans="1:9" ht="15.75">
      <c r="A98" s="159" t="s">
        <v>60</v>
      </c>
      <c r="B98" s="159"/>
      <c r="C98" s="159"/>
      <c r="D98" s="159"/>
      <c r="E98" s="159"/>
      <c r="F98" s="159"/>
      <c r="G98" s="159"/>
      <c r="H98" s="159"/>
      <c r="I98" s="159"/>
    </row>
    <row r="99" spans="1:9" ht="15.75">
      <c r="A99" s="11"/>
    </row>
    <row r="100" spans="1:9" ht="15.75">
      <c r="A100" s="160" t="s">
        <v>9</v>
      </c>
      <c r="B100" s="160"/>
      <c r="C100" s="160"/>
      <c r="D100" s="160"/>
      <c r="E100" s="160"/>
      <c r="F100" s="160"/>
      <c r="G100" s="160"/>
      <c r="H100" s="160"/>
      <c r="I100" s="160"/>
    </row>
    <row r="101" spans="1:9" ht="15.75">
      <c r="A101" s="4"/>
    </row>
    <row r="102" spans="1:9" ht="15.75">
      <c r="B102" s="69" t="s">
        <v>10</v>
      </c>
      <c r="C102" s="161" t="s">
        <v>186</v>
      </c>
      <c r="D102" s="161"/>
      <c r="E102" s="161"/>
      <c r="F102" s="77"/>
      <c r="I102" s="72"/>
    </row>
    <row r="103" spans="1:9">
      <c r="A103" s="70"/>
      <c r="C103" s="154" t="s">
        <v>11</v>
      </c>
      <c r="D103" s="154"/>
      <c r="E103" s="154"/>
      <c r="F103" s="24"/>
      <c r="I103" s="71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69" t="s">
        <v>13</v>
      </c>
      <c r="C105" s="156"/>
      <c r="D105" s="156"/>
      <c r="E105" s="156"/>
      <c r="F105" s="78"/>
      <c r="I105" s="72"/>
    </row>
    <row r="106" spans="1:9">
      <c r="A106" s="70"/>
      <c r="C106" s="143" t="s">
        <v>11</v>
      </c>
      <c r="D106" s="143"/>
      <c r="E106" s="143"/>
      <c r="F106" s="70"/>
      <c r="I106" s="71" t="s">
        <v>12</v>
      </c>
    </row>
    <row r="107" spans="1:9" ht="15.75">
      <c r="A107" s="4" t="s">
        <v>14</v>
      </c>
    </row>
    <row r="108" spans="1:9">
      <c r="A108" s="157" t="s">
        <v>15</v>
      </c>
      <c r="B108" s="157"/>
      <c r="C108" s="157"/>
      <c r="D108" s="157"/>
      <c r="E108" s="157"/>
      <c r="F108" s="157"/>
      <c r="G108" s="157"/>
      <c r="H108" s="157"/>
      <c r="I108" s="157"/>
    </row>
    <row r="109" spans="1:9" ht="45" customHeight="1">
      <c r="A109" s="155" t="s">
        <v>16</v>
      </c>
      <c r="B109" s="155"/>
      <c r="C109" s="155"/>
      <c r="D109" s="155"/>
      <c r="E109" s="155"/>
      <c r="F109" s="155"/>
      <c r="G109" s="155"/>
      <c r="H109" s="155"/>
      <c r="I109" s="155"/>
    </row>
    <row r="110" spans="1:9" ht="30" customHeight="1">
      <c r="A110" s="155" t="s">
        <v>17</v>
      </c>
      <c r="B110" s="155"/>
      <c r="C110" s="155"/>
      <c r="D110" s="155"/>
      <c r="E110" s="155"/>
      <c r="F110" s="155"/>
      <c r="G110" s="155"/>
      <c r="H110" s="155"/>
      <c r="I110" s="155"/>
    </row>
    <row r="111" spans="1:9" ht="30" customHeight="1">
      <c r="A111" s="155" t="s">
        <v>21</v>
      </c>
      <c r="B111" s="155"/>
      <c r="C111" s="155"/>
      <c r="D111" s="155"/>
      <c r="E111" s="155"/>
      <c r="F111" s="155"/>
      <c r="G111" s="155"/>
      <c r="H111" s="155"/>
      <c r="I111" s="155"/>
    </row>
    <row r="112" spans="1:9" ht="15.75">
      <c r="A112" s="155" t="s">
        <v>20</v>
      </c>
      <c r="B112" s="155"/>
      <c r="C112" s="155"/>
      <c r="D112" s="155"/>
      <c r="E112" s="155"/>
      <c r="F112" s="155"/>
      <c r="G112" s="155"/>
      <c r="H112" s="155"/>
      <c r="I112" s="15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5"/>
  <sheetViews>
    <sheetView topLeftCell="A58" workbookViewId="0">
      <selection activeCell="A100" sqref="A100: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151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239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44408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customHeight="1">
      <c r="A20" s="29">
        <v>4</v>
      </c>
      <c r="B20" s="81" t="s">
        <v>93</v>
      </c>
      <c r="C20" s="82" t="s">
        <v>89</v>
      </c>
      <c r="D20" s="81" t="s">
        <v>170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5</v>
      </c>
      <c r="B21" s="81" t="s">
        <v>94</v>
      </c>
      <c r="C21" s="82" t="s">
        <v>89</v>
      </c>
      <c r="D21" s="81" t="s">
        <v>170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customHeight="1">
      <c r="A22" s="29">
        <v>6</v>
      </c>
      <c r="B22" s="81" t="s">
        <v>95</v>
      </c>
      <c r="C22" s="82" t="s">
        <v>52</v>
      </c>
      <c r="D22" s="81" t="s">
        <v>240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customHeight="1">
      <c r="A23" s="29">
        <v>7</v>
      </c>
      <c r="B23" s="81" t="s">
        <v>96</v>
      </c>
      <c r="C23" s="82" t="s">
        <v>52</v>
      </c>
      <c r="D23" s="81" t="s">
        <v>240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customHeight="1">
      <c r="A24" s="29">
        <v>8</v>
      </c>
      <c r="B24" s="81" t="s">
        <v>92</v>
      </c>
      <c r="C24" s="82" t="s">
        <v>52</v>
      </c>
      <c r="D24" s="81" t="s">
        <v>173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customHeight="1">
      <c r="A25" s="29">
        <v>9</v>
      </c>
      <c r="B25" s="81" t="s">
        <v>127</v>
      </c>
      <c r="C25" s="82" t="s">
        <v>52</v>
      </c>
      <c r="D25" s="81" t="s">
        <v>174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customHeight="1">
      <c r="A26" s="29">
        <v>10</v>
      </c>
      <c r="B26" s="81" t="s">
        <v>97</v>
      </c>
      <c r="C26" s="82" t="s">
        <v>52</v>
      </c>
      <c r="D26" s="81" t="s">
        <v>240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11</v>
      </c>
      <c r="B30" s="32" t="s">
        <v>98</v>
      </c>
      <c r="C30" s="82" t="s">
        <v>99</v>
      </c>
      <c r="D30" s="81" t="s">
        <v>164</v>
      </c>
      <c r="E30" s="84">
        <v>58</v>
      </c>
      <c r="F30" s="84">
        <f>SUM(E30*52/1000)</f>
        <v>3.016</v>
      </c>
      <c r="G30" s="84">
        <v>193.97</v>
      </c>
      <c r="H30" s="85">
        <f t="shared" ref="H30:H35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12</v>
      </c>
      <c r="B31" s="32" t="s">
        <v>101</v>
      </c>
      <c r="C31" s="82" t="s">
        <v>99</v>
      </c>
      <c r="D31" s="81" t="s">
        <v>163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13</v>
      </c>
      <c r="B33" s="32" t="s">
        <v>103</v>
      </c>
      <c r="C33" s="82" t="s">
        <v>39</v>
      </c>
      <c r="D33" s="81" t="s">
        <v>167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 t="shared" si="1"/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 t="shared" si="1"/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105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106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99</v>
      </c>
      <c r="D40" s="81" t="s">
        <v>107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108</v>
      </c>
      <c r="C41" s="82" t="s">
        <v>99</v>
      </c>
      <c r="D41" s="81" t="s">
        <v>109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hidden="1" customHeight="1">
      <c r="A43" s="151" t="s">
        <v>133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19</v>
      </c>
      <c r="B44" s="81" t="s">
        <v>110</v>
      </c>
      <c r="C44" s="82" t="s">
        <v>99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20</v>
      </c>
      <c r="B45" s="81" t="s">
        <v>34</v>
      </c>
      <c r="C45" s="82" t="s">
        <v>99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21</v>
      </c>
      <c r="B46" s="81" t="s">
        <v>35</v>
      </c>
      <c r="C46" s="82" t="s">
        <v>99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22</v>
      </c>
      <c r="B47" s="81" t="s">
        <v>36</v>
      </c>
      <c r="C47" s="82" t="s">
        <v>99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23</v>
      </c>
      <c r="B48" s="81" t="s">
        <v>32</v>
      </c>
      <c r="C48" s="82" t="s">
        <v>33</v>
      </c>
      <c r="D48" s="81" t="s">
        <v>137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24</v>
      </c>
      <c r="B49" s="81" t="s">
        <v>55</v>
      </c>
      <c r="C49" s="82" t="s">
        <v>99</v>
      </c>
      <c r="D49" s="81" t="s">
        <v>139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25</v>
      </c>
      <c r="B50" s="81" t="s">
        <v>111</v>
      </c>
      <c r="C50" s="82" t="s">
        <v>99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26</v>
      </c>
      <c r="B51" s="81" t="s">
        <v>112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27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hidden="1" customHeight="1">
      <c r="A53" s="41">
        <v>10</v>
      </c>
      <c r="B53" s="81" t="s">
        <v>138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11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146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114</v>
      </c>
      <c r="C57" s="82" t="s">
        <v>140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customHeight="1">
      <c r="A58" s="41">
        <v>14</v>
      </c>
      <c r="B58" s="91" t="s">
        <v>82</v>
      </c>
      <c r="C58" s="92" t="s">
        <v>115</v>
      </c>
      <c r="D58" s="37" t="s">
        <v>241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G58*3</f>
        <v>4503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7.25" hidden="1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17</v>
      </c>
      <c r="B62" s="97" t="s">
        <v>46</v>
      </c>
      <c r="C62" s="16" t="s">
        <v>113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1" si="7">SUM(F62*G62/1000)</f>
        <v>0.27673999999999999</v>
      </c>
      <c r="I62" s="13">
        <v>0</v>
      </c>
    </row>
    <row r="63" spans="1:14" ht="15.75" hidden="1" customHeight="1">
      <c r="A63" s="29">
        <v>29</v>
      </c>
      <c r="B63" s="97" t="s">
        <v>47</v>
      </c>
      <c r="C63" s="16" t="s">
        <v>113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116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117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118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141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43"/>
      <c r="S68" s="143"/>
      <c r="T68" s="143"/>
      <c r="U68" s="143"/>
    </row>
    <row r="69" spans="1:22" ht="15.75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/>
      <c r="B70" s="133" t="s">
        <v>234</v>
      </c>
      <c r="C70" s="16"/>
      <c r="D70" s="97"/>
      <c r="E70" s="18"/>
      <c r="F70" s="84"/>
      <c r="G70" s="13"/>
      <c r="H70" s="98"/>
      <c r="I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15</v>
      </c>
      <c r="B71" s="97" t="s">
        <v>83</v>
      </c>
      <c r="C71" s="41" t="s">
        <v>128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7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120</v>
      </c>
      <c r="C73" s="16" t="s">
        <v>121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9">SUM(F73*G73/1000)</f>
        <v>0.97639999999999993</v>
      </c>
      <c r="I73" s="13">
        <v>0</v>
      </c>
    </row>
    <row r="74" spans="1:22" ht="15.75" hidden="1" customHeight="1">
      <c r="A74" s="29"/>
      <c r="B74" s="97" t="s">
        <v>122</v>
      </c>
      <c r="C74" s="16" t="s">
        <v>123</v>
      </c>
      <c r="D74" s="97"/>
      <c r="E74" s="18">
        <v>1</v>
      </c>
      <c r="F74" s="13">
        <v>1</v>
      </c>
      <c r="G74" s="13">
        <v>650</v>
      </c>
      <c r="H74" s="98">
        <f t="shared" si="9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142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9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9"/>
        <v>1.0614100000000002</v>
      </c>
      <c r="I76" s="13">
        <v>0</v>
      </c>
    </row>
    <row r="77" spans="1:22" ht="15.75" hidden="1" customHeight="1">
      <c r="A77" s="29">
        <v>17</v>
      </c>
      <c r="B77" s="97" t="s">
        <v>84</v>
      </c>
      <c r="C77" s="16" t="s">
        <v>29</v>
      </c>
      <c r="D77" s="97" t="s">
        <v>65</v>
      </c>
      <c r="E77" s="18">
        <v>1</v>
      </c>
      <c r="F77" s="84">
        <f>SUM(E77)</f>
        <v>1</v>
      </c>
      <c r="G77" s="13">
        <v>446.12</v>
      </c>
      <c r="H77" s="98">
        <f t="shared" si="9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124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10">SUM(F79*G79/1000)</f>
        <v>4.4637839999999995</v>
      </c>
      <c r="I79" s="13">
        <v>0</v>
      </c>
    </row>
    <row r="80" spans="1:22" ht="15.75" hidden="1" customHeight="1">
      <c r="A80" s="80"/>
      <c r="B80" s="74" t="s">
        <v>119</v>
      </c>
      <c r="C80" s="74"/>
      <c r="D80" s="74"/>
      <c r="E80" s="74"/>
      <c r="F80" s="74"/>
      <c r="G80" s="74"/>
      <c r="H80" s="74"/>
      <c r="I80" s="18"/>
    </row>
    <row r="81" spans="1:9" ht="15.75" hidden="1" customHeight="1">
      <c r="A81" s="29">
        <v>15</v>
      </c>
      <c r="B81" s="81" t="s">
        <v>86</v>
      </c>
      <c r="C81" s="16"/>
      <c r="D81" s="97"/>
      <c r="E81" s="101"/>
      <c r="F81" s="13">
        <v>1</v>
      </c>
      <c r="G81" s="13">
        <v>13707.8</v>
      </c>
      <c r="H81" s="98">
        <f>G81*F81/1000</f>
        <v>13.707799999999999</v>
      </c>
      <c r="I81" s="13">
        <f>G81</f>
        <v>13707.8</v>
      </c>
    </row>
    <row r="82" spans="1:9" ht="15.75" customHeight="1">
      <c r="A82" s="136" t="s">
        <v>147</v>
      </c>
      <c r="B82" s="137"/>
      <c r="C82" s="137"/>
      <c r="D82" s="137"/>
      <c r="E82" s="137"/>
      <c r="F82" s="137"/>
      <c r="G82" s="137"/>
      <c r="H82" s="137"/>
      <c r="I82" s="138"/>
    </row>
    <row r="83" spans="1:9" ht="15.75" customHeight="1">
      <c r="A83" s="29">
        <v>16</v>
      </c>
      <c r="B83" s="81" t="s">
        <v>125</v>
      </c>
      <c r="C83" s="16" t="s">
        <v>54</v>
      </c>
      <c r="D83" s="102"/>
      <c r="E83" s="13">
        <v>1839.1</v>
      </c>
      <c r="F83" s="13">
        <f>SUM(E83*12)</f>
        <v>22069.199999999997</v>
      </c>
      <c r="G83" s="13">
        <v>2.95</v>
      </c>
      <c r="H83" s="98">
        <f>SUM(F83*G83/1000)</f>
        <v>65.104139999999987</v>
      </c>
      <c r="I83" s="13">
        <f>F83/12*G83</f>
        <v>5425.3449999999993</v>
      </c>
    </row>
    <row r="84" spans="1:9" ht="31.5" customHeight="1">
      <c r="A84" s="29">
        <v>17</v>
      </c>
      <c r="B84" s="97" t="s">
        <v>76</v>
      </c>
      <c r="C84" s="16"/>
      <c r="D84" s="102"/>
      <c r="E84" s="83">
        <v>1839.1</v>
      </c>
      <c r="F84" s="13">
        <f>E84*12</f>
        <v>22069.199999999997</v>
      </c>
      <c r="G84" s="13">
        <v>3.05</v>
      </c>
      <c r="H84" s="98">
        <f>F84*G84/1000</f>
        <v>67.311059999999983</v>
      </c>
      <c r="I84" s="13">
        <f>F84/12*G84</f>
        <v>5609.2549999999983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I84+I83+I71+I58+I33+I31+I30+I26+I25+I24+I23+I22+I21+I20+I18+I17+I16</f>
        <v>26808.722527999995</v>
      </c>
    </row>
    <row r="86" spans="1:9" ht="15.75" customHeight="1">
      <c r="A86" s="139" t="s">
        <v>59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103">
        <v>18</v>
      </c>
      <c r="B87" s="37" t="s">
        <v>157</v>
      </c>
      <c r="C87" s="38" t="s">
        <v>158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15.75" customHeight="1">
      <c r="A88" s="103">
        <v>19</v>
      </c>
      <c r="B88" s="127" t="s">
        <v>242</v>
      </c>
      <c r="C88" s="65" t="s">
        <v>220</v>
      </c>
      <c r="D88" s="126" t="s">
        <v>54</v>
      </c>
      <c r="E88" s="36"/>
      <c r="F88" s="36">
        <v>0.1</v>
      </c>
      <c r="G88" s="36">
        <v>6841.18</v>
      </c>
      <c r="H88" s="98"/>
      <c r="I88" s="104">
        <f>G88*0.1</f>
        <v>684.11800000000005</v>
      </c>
    </row>
    <row r="89" spans="1:9" ht="34.5" customHeight="1">
      <c r="A89" s="103">
        <v>20</v>
      </c>
      <c r="B89" s="119" t="s">
        <v>219</v>
      </c>
      <c r="C89" s="65" t="s">
        <v>220</v>
      </c>
      <c r="D89" s="126" t="s">
        <v>244</v>
      </c>
      <c r="E89" s="36"/>
      <c r="F89" s="36">
        <f>0.157+0.95</f>
        <v>1.107</v>
      </c>
      <c r="G89" s="36">
        <v>5273.1</v>
      </c>
      <c r="H89" s="98"/>
      <c r="I89" s="104">
        <f>G89*0.95</f>
        <v>5009.4449999999997</v>
      </c>
    </row>
    <row r="90" spans="1:9" ht="15.75" customHeight="1">
      <c r="A90" s="103">
        <v>21</v>
      </c>
      <c r="B90" s="119" t="s">
        <v>221</v>
      </c>
      <c r="C90" s="65" t="s">
        <v>29</v>
      </c>
      <c r="D90" s="126" t="s">
        <v>243</v>
      </c>
      <c r="E90" s="36"/>
      <c r="F90" s="36">
        <v>6</v>
      </c>
      <c r="G90" s="36">
        <v>420</v>
      </c>
      <c r="H90" s="98"/>
      <c r="I90" s="104">
        <f>G90*5</f>
        <v>2100</v>
      </c>
    </row>
    <row r="91" spans="1:9" ht="37.5" customHeight="1">
      <c r="A91" s="103">
        <v>22</v>
      </c>
      <c r="B91" s="119" t="s">
        <v>176</v>
      </c>
      <c r="C91" s="65" t="s">
        <v>177</v>
      </c>
      <c r="D91" s="126" t="s">
        <v>245</v>
      </c>
      <c r="E91" s="36"/>
      <c r="F91" s="36">
        <v>3</v>
      </c>
      <c r="G91" s="36">
        <v>64.040000000000006</v>
      </c>
      <c r="H91" s="98"/>
      <c r="I91" s="104">
        <f>G91*1</f>
        <v>64.040000000000006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SUM(I87:I91)</f>
        <v>7874.4029999999993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136</v>
      </c>
      <c r="C94" s="34"/>
      <c r="D94" s="34"/>
      <c r="E94" s="34"/>
      <c r="F94" s="34"/>
      <c r="G94" s="34"/>
      <c r="H94" s="34"/>
      <c r="I94" s="45">
        <f>I85+I92</f>
        <v>34683.125527999997</v>
      </c>
    </row>
    <row r="95" spans="1:9" ht="15.75">
      <c r="A95" s="142" t="s">
        <v>246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61"/>
      <c r="B96" s="158" t="s">
        <v>247</v>
      </c>
      <c r="C96" s="158"/>
      <c r="D96" s="158"/>
      <c r="E96" s="158"/>
      <c r="F96" s="158"/>
      <c r="G96" s="158"/>
      <c r="H96" s="79"/>
      <c r="I96" s="3"/>
    </row>
    <row r="97" spans="1:9">
      <c r="A97" s="70"/>
      <c r="B97" s="154" t="s">
        <v>6</v>
      </c>
      <c r="C97" s="154"/>
      <c r="D97" s="154"/>
      <c r="E97" s="154"/>
      <c r="F97" s="154"/>
      <c r="G97" s="15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59" t="s">
        <v>60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5.75">
      <c r="A102" s="11"/>
    </row>
    <row r="103" spans="1:9" ht="15.75">
      <c r="A103" s="160" t="s">
        <v>9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4"/>
    </row>
    <row r="105" spans="1:9" ht="15.75">
      <c r="B105" s="69" t="s">
        <v>10</v>
      </c>
      <c r="C105" s="161" t="s">
        <v>186</v>
      </c>
      <c r="D105" s="161"/>
      <c r="E105" s="161"/>
      <c r="F105" s="77"/>
      <c r="I105" s="72"/>
    </row>
    <row r="106" spans="1:9">
      <c r="A106" s="70"/>
      <c r="C106" s="154" t="s">
        <v>11</v>
      </c>
      <c r="D106" s="154"/>
      <c r="E106" s="154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9" t="s">
        <v>13</v>
      </c>
      <c r="C108" s="156"/>
      <c r="D108" s="156"/>
      <c r="E108" s="156"/>
      <c r="F108" s="78"/>
      <c r="I108" s="72"/>
    </row>
    <row r="109" spans="1:9">
      <c r="A109" s="70"/>
      <c r="C109" s="143" t="s">
        <v>11</v>
      </c>
      <c r="D109" s="143"/>
      <c r="E109" s="143"/>
      <c r="F109" s="70"/>
      <c r="I109" s="71" t="s">
        <v>12</v>
      </c>
    </row>
    <row r="110" spans="1:9" ht="15.75">
      <c r="A110" s="4" t="s">
        <v>14</v>
      </c>
    </row>
    <row r="111" spans="1:9">
      <c r="A111" s="157" t="s">
        <v>15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45" customHeight="1">
      <c r="A112" s="155" t="s">
        <v>16</v>
      </c>
      <c r="B112" s="155"/>
      <c r="C112" s="155"/>
      <c r="D112" s="155"/>
      <c r="E112" s="155"/>
      <c r="F112" s="155"/>
      <c r="G112" s="155"/>
      <c r="H112" s="155"/>
      <c r="I112" s="155"/>
    </row>
    <row r="113" spans="1:9" ht="30" customHeight="1">
      <c r="A113" s="155" t="s">
        <v>17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21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15.75">
      <c r="A115" s="155" t="s">
        <v>20</v>
      </c>
      <c r="B115" s="155"/>
      <c r="C115" s="155"/>
      <c r="D115" s="155"/>
      <c r="E115" s="155"/>
      <c r="F115" s="155"/>
      <c r="G115" s="155"/>
      <c r="H115" s="155"/>
      <c r="I115" s="15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topLeftCell="A61" workbookViewId="0">
      <selection activeCell="K102" sqref="K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152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248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44439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1.7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93</v>
      </c>
      <c r="C20" s="82" t="s">
        <v>89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94</v>
      </c>
      <c r="C21" s="82" t="s">
        <v>89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4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4</v>
      </c>
      <c r="B30" s="32" t="s">
        <v>98</v>
      </c>
      <c r="C30" s="82" t="s">
        <v>99</v>
      </c>
      <c r="D30" s="81" t="s">
        <v>164</v>
      </c>
      <c r="E30" s="84">
        <v>58</v>
      </c>
      <c r="F30" s="84">
        <f>SUM(E30*52/1000)</f>
        <v>3.016</v>
      </c>
      <c r="G30" s="84">
        <v>193.97</v>
      </c>
      <c r="H30" s="85">
        <f t="shared" ref="H30:H33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5</v>
      </c>
      <c r="B31" s="32" t="s">
        <v>101</v>
      </c>
      <c r="C31" s="82" t="s">
        <v>99</v>
      </c>
      <c r="D31" s="81" t="s">
        <v>163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6</v>
      </c>
      <c r="B33" s="32" t="s">
        <v>103</v>
      </c>
      <c r="C33" s="82" t="s">
        <v>39</v>
      </c>
      <c r="D33" s="81" t="s">
        <v>167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>SUM(F34*G34/1000)</f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>SUM(F35*G35/1000)</f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105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106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99</v>
      </c>
      <c r="D40" s="81" t="s">
        <v>107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108</v>
      </c>
      <c r="C41" s="82" t="s">
        <v>99</v>
      </c>
      <c r="D41" s="81" t="s">
        <v>109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hidden="1" customHeight="1">
      <c r="A43" s="151" t="s">
        <v>133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19</v>
      </c>
      <c r="B44" s="81" t="s">
        <v>110</v>
      </c>
      <c r="C44" s="82" t="s">
        <v>99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20</v>
      </c>
      <c r="B45" s="81" t="s">
        <v>34</v>
      </c>
      <c r="C45" s="82" t="s">
        <v>99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21</v>
      </c>
      <c r="B46" s="81" t="s">
        <v>35</v>
      </c>
      <c r="C46" s="82" t="s">
        <v>99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22</v>
      </c>
      <c r="B47" s="81" t="s">
        <v>36</v>
      </c>
      <c r="C47" s="82" t="s">
        <v>99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23</v>
      </c>
      <c r="B48" s="81" t="s">
        <v>32</v>
      </c>
      <c r="C48" s="82" t="s">
        <v>33</v>
      </c>
      <c r="D48" s="81" t="s">
        <v>137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24</v>
      </c>
      <c r="B49" s="81" t="s">
        <v>55</v>
      </c>
      <c r="C49" s="82" t="s">
        <v>99</v>
      </c>
      <c r="D49" s="81" t="s">
        <v>139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25</v>
      </c>
      <c r="B50" s="81" t="s">
        <v>111</v>
      </c>
      <c r="C50" s="82" t="s">
        <v>99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26</v>
      </c>
      <c r="B51" s="81" t="s">
        <v>112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27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hidden="1" customHeight="1">
      <c r="A53" s="41">
        <v>8</v>
      </c>
      <c r="B53" s="81" t="s">
        <v>138</v>
      </c>
      <c r="C53" s="82" t="s">
        <v>29</v>
      </c>
      <c r="D53" s="124">
        <v>44063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9</v>
      </c>
      <c r="B54" s="81" t="s">
        <v>40</v>
      </c>
      <c r="C54" s="82" t="s">
        <v>29</v>
      </c>
      <c r="D54" s="124">
        <v>44063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146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114</v>
      </c>
      <c r="C57" s="82" t="s">
        <v>140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115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17</v>
      </c>
      <c r="B62" s="97" t="s">
        <v>46</v>
      </c>
      <c r="C62" s="16" t="s">
        <v>113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0" si="7">SUM(F62*G62/1000)</f>
        <v>0.27673999999999999</v>
      </c>
      <c r="I62" s="13">
        <v>0</v>
      </c>
    </row>
    <row r="63" spans="1:14" ht="15.75" hidden="1" customHeight="1">
      <c r="A63" s="29">
        <v>29</v>
      </c>
      <c r="B63" s="97" t="s">
        <v>47</v>
      </c>
      <c r="C63" s="16" t="s">
        <v>113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116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117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118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141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43"/>
      <c r="S68" s="143"/>
      <c r="T68" s="143"/>
      <c r="U68" s="143"/>
    </row>
    <row r="69" spans="1:22" ht="15.75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7</v>
      </c>
      <c r="B70" s="97" t="s">
        <v>83</v>
      </c>
      <c r="C70" s="41" t="s">
        <v>128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7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120</v>
      </c>
      <c r="C72" s="16" t="s">
        <v>121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9">SUM(F72*G72/1000)</f>
        <v>0.97639999999999993</v>
      </c>
      <c r="I72" s="13">
        <v>0</v>
      </c>
    </row>
    <row r="73" spans="1:22" ht="15.75" hidden="1" customHeight="1">
      <c r="A73" s="29"/>
      <c r="B73" s="97" t="s">
        <v>122</v>
      </c>
      <c r="C73" s="16" t="s">
        <v>123</v>
      </c>
      <c r="D73" s="97"/>
      <c r="E73" s="18">
        <v>1</v>
      </c>
      <c r="F73" s="13">
        <v>1</v>
      </c>
      <c r="G73" s="13">
        <v>650</v>
      </c>
      <c r="H73" s="98">
        <f t="shared" si="9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142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9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9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9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124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0">SUM(F78*G78/1000)</f>
        <v>4.4637839999999995</v>
      </c>
      <c r="I78" s="13">
        <v>0</v>
      </c>
    </row>
    <row r="79" spans="1:22" ht="15.75" hidden="1" customHeight="1">
      <c r="A79" s="80"/>
      <c r="B79" s="74" t="s">
        <v>119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86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6" t="s">
        <v>147</v>
      </c>
      <c r="B81" s="137"/>
      <c r="C81" s="137"/>
      <c r="D81" s="137"/>
      <c r="E81" s="137"/>
      <c r="F81" s="137"/>
      <c r="G81" s="137"/>
      <c r="H81" s="137"/>
      <c r="I81" s="138"/>
    </row>
    <row r="82" spans="1:9" ht="15.75" customHeight="1">
      <c r="A82" s="29">
        <v>8</v>
      </c>
      <c r="B82" s="81" t="s">
        <v>125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9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hidden="1" customHeight="1">
      <c r="A84" s="29">
        <v>13</v>
      </c>
      <c r="B84" s="97" t="s">
        <v>129</v>
      </c>
      <c r="C84" s="16" t="s">
        <v>130</v>
      </c>
      <c r="D84" s="102" t="s">
        <v>143</v>
      </c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I83+I82+I70+I33+I31+I30+I18+I17+I16</f>
        <v>21357.340388000001</v>
      </c>
    </row>
    <row r="86" spans="1:9" ht="15.75" customHeight="1">
      <c r="A86" s="139" t="s">
        <v>59</v>
      </c>
      <c r="B86" s="140"/>
      <c r="C86" s="140"/>
      <c r="D86" s="140"/>
      <c r="E86" s="140"/>
      <c r="F86" s="140"/>
      <c r="G86" s="140"/>
      <c r="H86" s="140"/>
      <c r="I86" s="141"/>
    </row>
    <row r="87" spans="1:9" ht="17.25" customHeight="1">
      <c r="A87" s="103">
        <v>10</v>
      </c>
      <c r="B87" s="37" t="s">
        <v>157</v>
      </c>
      <c r="C87" s="38" t="s">
        <v>158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17.25" customHeight="1">
      <c r="A88" s="103">
        <v>11</v>
      </c>
      <c r="B88" s="119" t="s">
        <v>249</v>
      </c>
      <c r="C88" s="134" t="s">
        <v>220</v>
      </c>
      <c r="D88" s="126"/>
      <c r="E88" s="36"/>
      <c r="F88" s="36">
        <v>0.06</v>
      </c>
      <c r="G88" s="36">
        <v>4113.16</v>
      </c>
      <c r="H88" s="98"/>
      <c r="I88" s="104">
        <f>G88*0.06</f>
        <v>246.78959999999998</v>
      </c>
    </row>
    <row r="89" spans="1:9" ht="17.25" customHeight="1">
      <c r="A89" s="103">
        <v>12</v>
      </c>
      <c r="B89" s="119" t="s">
        <v>250</v>
      </c>
      <c r="C89" s="134" t="s">
        <v>28</v>
      </c>
      <c r="D89" s="126"/>
      <c r="E89" s="36"/>
      <c r="F89" s="36">
        <f>0.502*2</f>
        <v>1.004</v>
      </c>
      <c r="G89" s="36">
        <v>241.69</v>
      </c>
      <c r="H89" s="98"/>
      <c r="I89" s="104">
        <f>G89*1.004</f>
        <v>242.65675999999999</v>
      </c>
    </row>
    <row r="90" spans="1:9" ht="28.5" customHeight="1">
      <c r="A90" s="103">
        <v>13</v>
      </c>
      <c r="B90" s="119" t="s">
        <v>251</v>
      </c>
      <c r="C90" s="65" t="s">
        <v>181</v>
      </c>
      <c r="D90" s="126" t="s">
        <v>254</v>
      </c>
      <c r="E90" s="36"/>
      <c r="F90" s="36">
        <v>2</v>
      </c>
      <c r="G90" s="36">
        <v>697.33</v>
      </c>
      <c r="H90" s="98"/>
      <c r="I90" s="104">
        <f>G90*2</f>
        <v>1394.66</v>
      </c>
    </row>
    <row r="91" spans="1:9" ht="28.5" customHeight="1">
      <c r="A91" s="103">
        <v>14</v>
      </c>
      <c r="B91" s="119" t="s">
        <v>252</v>
      </c>
      <c r="C91" s="65" t="s">
        <v>181</v>
      </c>
      <c r="D91" s="126" t="s">
        <v>255</v>
      </c>
      <c r="E91" s="36"/>
      <c r="F91" s="36">
        <v>1</v>
      </c>
      <c r="G91" s="36">
        <v>949.97</v>
      </c>
      <c r="H91" s="98"/>
      <c r="I91" s="104">
        <f>G91*1</f>
        <v>949.97</v>
      </c>
    </row>
    <row r="92" spans="1:9" ht="28.5" customHeight="1">
      <c r="A92" s="103">
        <v>15</v>
      </c>
      <c r="B92" s="119" t="s">
        <v>211</v>
      </c>
      <c r="C92" s="65" t="s">
        <v>192</v>
      </c>
      <c r="D92" s="126" t="s">
        <v>253</v>
      </c>
      <c r="E92" s="36"/>
      <c r="F92" s="36">
        <v>6</v>
      </c>
      <c r="G92" s="36">
        <v>1380.91</v>
      </c>
      <c r="H92" s="98"/>
      <c r="I92" s="104">
        <f>G92*2</f>
        <v>2761.82</v>
      </c>
    </row>
    <row r="93" spans="1:9" ht="15.75" customHeight="1">
      <c r="A93" s="29"/>
      <c r="B93" s="46" t="s">
        <v>51</v>
      </c>
      <c r="C93" s="42"/>
      <c r="D93" s="54"/>
      <c r="E93" s="42">
        <v>1</v>
      </c>
      <c r="F93" s="42"/>
      <c r="G93" s="42"/>
      <c r="H93" s="42"/>
      <c r="I93" s="31">
        <f>SUM(I87:I92)</f>
        <v>5612.6963599999999</v>
      </c>
    </row>
    <row r="94" spans="1:9" ht="15.75" customHeight="1">
      <c r="A94" s="29"/>
      <c r="B94" s="52" t="s">
        <v>77</v>
      </c>
      <c r="C94" s="15"/>
      <c r="D94" s="15"/>
      <c r="E94" s="43"/>
      <c r="F94" s="43"/>
      <c r="G94" s="44"/>
      <c r="H94" s="44"/>
      <c r="I94" s="17">
        <v>0</v>
      </c>
    </row>
    <row r="95" spans="1:9" ht="15.75" customHeight="1">
      <c r="A95" s="55"/>
      <c r="B95" s="47" t="s">
        <v>136</v>
      </c>
      <c r="C95" s="34"/>
      <c r="D95" s="34"/>
      <c r="E95" s="34"/>
      <c r="F95" s="34"/>
      <c r="G95" s="34"/>
      <c r="H95" s="34"/>
      <c r="I95" s="45">
        <f>I85+I93</f>
        <v>26970.036747999999</v>
      </c>
    </row>
    <row r="96" spans="1:9" ht="15.75">
      <c r="A96" s="142" t="s">
        <v>256</v>
      </c>
      <c r="B96" s="142"/>
      <c r="C96" s="142"/>
      <c r="D96" s="142"/>
      <c r="E96" s="142"/>
      <c r="F96" s="142"/>
      <c r="G96" s="142"/>
      <c r="H96" s="142"/>
      <c r="I96" s="142"/>
    </row>
    <row r="97" spans="1:9" ht="15.75">
      <c r="A97" s="61"/>
      <c r="B97" s="158" t="s">
        <v>257</v>
      </c>
      <c r="C97" s="158"/>
      <c r="D97" s="158"/>
      <c r="E97" s="158"/>
      <c r="F97" s="158"/>
      <c r="G97" s="158"/>
      <c r="H97" s="79"/>
      <c r="I97" s="3"/>
    </row>
    <row r="98" spans="1:9">
      <c r="A98" s="70"/>
      <c r="B98" s="154" t="s">
        <v>6</v>
      </c>
      <c r="C98" s="154"/>
      <c r="D98" s="154"/>
      <c r="E98" s="154"/>
      <c r="F98" s="154"/>
      <c r="G98" s="154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59" t="s">
        <v>60</v>
      </c>
      <c r="B102" s="159"/>
      <c r="C102" s="159"/>
      <c r="D102" s="159"/>
      <c r="E102" s="159"/>
      <c r="F102" s="159"/>
      <c r="G102" s="159"/>
      <c r="H102" s="159"/>
      <c r="I102" s="159"/>
    </row>
    <row r="103" spans="1:9" ht="15.75">
      <c r="A103" s="11"/>
    </row>
    <row r="104" spans="1:9" ht="15.75">
      <c r="A104" s="160" t="s">
        <v>9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>
      <c r="A105" s="4"/>
    </row>
    <row r="106" spans="1:9" ht="15.75">
      <c r="B106" s="69" t="s">
        <v>10</v>
      </c>
      <c r="C106" s="161" t="s">
        <v>186</v>
      </c>
      <c r="D106" s="161"/>
      <c r="E106" s="161"/>
      <c r="F106" s="77"/>
      <c r="I106" s="72"/>
    </row>
    <row r="107" spans="1:9">
      <c r="A107" s="70"/>
      <c r="C107" s="154" t="s">
        <v>11</v>
      </c>
      <c r="D107" s="154"/>
      <c r="E107" s="154"/>
      <c r="F107" s="24"/>
      <c r="I107" s="71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69" t="s">
        <v>13</v>
      </c>
      <c r="C109" s="156"/>
      <c r="D109" s="156"/>
      <c r="E109" s="156"/>
      <c r="F109" s="78"/>
      <c r="I109" s="72"/>
    </row>
    <row r="110" spans="1:9">
      <c r="A110" s="70"/>
      <c r="C110" s="143" t="s">
        <v>11</v>
      </c>
      <c r="D110" s="143"/>
      <c r="E110" s="143"/>
      <c r="F110" s="70"/>
      <c r="I110" s="71" t="s">
        <v>12</v>
      </c>
    </row>
    <row r="111" spans="1:9" ht="15.75">
      <c r="A111" s="4" t="s">
        <v>14</v>
      </c>
    </row>
    <row r="112" spans="1:9">
      <c r="A112" s="157" t="s">
        <v>15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45" customHeight="1">
      <c r="A113" s="155" t="s">
        <v>16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17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30" customHeight="1">
      <c r="A115" s="155" t="s">
        <v>21</v>
      </c>
      <c r="B115" s="155"/>
      <c r="C115" s="155"/>
      <c r="D115" s="155"/>
      <c r="E115" s="155"/>
      <c r="F115" s="155"/>
      <c r="G115" s="155"/>
      <c r="H115" s="155"/>
      <c r="I115" s="155"/>
    </row>
    <row r="116" spans="1:9" ht="15.75">
      <c r="A116" s="155" t="s">
        <v>20</v>
      </c>
      <c r="B116" s="155"/>
      <c r="C116" s="155"/>
      <c r="D116" s="155"/>
      <c r="E116" s="155"/>
      <c r="F116" s="155"/>
      <c r="G116" s="155"/>
      <c r="H116" s="155"/>
      <c r="I116" s="15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69" zoomScaleNormal="100" workbookViewId="0">
      <selection activeCell="G104" sqref="G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159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153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126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258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44469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185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132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89</v>
      </c>
      <c r="D16" s="81" t="s">
        <v>163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18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87</v>
      </c>
      <c r="C17" s="82" t="s">
        <v>89</v>
      </c>
      <c r="D17" s="81" t="s">
        <v>164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88</v>
      </c>
      <c r="C18" s="82" t="s">
        <v>89</v>
      </c>
      <c r="D18" s="81" t="s">
        <v>165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90</v>
      </c>
      <c r="C19" s="82" t="s">
        <v>85</v>
      </c>
      <c r="D19" s="81" t="s">
        <v>91</v>
      </c>
      <c r="E19" s="83">
        <v>15.3</v>
      </c>
      <c r="F19" s="84">
        <f>SUM(E19/10)</f>
        <v>1.53</v>
      </c>
      <c r="G19" s="84">
        <v>211.74</v>
      </c>
      <c r="H19" s="85">
        <f t="shared" ref="H19:H26" si="1">SUM(F19*G19/1000)</f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customHeight="1">
      <c r="A20" s="29">
        <v>4</v>
      </c>
      <c r="B20" s="81" t="s">
        <v>93</v>
      </c>
      <c r="C20" s="82" t="s">
        <v>89</v>
      </c>
      <c r="D20" s="81" t="s">
        <v>170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1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5</v>
      </c>
      <c r="B21" s="81" t="s">
        <v>94</v>
      </c>
      <c r="C21" s="82" t="s">
        <v>89</v>
      </c>
      <c r="D21" s="81" t="s">
        <v>170</v>
      </c>
      <c r="E21" s="83">
        <v>8.68</v>
      </c>
      <c r="F21" s="84">
        <f>SUM(E21*2/100)</f>
        <v>0.1736</v>
      </c>
      <c r="G21" s="84">
        <v>268.92</v>
      </c>
      <c r="H21" s="85">
        <f t="shared" si="1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95</v>
      </c>
      <c r="C22" s="82" t="s">
        <v>52</v>
      </c>
      <c r="D22" s="81" t="s">
        <v>91</v>
      </c>
      <c r="E22" s="83">
        <v>215</v>
      </c>
      <c r="F22" s="84">
        <f>SUM(E22/100)</f>
        <v>2.15</v>
      </c>
      <c r="G22" s="84">
        <v>335.05</v>
      </c>
      <c r="H22" s="85">
        <f t="shared" si="1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96</v>
      </c>
      <c r="C23" s="82" t="s">
        <v>52</v>
      </c>
      <c r="D23" s="81" t="s">
        <v>91</v>
      </c>
      <c r="E23" s="86">
        <v>17.64</v>
      </c>
      <c r="F23" s="84">
        <f>SUM(E23/100)</f>
        <v>0.1764</v>
      </c>
      <c r="G23" s="84">
        <v>55.1</v>
      </c>
      <c r="H23" s="85">
        <f t="shared" si="1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92</v>
      </c>
      <c r="C24" s="82" t="s">
        <v>52</v>
      </c>
      <c r="D24" s="81" t="s">
        <v>91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127</v>
      </c>
      <c r="C25" s="82" t="s">
        <v>52</v>
      </c>
      <c r="D25" s="81" t="s">
        <v>91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97</v>
      </c>
      <c r="C26" s="82" t="s">
        <v>52</v>
      </c>
      <c r="D26" s="81" t="s">
        <v>91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1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hidden="1" customHeight="1">
      <c r="A27" s="29">
        <v>6</v>
      </c>
      <c r="B27" s="32" t="s">
        <v>161</v>
      </c>
      <c r="C27" s="122" t="s">
        <v>158</v>
      </c>
      <c r="D27" s="32" t="s">
        <v>162</v>
      </c>
      <c r="E27" s="123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6</v>
      </c>
      <c r="B30" s="32" t="s">
        <v>98</v>
      </c>
      <c r="C30" s="82" t="s">
        <v>99</v>
      </c>
      <c r="D30" s="81" t="s">
        <v>164</v>
      </c>
      <c r="E30" s="84">
        <v>58</v>
      </c>
      <c r="F30" s="84">
        <f>SUM(E30*52/1000)</f>
        <v>3.016</v>
      </c>
      <c r="G30" s="84">
        <v>193.97</v>
      </c>
      <c r="H30" s="85">
        <f t="shared" ref="H30:H33" si="2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7</v>
      </c>
      <c r="B31" s="32" t="s">
        <v>101</v>
      </c>
      <c r="C31" s="82" t="s">
        <v>99</v>
      </c>
      <c r="D31" s="81" t="s">
        <v>163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2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99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2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8</v>
      </c>
      <c r="B33" s="32" t="s">
        <v>103</v>
      </c>
      <c r="C33" s="82" t="s">
        <v>39</v>
      </c>
      <c r="D33" s="81" t="s">
        <v>167</v>
      </c>
      <c r="E33" s="84">
        <v>1</v>
      </c>
      <c r="F33" s="84">
        <f>E33*155/100</f>
        <v>1.55</v>
      </c>
      <c r="G33" s="84">
        <v>1620.15</v>
      </c>
      <c r="H33" s="85">
        <f t="shared" si="2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>SUM(F34*G34/1000)</f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>SUM(F35*G35/1000)</f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3">
        <f t="shared" ref="I37:I42" si="4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105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3"/>
        <v>3.7912940100000001</v>
      </c>
      <c r="I38" s="13">
        <f t="shared" si="4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106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3"/>
        <v>3.2674829250000004</v>
      </c>
      <c r="I39" s="13">
        <f t="shared" si="4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99</v>
      </c>
      <c r="D40" s="81" t="s">
        <v>107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3"/>
        <v>12.207455505</v>
      </c>
      <c r="I40" s="13">
        <f t="shared" si="4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108</v>
      </c>
      <c r="C41" s="82" t="s">
        <v>99</v>
      </c>
      <c r="D41" s="81" t="s">
        <v>109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3"/>
        <v>0.51531270000000007</v>
      </c>
      <c r="I41" s="13">
        <f t="shared" si="4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3">
        <f t="shared" si="4"/>
        <v>82.747500000000002</v>
      </c>
      <c r="J42" s="23"/>
      <c r="L42" s="19"/>
      <c r="M42" s="20"/>
      <c r="N42" s="21"/>
    </row>
    <row r="43" spans="1:14" ht="15.75" customHeight="1">
      <c r="A43" s="151" t="s">
        <v>133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customHeight="1">
      <c r="A44" s="41">
        <v>9</v>
      </c>
      <c r="B44" s="81" t="s">
        <v>110</v>
      </c>
      <c r="C44" s="82" t="s">
        <v>99</v>
      </c>
      <c r="D44" s="81" t="s">
        <v>170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5">SUM(F44*G44/1000)</f>
        <v>2.6816613240000002</v>
      </c>
      <c r="I44" s="13">
        <f t="shared" ref="I44:I47" si="6">F44/2*G44</f>
        <v>1340.8306620000001</v>
      </c>
      <c r="J44" s="23"/>
      <c r="L44" s="19"/>
      <c r="M44" s="20"/>
      <c r="N44" s="21"/>
    </row>
    <row r="45" spans="1:14" ht="15.75" customHeight="1">
      <c r="A45" s="41">
        <v>10</v>
      </c>
      <c r="B45" s="81" t="s">
        <v>34</v>
      </c>
      <c r="C45" s="82" t="s">
        <v>99</v>
      </c>
      <c r="D45" s="81" t="s">
        <v>170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5"/>
        <v>0.16602854400000003</v>
      </c>
      <c r="I45" s="13">
        <f t="shared" si="6"/>
        <v>83.01427200000002</v>
      </c>
      <c r="J45" s="23"/>
      <c r="L45" s="19"/>
      <c r="M45" s="20"/>
      <c r="N45" s="21"/>
    </row>
    <row r="46" spans="1:14" ht="15.75" customHeight="1">
      <c r="A46" s="41">
        <v>11</v>
      </c>
      <c r="B46" s="81" t="s">
        <v>35</v>
      </c>
      <c r="C46" s="82" t="s">
        <v>99</v>
      </c>
      <c r="D46" s="81" t="s">
        <v>170</v>
      </c>
      <c r="E46" s="83">
        <v>660.84</v>
      </c>
      <c r="F46" s="84">
        <f>SUM(E46*2/1000)</f>
        <v>1.32168</v>
      </c>
      <c r="G46" s="13">
        <v>1711.28</v>
      </c>
      <c r="H46" s="85">
        <f t="shared" si="5"/>
        <v>2.2617645503999997</v>
      </c>
      <c r="I46" s="13">
        <f t="shared" si="6"/>
        <v>1130.8822751999999</v>
      </c>
      <c r="J46" s="23"/>
      <c r="L46" s="19"/>
      <c r="M46" s="20"/>
      <c r="N46" s="21"/>
    </row>
    <row r="47" spans="1:14" ht="15.75" customHeight="1">
      <c r="A47" s="41">
        <v>12</v>
      </c>
      <c r="B47" s="81" t="s">
        <v>36</v>
      </c>
      <c r="C47" s="82" t="s">
        <v>99</v>
      </c>
      <c r="D47" s="81" t="s">
        <v>170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5"/>
        <v>2.7280312466000001</v>
      </c>
      <c r="I47" s="13">
        <f t="shared" si="6"/>
        <v>1364.0156233</v>
      </c>
      <c r="J47" s="23"/>
      <c r="L47" s="19"/>
      <c r="M47" s="20"/>
      <c r="N47" s="21"/>
    </row>
    <row r="48" spans="1:14" ht="15.75" customHeight="1">
      <c r="A48" s="41">
        <v>13</v>
      </c>
      <c r="B48" s="81" t="s">
        <v>32</v>
      </c>
      <c r="C48" s="82" t="s">
        <v>33</v>
      </c>
      <c r="D48" s="81" t="s">
        <v>170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5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customHeight="1">
      <c r="A49" s="41">
        <v>14</v>
      </c>
      <c r="B49" s="81" t="s">
        <v>55</v>
      </c>
      <c r="C49" s="82" t="s">
        <v>99</v>
      </c>
      <c r="D49" s="81" t="s">
        <v>170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5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customHeight="1">
      <c r="A50" s="41">
        <v>15</v>
      </c>
      <c r="B50" s="81" t="s">
        <v>111</v>
      </c>
      <c r="C50" s="82" t="s">
        <v>99</v>
      </c>
      <c r="D50" s="81" t="s">
        <v>170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5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customHeight="1">
      <c r="A51" s="41">
        <v>16</v>
      </c>
      <c r="B51" s="81" t="s">
        <v>112</v>
      </c>
      <c r="C51" s="82" t="s">
        <v>37</v>
      </c>
      <c r="D51" s="81" t="s">
        <v>170</v>
      </c>
      <c r="E51" s="83">
        <v>9</v>
      </c>
      <c r="F51" s="84">
        <f>SUM(E51*2/100)</f>
        <v>0.18</v>
      </c>
      <c r="G51" s="13">
        <v>3850.4</v>
      </c>
      <c r="H51" s="85">
        <f t="shared" si="5"/>
        <v>0.69307200000000002</v>
      </c>
      <c r="I51" s="13">
        <f t="shared" ref="I51:I52" si="7">F51/2*G51</f>
        <v>346.536</v>
      </c>
      <c r="J51" s="23"/>
      <c r="L51" s="19"/>
      <c r="M51" s="20"/>
      <c r="N51" s="21"/>
    </row>
    <row r="52" spans="1:14" ht="15.75" customHeight="1">
      <c r="A52" s="41">
        <v>17</v>
      </c>
      <c r="B52" s="81" t="s">
        <v>38</v>
      </c>
      <c r="C52" s="82" t="s">
        <v>39</v>
      </c>
      <c r="D52" s="81" t="s">
        <v>170</v>
      </c>
      <c r="E52" s="83">
        <v>1</v>
      </c>
      <c r="F52" s="84">
        <v>0.02</v>
      </c>
      <c r="G52" s="13">
        <v>7033.13</v>
      </c>
      <c r="H52" s="85">
        <f t="shared" si="5"/>
        <v>0.1406626</v>
      </c>
      <c r="I52" s="13">
        <f t="shared" si="7"/>
        <v>70.331299999999999</v>
      </c>
      <c r="J52" s="23"/>
      <c r="L52" s="19"/>
      <c r="M52" s="20"/>
      <c r="N52" s="21"/>
    </row>
    <row r="53" spans="1:14" ht="15.75" hidden="1" customHeight="1">
      <c r="A53" s="41">
        <v>10</v>
      </c>
      <c r="B53" s="81" t="s">
        <v>138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5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11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5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134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114</v>
      </c>
      <c r="C57" s="82" t="s">
        <v>140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customHeight="1">
      <c r="A58" s="41">
        <v>18</v>
      </c>
      <c r="B58" s="91" t="s">
        <v>82</v>
      </c>
      <c r="C58" s="92" t="s">
        <v>115</v>
      </c>
      <c r="D58" s="37" t="s">
        <v>265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G58*1</f>
        <v>1501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19</v>
      </c>
      <c r="B62" s="97" t="s">
        <v>46</v>
      </c>
      <c r="C62" s="16" t="s">
        <v>113</v>
      </c>
      <c r="D62" s="97" t="s">
        <v>170</v>
      </c>
      <c r="E62" s="18">
        <v>1</v>
      </c>
      <c r="F62" s="84">
        <f>E62</f>
        <v>1</v>
      </c>
      <c r="G62" s="13">
        <v>276.74</v>
      </c>
      <c r="H62" s="98">
        <f t="shared" ref="H62:H70" si="8">SUM(F62*G62/1000)</f>
        <v>0.27673999999999999</v>
      </c>
      <c r="I62" s="13">
        <f>G62*1</f>
        <v>276.74</v>
      </c>
    </row>
    <row r="63" spans="1:14" ht="15.75" hidden="1" customHeight="1">
      <c r="A63" s="29">
        <v>29</v>
      </c>
      <c r="B63" s="97" t="s">
        <v>47</v>
      </c>
      <c r="C63" s="16" t="s">
        <v>113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8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116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8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117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8"/>
        <v>1.4934660500000001</v>
      </c>
      <c r="I65" s="13">
        <f t="shared" ref="I65:I68" si="9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8"/>
        <v>28.138677000000005</v>
      </c>
      <c r="I66" s="13">
        <f t="shared" si="9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118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8"/>
        <v>0.36062</v>
      </c>
      <c r="I67" s="13">
        <f t="shared" si="9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141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8"/>
        <v>0.33645199999999997</v>
      </c>
      <c r="I68" s="13">
        <f t="shared" si="9"/>
        <v>336.452</v>
      </c>
      <c r="J68" s="5"/>
      <c r="K68" s="5"/>
      <c r="L68" s="5"/>
      <c r="M68" s="5"/>
      <c r="N68" s="5"/>
      <c r="O68" s="5"/>
      <c r="P68" s="5"/>
      <c r="Q68" s="5"/>
      <c r="R68" s="143"/>
      <c r="S68" s="143"/>
      <c r="T68" s="143"/>
      <c r="U68" s="143"/>
    </row>
    <row r="69" spans="1:22" ht="15.75" customHeight="1">
      <c r="A69" s="29">
        <v>19</v>
      </c>
      <c r="B69" s="97" t="s">
        <v>56</v>
      </c>
      <c r="C69" s="16" t="s">
        <v>57</v>
      </c>
      <c r="D69" s="97" t="s">
        <v>175</v>
      </c>
      <c r="E69" s="18">
        <v>2</v>
      </c>
      <c r="F69" s="84">
        <f>SUM(E69)</f>
        <v>2</v>
      </c>
      <c r="G69" s="13">
        <v>62.07</v>
      </c>
      <c r="H69" s="98">
        <f t="shared" si="8"/>
        <v>0.12414</v>
      </c>
      <c r="I69" s="13">
        <f>F69*G69</f>
        <v>124.14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20</v>
      </c>
      <c r="B70" s="97" t="s">
        <v>83</v>
      </c>
      <c r="C70" s="41" t="s">
        <v>128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8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120</v>
      </c>
      <c r="C72" s="16" t="s">
        <v>121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10">SUM(F72*G72/1000)</f>
        <v>0.97639999999999993</v>
      </c>
      <c r="I72" s="13">
        <v>0</v>
      </c>
    </row>
    <row r="73" spans="1:22" ht="15.75" hidden="1" customHeight="1">
      <c r="A73" s="29"/>
      <c r="B73" s="97" t="s">
        <v>122</v>
      </c>
      <c r="C73" s="16" t="s">
        <v>123</v>
      </c>
      <c r="D73" s="97"/>
      <c r="E73" s="18">
        <v>1</v>
      </c>
      <c r="F73" s="13">
        <v>1</v>
      </c>
      <c r="G73" s="13">
        <v>650</v>
      </c>
      <c r="H73" s="98">
        <f t="shared" si="10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142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10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10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10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124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1">SUM(F78*G78/1000)</f>
        <v>4.4637839999999995</v>
      </c>
      <c r="I78" s="13">
        <v>0</v>
      </c>
    </row>
    <row r="79" spans="1:22" ht="15.75" hidden="1" customHeight="1">
      <c r="A79" s="80"/>
      <c r="B79" s="74" t="s">
        <v>119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86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6" t="s">
        <v>135</v>
      </c>
      <c r="B81" s="137"/>
      <c r="C81" s="137"/>
      <c r="D81" s="137"/>
      <c r="E81" s="137"/>
      <c r="F81" s="137"/>
      <c r="G81" s="137"/>
      <c r="H81" s="137"/>
      <c r="I81" s="138"/>
    </row>
    <row r="82" spans="1:9" ht="15.75" customHeight="1">
      <c r="A82" s="29">
        <v>21</v>
      </c>
      <c r="B82" s="81" t="s">
        <v>125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22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hidden="1" customHeight="1">
      <c r="A84" s="29">
        <v>22</v>
      </c>
      <c r="B84" s="97" t="s">
        <v>129</v>
      </c>
      <c r="C84" s="16" t="s">
        <v>130</v>
      </c>
      <c r="D84" s="102" t="s">
        <v>143</v>
      </c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I83+I82+I70+I69+I52+I51+I50+I49+I48+I47+I46+I45+I44+I33+I31+I30+I21+I20+I18+I17+I16+I58</f>
        <v>33334.5778345</v>
      </c>
    </row>
    <row r="86" spans="1:9" ht="15.75" customHeight="1">
      <c r="A86" s="139" t="s">
        <v>59</v>
      </c>
      <c r="B86" s="140"/>
      <c r="C86" s="140"/>
      <c r="D86" s="140"/>
      <c r="E86" s="140"/>
      <c r="F86" s="140"/>
      <c r="G86" s="140"/>
      <c r="H86" s="140"/>
      <c r="I86" s="141"/>
    </row>
    <row r="87" spans="1:9" ht="15.75" customHeight="1">
      <c r="A87" s="42">
        <v>23</v>
      </c>
      <c r="B87" s="37" t="s">
        <v>157</v>
      </c>
      <c r="C87" s="38" t="s">
        <v>158</v>
      </c>
      <c r="D87" s="52"/>
      <c r="E87" s="13"/>
      <c r="F87" s="13">
        <v>2</v>
      </c>
      <c r="G87" s="36">
        <v>1.4</v>
      </c>
      <c r="H87" s="98">
        <f t="shared" ref="H87" si="12">G87*F87/1000</f>
        <v>2.8E-3</v>
      </c>
      <c r="I87" s="104">
        <f>G87*12</f>
        <v>16.799999999999997</v>
      </c>
    </row>
    <row r="88" spans="1:9" ht="18" customHeight="1">
      <c r="A88" s="29">
        <v>24</v>
      </c>
      <c r="B88" s="127" t="s">
        <v>259</v>
      </c>
      <c r="C88" s="65" t="s">
        <v>113</v>
      </c>
      <c r="D88" s="130" t="s">
        <v>264</v>
      </c>
      <c r="E88" s="36"/>
      <c r="F88" s="36">
        <v>1</v>
      </c>
      <c r="G88" s="36">
        <v>224.24</v>
      </c>
      <c r="H88" s="98"/>
      <c r="I88" s="104">
        <f>G88*1</f>
        <v>224.24</v>
      </c>
    </row>
    <row r="89" spans="1:9" ht="18" customHeight="1">
      <c r="A89" s="29">
        <v>25</v>
      </c>
      <c r="B89" s="127" t="s">
        <v>260</v>
      </c>
      <c r="C89" s="134" t="s">
        <v>261</v>
      </c>
      <c r="D89" s="130" t="s">
        <v>264</v>
      </c>
      <c r="E89" s="36"/>
      <c r="F89" s="36">
        <v>0.2</v>
      </c>
      <c r="G89" s="36">
        <v>4735.07</v>
      </c>
      <c r="H89" s="98"/>
      <c r="I89" s="104">
        <f>G89*0.2</f>
        <v>947.01400000000001</v>
      </c>
    </row>
    <row r="90" spans="1:9" ht="36" customHeight="1">
      <c r="A90" s="29">
        <v>26</v>
      </c>
      <c r="B90" s="119" t="s">
        <v>219</v>
      </c>
      <c r="C90" s="65" t="s">
        <v>220</v>
      </c>
      <c r="D90" s="126" t="s">
        <v>262</v>
      </c>
      <c r="E90" s="36"/>
      <c r="F90" s="36">
        <f>0.157+0.95+57</f>
        <v>58.106999999999999</v>
      </c>
      <c r="G90" s="36">
        <v>5273.1</v>
      </c>
      <c r="H90" s="98"/>
      <c r="I90" s="104">
        <f>G90*0.57</f>
        <v>3005.6669999999999</v>
      </c>
    </row>
    <row r="91" spans="1:9" ht="15.75" customHeight="1">
      <c r="A91" s="29">
        <v>27</v>
      </c>
      <c r="B91" s="119" t="s">
        <v>221</v>
      </c>
      <c r="C91" s="65" t="s">
        <v>29</v>
      </c>
      <c r="D91" s="126" t="s">
        <v>263</v>
      </c>
      <c r="E91" s="36"/>
      <c r="F91" s="36">
        <v>9</v>
      </c>
      <c r="G91" s="36">
        <v>420</v>
      </c>
      <c r="H91" s="98"/>
      <c r="I91" s="104">
        <f>G91*3</f>
        <v>1260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SUM(I87:I91)</f>
        <v>5453.7209999999995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136</v>
      </c>
      <c r="C94" s="34"/>
      <c r="D94" s="34"/>
      <c r="E94" s="34"/>
      <c r="F94" s="34"/>
      <c r="G94" s="34"/>
      <c r="H94" s="34"/>
      <c r="I94" s="45">
        <f>I85+I92</f>
        <v>38788.298834499998</v>
      </c>
    </row>
    <row r="95" spans="1:9" ht="15.75">
      <c r="A95" s="142" t="s">
        <v>266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61"/>
      <c r="B96" s="158" t="s">
        <v>267</v>
      </c>
      <c r="C96" s="158"/>
      <c r="D96" s="158"/>
      <c r="E96" s="158"/>
      <c r="F96" s="158"/>
      <c r="G96" s="158"/>
      <c r="H96" s="79"/>
      <c r="I96" s="3"/>
    </row>
    <row r="97" spans="1:9">
      <c r="A97" s="70"/>
      <c r="B97" s="154" t="s">
        <v>6</v>
      </c>
      <c r="C97" s="154"/>
      <c r="D97" s="154"/>
      <c r="E97" s="154"/>
      <c r="F97" s="154"/>
      <c r="G97" s="154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59" t="s">
        <v>60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5.75">
      <c r="A102" s="11"/>
    </row>
    <row r="103" spans="1:9" ht="15.75">
      <c r="A103" s="160" t="s">
        <v>9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4"/>
    </row>
    <row r="105" spans="1:9" ht="15.75">
      <c r="B105" s="69" t="s">
        <v>10</v>
      </c>
      <c r="C105" s="161" t="s">
        <v>186</v>
      </c>
      <c r="D105" s="161"/>
      <c r="E105" s="161"/>
      <c r="F105" s="77"/>
      <c r="I105" s="72"/>
    </row>
    <row r="106" spans="1:9">
      <c r="A106" s="70"/>
      <c r="C106" s="154" t="s">
        <v>11</v>
      </c>
      <c r="D106" s="154"/>
      <c r="E106" s="154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9" t="s">
        <v>13</v>
      </c>
      <c r="C108" s="156"/>
      <c r="D108" s="156"/>
      <c r="E108" s="156"/>
      <c r="F108" s="78"/>
      <c r="I108" s="72"/>
    </row>
    <row r="109" spans="1:9">
      <c r="A109" s="70"/>
      <c r="C109" s="143" t="s">
        <v>11</v>
      </c>
      <c r="D109" s="143"/>
      <c r="E109" s="143"/>
      <c r="F109" s="70"/>
      <c r="I109" s="71" t="s">
        <v>12</v>
      </c>
    </row>
    <row r="110" spans="1:9" ht="15.75">
      <c r="A110" s="4" t="s">
        <v>14</v>
      </c>
    </row>
    <row r="111" spans="1:9">
      <c r="A111" s="157" t="s">
        <v>15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45" customHeight="1">
      <c r="A112" s="155" t="s">
        <v>16</v>
      </c>
      <c r="B112" s="155"/>
      <c r="C112" s="155"/>
      <c r="D112" s="155"/>
      <c r="E112" s="155"/>
      <c r="F112" s="155"/>
      <c r="G112" s="155"/>
      <c r="H112" s="155"/>
      <c r="I112" s="155"/>
    </row>
    <row r="113" spans="1:9" ht="30" customHeight="1">
      <c r="A113" s="155" t="s">
        <v>17</v>
      </c>
      <c r="B113" s="155"/>
      <c r="C113" s="155"/>
      <c r="D113" s="155"/>
      <c r="E113" s="155"/>
      <c r="F113" s="155"/>
      <c r="G113" s="155"/>
      <c r="H113" s="155"/>
      <c r="I113" s="155"/>
    </row>
    <row r="114" spans="1:9" ht="30" customHeight="1">
      <c r="A114" s="155" t="s">
        <v>21</v>
      </c>
      <c r="B114" s="155"/>
      <c r="C114" s="155"/>
      <c r="D114" s="155"/>
      <c r="E114" s="155"/>
      <c r="F114" s="155"/>
      <c r="G114" s="155"/>
      <c r="H114" s="155"/>
      <c r="I114" s="155"/>
    </row>
    <row r="115" spans="1:9" ht="15.75">
      <c r="A115" s="155" t="s">
        <v>20</v>
      </c>
      <c r="B115" s="155"/>
      <c r="C115" s="155"/>
      <c r="D115" s="155"/>
      <c r="E115" s="155"/>
      <c r="F115" s="155"/>
      <c r="G115" s="155"/>
      <c r="H115" s="155"/>
      <c r="I115" s="155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1:I81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2021-02-11T10:48:38Z</cp:lastPrinted>
  <dcterms:created xsi:type="dcterms:W3CDTF">2016-03-25T08:33:47Z</dcterms:created>
  <dcterms:modified xsi:type="dcterms:W3CDTF">2022-01-18T12:02:09Z</dcterms:modified>
</cp:coreProperties>
</file>