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Сов.,16" sheetId="1" r:id="rId1"/>
  </sheets>
  <definedNames>
    <definedName name="_xlnm.Print_Area" localSheetId="0">'Сов.,16'!$A$1:$Z$141</definedName>
  </definedNames>
  <calcPr calcId="124519"/>
</workbook>
</file>

<file path=xl/calcChain.xml><?xml version="1.0" encoding="utf-8"?>
<calcChain xmlns="http://schemas.openxmlformats.org/spreadsheetml/2006/main">
  <c r="C138" i="1"/>
  <c r="U127" l="1"/>
  <c r="U128"/>
  <c r="T127"/>
  <c r="F127"/>
  <c r="H127" s="1"/>
  <c r="U129"/>
  <c r="F128"/>
  <c r="H128" s="1"/>
  <c r="T128"/>
  <c r="S116"/>
  <c r="T116"/>
  <c r="T94"/>
  <c r="F94"/>
  <c r="T123"/>
  <c r="U123" s="1"/>
  <c r="I123"/>
  <c r="H123"/>
  <c r="C139"/>
  <c r="C136"/>
  <c r="H129" l="1"/>
  <c r="F126"/>
  <c r="T126" s="1"/>
  <c r="U126" s="1"/>
  <c r="H126" l="1"/>
  <c r="F125" l="1"/>
  <c r="T125" s="1"/>
  <c r="U125" s="1"/>
  <c r="H125"/>
  <c r="F121" l="1"/>
  <c r="H121" s="1"/>
  <c r="S121" l="1"/>
  <c r="U121" s="1"/>
  <c r="F120"/>
  <c r="S120" s="1"/>
  <c r="U120" s="1"/>
  <c r="S58"/>
  <c r="S119"/>
  <c r="U119" s="1"/>
  <c r="F119"/>
  <c r="H119" s="1"/>
  <c r="H120" l="1"/>
  <c r="S118"/>
  <c r="U118" s="1"/>
  <c r="H118"/>
  <c r="T124" l="1"/>
  <c r="U124" s="1"/>
  <c r="T115"/>
  <c r="S115"/>
  <c r="S117"/>
  <c r="U117" s="1"/>
  <c r="S113"/>
  <c r="U113" s="1"/>
  <c r="S114"/>
  <c r="U114" s="1"/>
  <c r="H114"/>
  <c r="S74"/>
  <c r="S112"/>
  <c r="U112" s="1"/>
  <c r="U115" l="1"/>
  <c r="T122"/>
  <c r="U122" s="1"/>
  <c r="F122"/>
  <c r="S111"/>
  <c r="U111" s="1"/>
  <c r="H111"/>
  <c r="S98"/>
  <c r="U98" s="1"/>
  <c r="S110"/>
  <c r="U110" s="1"/>
  <c r="R110"/>
  <c r="H110"/>
  <c r="S109"/>
  <c r="U109" s="1"/>
  <c r="S108"/>
  <c r="U108" s="1"/>
  <c r="H108"/>
  <c r="S100" l="1"/>
  <c r="U100" s="1"/>
  <c r="S107"/>
  <c r="U107" s="1"/>
  <c r="L107"/>
  <c r="H107"/>
  <c r="S106" l="1"/>
  <c r="U106" s="1"/>
  <c r="S105"/>
  <c r="U105" s="1"/>
  <c r="R105"/>
  <c r="M105"/>
  <c r="J105"/>
  <c r="H105"/>
  <c r="S96" l="1"/>
  <c r="U96" s="1"/>
  <c r="S97"/>
  <c r="U97" s="1"/>
  <c r="S104"/>
  <c r="U104" s="1"/>
  <c r="S95"/>
  <c r="U95" s="1"/>
  <c r="S103"/>
  <c r="U103" s="1"/>
  <c r="S102"/>
  <c r="U102" s="1"/>
  <c r="S101"/>
  <c r="U101" s="1"/>
  <c r="S99"/>
  <c r="U99" s="1"/>
  <c r="S63"/>
  <c r="S94"/>
  <c r="U94" s="1"/>
  <c r="F80" l="1"/>
  <c r="T80" s="1"/>
  <c r="I80" l="1"/>
  <c r="K80"/>
  <c r="M80"/>
  <c r="O80"/>
  <c r="Q80"/>
  <c r="S80"/>
  <c r="U80" s="1"/>
  <c r="H80"/>
  <c r="J80"/>
  <c r="L80"/>
  <c r="N80"/>
  <c r="P80"/>
  <c r="R80"/>
  <c r="U84" l="1"/>
  <c r="S78"/>
  <c r="T78"/>
  <c r="H78"/>
  <c r="U78" l="1"/>
  <c r="F77"/>
  <c r="H76"/>
  <c r="F75"/>
  <c r="H75" s="1"/>
  <c r="F74"/>
  <c r="H74" s="1"/>
  <c r="F73"/>
  <c r="H73" s="1"/>
  <c r="U73"/>
  <c r="U74"/>
  <c r="U75"/>
  <c r="U76"/>
  <c r="U72"/>
  <c r="H72"/>
  <c r="H77" l="1"/>
  <c r="T77"/>
  <c r="S77"/>
  <c r="F64"/>
  <c r="F63"/>
  <c r="F65"/>
  <c r="F66"/>
  <c r="F67"/>
  <c r="F68"/>
  <c r="F69"/>
  <c r="F70"/>
  <c r="F60"/>
  <c r="H60" s="1"/>
  <c r="U58"/>
  <c r="H58"/>
  <c r="U60"/>
  <c r="U63"/>
  <c r="U64"/>
  <c r="U65"/>
  <c r="U66"/>
  <c r="U67"/>
  <c r="U68"/>
  <c r="U69"/>
  <c r="U70"/>
  <c r="U82"/>
  <c r="U45"/>
  <c r="U46"/>
  <c r="U47"/>
  <c r="U48"/>
  <c r="U50"/>
  <c r="U51"/>
  <c r="U52"/>
  <c r="U53"/>
  <c r="U54"/>
  <c r="U44"/>
  <c r="F41"/>
  <c r="S41" s="1"/>
  <c r="F39"/>
  <c r="F38"/>
  <c r="U37"/>
  <c r="H37"/>
  <c r="U77" l="1"/>
  <c r="H41"/>
  <c r="T41"/>
  <c r="U41" s="1"/>
  <c r="F35"/>
  <c r="F28"/>
  <c r="E27"/>
  <c r="U26"/>
  <c r="F16"/>
  <c r="S16" s="1"/>
  <c r="F15"/>
  <c r="F26"/>
  <c r="H26" s="1"/>
  <c r="F24"/>
  <c r="F23"/>
  <c r="H28"/>
  <c r="H29"/>
  <c r="H30"/>
  <c r="U24" l="1"/>
  <c r="U25"/>
  <c r="U27"/>
  <c r="U29"/>
  <c r="U30"/>
  <c r="U23"/>
  <c r="U14"/>
  <c r="U17"/>
  <c r="U18"/>
  <c r="H101" l="1"/>
  <c r="H104"/>
  <c r="H100"/>
  <c r="H106"/>
  <c r="H109"/>
  <c r="H95"/>
  <c r="H99"/>
  <c r="H98"/>
  <c r="H97"/>
  <c r="H96"/>
  <c r="R116"/>
  <c r="R117"/>
  <c r="R75"/>
  <c r="R73"/>
  <c r="R112"/>
  <c r="R109"/>
  <c r="R100"/>
  <c r="R104"/>
  <c r="R94" l="1"/>
  <c r="R96"/>
  <c r="R97"/>
  <c r="R98"/>
  <c r="R99"/>
  <c r="R95" l="1"/>
  <c r="R101" l="1"/>
  <c r="Q75" l="1"/>
  <c r="Q73"/>
  <c r="Q76"/>
  <c r="Q117"/>
  <c r="Q124"/>
  <c r="Q115"/>
  <c r="Q109" l="1"/>
  <c r="Q106"/>
  <c r="Q100" l="1"/>
  <c r="Q104"/>
  <c r="Q94"/>
  <c r="Q116"/>
  <c r="P116"/>
  <c r="O63"/>
  <c r="N84"/>
  <c r="O73"/>
  <c r="O116"/>
  <c r="N116"/>
  <c r="O117"/>
  <c r="N117"/>
  <c r="O101"/>
  <c r="N63" l="1"/>
  <c r="N94"/>
  <c r="H103" l="1"/>
  <c r="H116"/>
  <c r="H102"/>
  <c r="H113"/>
  <c r="H115"/>
  <c r="H124"/>
  <c r="H112"/>
  <c r="H117"/>
  <c r="M117"/>
  <c r="M116"/>
  <c r="M113"/>
  <c r="M112"/>
  <c r="M73"/>
  <c r="L124"/>
  <c r="L116"/>
  <c r="L115"/>
  <c r="K113"/>
  <c r="K116" l="1"/>
  <c r="M94"/>
  <c r="L102"/>
  <c r="L94"/>
  <c r="K94"/>
  <c r="K102"/>
  <c r="J116" l="1"/>
  <c r="J94"/>
  <c r="I116" l="1"/>
  <c r="I73"/>
  <c r="I122"/>
  <c r="H122"/>
  <c r="I103"/>
  <c r="I94"/>
  <c r="F27" l="1"/>
  <c r="H27" s="1"/>
  <c r="T40" l="1"/>
  <c r="T34"/>
  <c r="S34"/>
  <c r="U116"/>
  <c r="U34" l="1"/>
  <c r="Q70"/>
  <c r="R52"/>
  <c r="S40"/>
  <c r="U40" s="1"/>
  <c r="L34"/>
  <c r="Q53" l="1"/>
  <c r="H94" l="1"/>
  <c r="M52" l="1"/>
  <c r="M53"/>
  <c r="L40"/>
  <c r="K34"/>
  <c r="P27" l="1"/>
  <c r="R27"/>
  <c r="Q27"/>
  <c r="M27"/>
  <c r="O27"/>
  <c r="N27"/>
  <c r="H84"/>
  <c r="K40"/>
  <c r="J40" l="1"/>
  <c r="J34"/>
  <c r="I53"/>
  <c r="F53"/>
  <c r="I40"/>
  <c r="I34"/>
  <c r="F61" l="1"/>
  <c r="H131" l="1"/>
  <c r="S61"/>
  <c r="T61"/>
  <c r="Q61"/>
  <c r="R61"/>
  <c r="P61"/>
  <c r="O61"/>
  <c r="M61"/>
  <c r="N61"/>
  <c r="L61"/>
  <c r="K61"/>
  <c r="I61"/>
  <c r="J61"/>
  <c r="H61"/>
  <c r="T38"/>
  <c r="F20"/>
  <c r="T20" s="1"/>
  <c r="F132"/>
  <c r="E87"/>
  <c r="H90" s="1"/>
  <c r="F85"/>
  <c r="H82"/>
  <c r="M69"/>
  <c r="M68"/>
  <c r="M67"/>
  <c r="M66"/>
  <c r="M65"/>
  <c r="H64"/>
  <c r="H63"/>
  <c r="F57"/>
  <c r="H54"/>
  <c r="H53"/>
  <c r="H52"/>
  <c r="F51"/>
  <c r="R51" s="1"/>
  <c r="F50"/>
  <c r="F49"/>
  <c r="F48"/>
  <c r="F47"/>
  <c r="F46"/>
  <c r="F45"/>
  <c r="F44"/>
  <c r="H40"/>
  <c r="H38"/>
  <c r="F36"/>
  <c r="T36" s="1"/>
  <c r="T35"/>
  <c r="H34"/>
  <c r="F31"/>
  <c r="T31" s="1"/>
  <c r="F25"/>
  <c r="M25" s="1"/>
  <c r="H23"/>
  <c r="F19"/>
  <c r="F18"/>
  <c r="M18" s="1"/>
  <c r="F17"/>
  <c r="M17" s="1"/>
  <c r="F14"/>
  <c r="E13"/>
  <c r="F13" s="1"/>
  <c r="T13" s="1"/>
  <c r="F12"/>
  <c r="T12" s="1"/>
  <c r="F11"/>
  <c r="H20" l="1"/>
  <c r="U61"/>
  <c r="T11"/>
  <c r="S11"/>
  <c r="Q49"/>
  <c r="T49"/>
  <c r="U49" s="1"/>
  <c r="T57"/>
  <c r="S57"/>
  <c r="U57" s="1"/>
  <c r="U83" s="1"/>
  <c r="T85"/>
  <c r="S85"/>
  <c r="T28"/>
  <c r="S28"/>
  <c r="P13"/>
  <c r="Q13"/>
  <c r="S13"/>
  <c r="U13" s="1"/>
  <c r="R13"/>
  <c r="P15"/>
  <c r="R15"/>
  <c r="Q15"/>
  <c r="U15"/>
  <c r="P12"/>
  <c r="R12"/>
  <c r="Q12"/>
  <c r="S12"/>
  <c r="U12" s="1"/>
  <c r="P16"/>
  <c r="Q16"/>
  <c r="U16"/>
  <c r="R16"/>
  <c r="P24"/>
  <c r="R24"/>
  <c r="Q24"/>
  <c r="P31"/>
  <c r="Q31"/>
  <c r="S31"/>
  <c r="U31" s="1"/>
  <c r="R31"/>
  <c r="L35"/>
  <c r="S35"/>
  <c r="U35" s="1"/>
  <c r="M45"/>
  <c r="Q45"/>
  <c r="M47"/>
  <c r="Q47"/>
  <c r="L57"/>
  <c r="R85"/>
  <c r="P85"/>
  <c r="Q85"/>
  <c r="Q23"/>
  <c r="R23"/>
  <c r="P23"/>
  <c r="R11"/>
  <c r="P11"/>
  <c r="Q11"/>
  <c r="P19"/>
  <c r="R19"/>
  <c r="Q19"/>
  <c r="U19"/>
  <c r="R28"/>
  <c r="P28"/>
  <c r="Q28"/>
  <c r="L36"/>
  <c r="S36"/>
  <c r="U36" s="1"/>
  <c r="L39"/>
  <c r="U39"/>
  <c r="M44"/>
  <c r="Q44"/>
  <c r="M46"/>
  <c r="Q46"/>
  <c r="M48"/>
  <c r="Q48"/>
  <c r="R50"/>
  <c r="M50"/>
  <c r="P20"/>
  <c r="Q20"/>
  <c r="S20"/>
  <c r="U20" s="1"/>
  <c r="R20"/>
  <c r="L38"/>
  <c r="S38"/>
  <c r="U38" s="1"/>
  <c r="O11"/>
  <c r="O85"/>
  <c r="O23"/>
  <c r="M14"/>
  <c r="N11"/>
  <c r="M11"/>
  <c r="O12"/>
  <c r="N12"/>
  <c r="O16"/>
  <c r="N16"/>
  <c r="M24"/>
  <c r="N24"/>
  <c r="O24"/>
  <c r="N31"/>
  <c r="O31"/>
  <c r="N85"/>
  <c r="M85"/>
  <c r="N23"/>
  <c r="M23"/>
  <c r="N13"/>
  <c r="O13"/>
  <c r="O15"/>
  <c r="N15"/>
  <c r="M19"/>
  <c r="N19"/>
  <c r="O19"/>
  <c r="O28"/>
  <c r="N28"/>
  <c r="O20"/>
  <c r="N20"/>
  <c r="M51"/>
  <c r="L11"/>
  <c r="K11"/>
  <c r="M13"/>
  <c r="L13"/>
  <c r="M15"/>
  <c r="L15"/>
  <c r="K15"/>
  <c r="K19"/>
  <c r="L19"/>
  <c r="K28"/>
  <c r="M28"/>
  <c r="L28"/>
  <c r="M20"/>
  <c r="L20"/>
  <c r="M12"/>
  <c r="L12"/>
  <c r="M16"/>
  <c r="L16"/>
  <c r="M31"/>
  <c r="K31"/>
  <c r="L31"/>
  <c r="J49"/>
  <c r="M49"/>
  <c r="K57"/>
  <c r="L85"/>
  <c r="K85"/>
  <c r="H25"/>
  <c r="H14"/>
  <c r="H18"/>
  <c r="H17"/>
  <c r="H70"/>
  <c r="K16"/>
  <c r="J16"/>
  <c r="J11"/>
  <c r="K13"/>
  <c r="J13"/>
  <c r="J15"/>
  <c r="I19"/>
  <c r="J19"/>
  <c r="J28"/>
  <c r="K36"/>
  <c r="J36"/>
  <c r="K39"/>
  <c r="J39"/>
  <c r="H44"/>
  <c r="H46"/>
  <c r="H48"/>
  <c r="H50"/>
  <c r="H66"/>
  <c r="H68"/>
  <c r="I20"/>
  <c r="K20"/>
  <c r="J20"/>
  <c r="I38"/>
  <c r="K38"/>
  <c r="J38"/>
  <c r="I12"/>
  <c r="K12"/>
  <c r="J12"/>
  <c r="H24"/>
  <c r="J31"/>
  <c r="K35"/>
  <c r="J35"/>
  <c r="H45"/>
  <c r="H47"/>
  <c r="H51"/>
  <c r="J57"/>
  <c r="H65"/>
  <c r="H67"/>
  <c r="H69"/>
  <c r="I85"/>
  <c r="J85"/>
  <c r="H11"/>
  <c r="I11"/>
  <c r="H13"/>
  <c r="I13"/>
  <c r="H15"/>
  <c r="I15"/>
  <c r="I28"/>
  <c r="H31"/>
  <c r="I31"/>
  <c r="H39"/>
  <c r="I39"/>
  <c r="H49"/>
  <c r="I49"/>
  <c r="H16"/>
  <c r="I16"/>
  <c r="H35"/>
  <c r="I35"/>
  <c r="H36"/>
  <c r="I36"/>
  <c r="H57"/>
  <c r="I57"/>
  <c r="H85"/>
  <c r="H86" s="1"/>
  <c r="H12"/>
  <c r="F87"/>
  <c r="H19"/>
  <c r="H32" l="1"/>
  <c r="H83"/>
  <c r="U11"/>
  <c r="U85"/>
  <c r="U42"/>
  <c r="U28"/>
  <c r="T87"/>
  <c r="S87"/>
  <c r="T132"/>
  <c r="R87"/>
  <c r="P87"/>
  <c r="P132" s="1"/>
  <c r="Q87"/>
  <c r="S132"/>
  <c r="O87"/>
  <c r="O132" s="1"/>
  <c r="N87"/>
  <c r="N132" s="1"/>
  <c r="M87"/>
  <c r="H55"/>
  <c r="L87"/>
  <c r="K87"/>
  <c r="K132" s="1"/>
  <c r="R132"/>
  <c r="Q132"/>
  <c r="I87"/>
  <c r="I132" s="1"/>
  <c r="J87"/>
  <c r="J132" s="1"/>
  <c r="U86"/>
  <c r="M132"/>
  <c r="L132"/>
  <c r="H42"/>
  <c r="H87"/>
  <c r="H88" s="1"/>
  <c r="H21"/>
  <c r="U87" l="1"/>
  <c r="U88" s="1"/>
  <c r="U32"/>
  <c r="U21"/>
  <c r="H89"/>
  <c r="H91" s="1"/>
  <c r="G132" s="1"/>
  <c r="H132" s="1"/>
  <c r="U55" l="1"/>
  <c r="U89" l="1"/>
  <c r="U132" s="1"/>
  <c r="C137" s="1"/>
  <c r="C141" l="1"/>
</calcChain>
</file>

<file path=xl/sharedStrings.xml><?xml version="1.0" encoding="utf-8"?>
<sst xmlns="http://schemas.openxmlformats.org/spreadsheetml/2006/main" count="394" uniqueCount="270">
  <si>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</si>
  <si>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</si>
  <si>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</si>
  <si>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</si>
  <si>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</si>
  <si>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</si>
  <si>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</si>
  <si>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</si>
  <si>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</si>
  <si>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</si>
  <si>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</si>
  <si>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</si>
  <si>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</si>
  <si>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</si>
  <si>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Влажное подметание лестничных клеток 2-5 этажа</t>
  </si>
  <si>
    <t>Мытье лестничных  площадок и маршей 1-5 этаж.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</si>
  <si>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</si>
  <si>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</si>
  <si>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</si>
  <si>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</si>
  <si>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</si>
  <si>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</si>
  <si>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</si>
  <si>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</si>
  <si>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</si>
  <si>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</si>
  <si>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</si>
  <si>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1000м2</t>
  </si>
  <si>
    <t>Уборка газонов сильной загрязненности</t>
  </si>
  <si>
    <t>1 раз в год</t>
  </si>
  <si>
    <t>шт.</t>
  </si>
  <si>
    <t>155 раз</t>
  </si>
  <si>
    <t>Подборка мусора на контейнерной площадке</t>
  </si>
  <si>
    <t>м3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</si>
  <si>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</si>
  <si>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</si>
  <si>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</si>
  <si>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</si>
  <si>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</si>
  <si>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</si>
  <si>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</si>
  <si>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 xml:space="preserve">Сдвигание снега в дни снегопада </t>
  </si>
  <si>
    <t>1000 м2</t>
  </si>
  <si>
    <t>155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</si>
  <si>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</si>
  <si>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</si>
  <si>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</si>
  <si>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</si>
  <si>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</si>
  <si>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Осмотр деревянных конструкций стропил</t>
  </si>
  <si>
    <t>100 м3</t>
  </si>
  <si>
    <t xml:space="preserve">Осмотр СО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</si>
  <si>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</si>
  <si>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</si>
  <si>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</si>
  <si>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</si>
  <si>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</si>
  <si>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</si>
  <si>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</si>
  <si>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</si>
  <si>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 xml:space="preserve">Электротехнические измерения </t>
  </si>
  <si>
    <t>1 раза в 3 года</t>
  </si>
  <si>
    <t>Кровля</t>
  </si>
  <si>
    <t xml:space="preserve">6 раз за сезон </t>
  </si>
  <si>
    <t>Чердак, подвал, технический этаж</t>
  </si>
  <si>
    <t>м2</t>
  </si>
  <si>
    <t>12 раз в год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</si>
  <si>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</si>
  <si>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</si>
  <si>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</si>
  <si>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</si>
  <si>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</si>
  <si>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</si>
  <si>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</si>
  <si>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</si>
  <si>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</si>
  <si>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</si>
  <si>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</si>
  <si>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</si>
  <si>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</si>
  <si>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</si>
  <si>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</si>
  <si>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</si>
  <si>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</si>
  <si>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</si>
  <si>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</si>
  <si>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</si>
  <si>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</si>
  <si>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</si>
  <si>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</si>
  <si>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</si>
  <si>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</si>
  <si>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</si>
  <si>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</si>
  <si>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</si>
  <si>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</si>
  <si>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1 раз в месяц</t>
  </si>
  <si>
    <t xml:space="preserve">1 раз в месяц  </t>
  </si>
  <si>
    <t>Вода для промывки системы отопления</t>
  </si>
  <si>
    <t>Спуск воды после промывки системы отопления в канализацию</t>
  </si>
  <si>
    <t>Обслуживание прибора учета тепловой энергии</t>
  </si>
  <si>
    <t>Очистка от мусора</t>
  </si>
  <si>
    <t>Дератизация</t>
  </si>
  <si>
    <t>Ремонт групповых щитков на лестничной клетке без ремонта автоматов</t>
  </si>
  <si>
    <t>калькуляция</t>
  </si>
  <si>
    <t>Ремонт и регулировка доводчика (со стоимостью доводчика)</t>
  </si>
  <si>
    <t>Генеральный директор ООО "Жилсервис"_______Ю.Л.Куканов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</si>
  <si>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</si>
  <si>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</si>
  <si>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</si>
  <si>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</si>
  <si>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</si>
  <si>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</si>
  <si>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</si>
  <si>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</si>
  <si>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</si>
  <si>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</si>
  <si>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</si>
  <si>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Внеплановый осмотр электросетей, арматуры и электрооборудования на лестничных клетках</t>
  </si>
  <si>
    <t>Снятие показаний эл.счетчика коммунального назначения</t>
  </si>
  <si>
    <t>1 шт</t>
  </si>
  <si>
    <t>3 раза в год</t>
  </si>
  <si>
    <t>5 этажей,  8 подъездов</t>
  </si>
  <si>
    <t>Стоимость (руб.)</t>
  </si>
  <si>
    <t>договор</t>
  </si>
  <si>
    <t>ТО внутридомового газ.оборудования</t>
  </si>
  <si>
    <t>100шт</t>
  </si>
  <si>
    <t>Подключение и отключение сварочного аппарата</t>
  </si>
  <si>
    <t>Выполне ние      май</t>
  </si>
  <si>
    <t xml:space="preserve">Погрузка травы, ветвей </t>
  </si>
  <si>
    <t>Вывоз смета, травы, ветвей и т.п.- м/ч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</si>
  <si>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</si>
  <si>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</si>
  <si>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</si>
  <si>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</si>
  <si>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</si>
  <si>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</si>
  <si>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</si>
  <si>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Осмотр кровли металлической</t>
  </si>
  <si>
    <t>3м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</si>
  <si>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</si>
  <si>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</si>
  <si>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</si>
  <si>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</si>
  <si>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</si>
  <si>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</si>
  <si>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</si>
  <si>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</si>
  <si>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</si>
  <si>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</si>
  <si>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</si>
  <si>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</si>
  <si>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</si>
  <si>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</si>
  <si>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</si>
  <si>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</si>
  <si>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</si>
  <si>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</si>
  <si>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</si>
  <si>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42-007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</si>
  <si>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</si>
  <si>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</si>
  <si>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</si>
  <si>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</si>
  <si>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</si>
  <si>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</si>
  <si>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</si>
  <si>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>ТЕР 42-001</t>
  </si>
  <si>
    <t>ТЕР 54-041 и 42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</si>
  <si>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</si>
  <si>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</si>
  <si>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</si>
  <si>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</si>
  <si>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</si>
  <si>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</si>
  <si>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</si>
  <si>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</si>
  <si>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33-030</t>
  </si>
  <si>
    <t>ТЕР 33-037</t>
  </si>
  <si>
    <t>ТЕР 33-060</t>
  </si>
  <si>
    <t>ТЕР 2-2-1-2-7</t>
  </si>
  <si>
    <t>ТЕР 32-082</t>
  </si>
  <si>
    <t>счёт</t>
  </si>
  <si>
    <t>Переход чугун-пластик Ду 50 мм с манжетой</t>
  </si>
  <si>
    <t>ТЕР 33-043</t>
  </si>
  <si>
    <t>Баланс выполненных работ на 01.01.2017 г. ( -долг за предприятием, +долг за населением)</t>
  </si>
  <si>
    <t>Смена плавкой вставки в электрощитке</t>
  </si>
  <si>
    <t>пр.ТЕР 32-101</t>
  </si>
  <si>
    <t>Прочистка фановых труб</t>
  </si>
  <si>
    <t>Прочистка засоров канализации</t>
  </si>
  <si>
    <t>Внеплановый осмотр вводных электрических щитков</t>
  </si>
  <si>
    <t>Внеплановый осмотр элекгросетей, арматуры и электрооборудования на чердаках и подвалах</t>
  </si>
  <si>
    <t>пр.ТЕР 32-098</t>
  </si>
  <si>
    <t>Устройство хомута диаметром до 50 мм</t>
  </si>
  <si>
    <t>место</t>
  </si>
  <si>
    <r>
      <t>Смена полиэтиленовых канализационных труб 50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2000 мм</t>
    </r>
  </si>
  <si>
    <r>
      <t>Отвод 50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90°</t>
    </r>
  </si>
  <si>
    <t>Патрубок компенсационный ПП Ду 50</t>
  </si>
  <si>
    <t>пр.ТЕР 32-083</t>
  </si>
  <si>
    <t>Смена полиэтиленовых канализационных труб 110×2000 мм</t>
  </si>
  <si>
    <t>Манжета 110</t>
  </si>
  <si>
    <t>Патрубок компенсацинный ПП Ду 110</t>
  </si>
  <si>
    <t>Ревизия 110</t>
  </si>
  <si>
    <t xml:space="preserve">Переход чугун-пластик Ду 110 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</si>
  <si>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Советская, 16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ноябрь-декабрь 2017 года</t>
    </r>
  </si>
  <si>
    <t>156 раз в год</t>
  </si>
  <si>
    <t>104 раза в год</t>
  </si>
  <si>
    <t xml:space="preserve">24 раза в год </t>
  </si>
  <si>
    <t xml:space="preserve">1 раз в год  </t>
  </si>
  <si>
    <t>1 раз в 2 месяца</t>
  </si>
  <si>
    <t>48 раза в сезон</t>
  </si>
  <si>
    <t>Уборка газонов</t>
  </si>
  <si>
    <t>Подметание территории с усовершенствованным покрытием асф.: крыльца, контейнерн пл., проезд, тротуар</t>
  </si>
  <si>
    <t>48 раз за сезон</t>
  </si>
  <si>
    <t>ТЕР 55-003</t>
  </si>
  <si>
    <t>Очистка урн от мусора</t>
  </si>
  <si>
    <t>48 раз</t>
  </si>
  <si>
    <t>Уборка контейнерной площадки (16 кв.м.)</t>
  </si>
  <si>
    <t>26 раз за сезон</t>
  </si>
  <si>
    <t>Вывоз снега с придомовой территории</t>
  </si>
  <si>
    <t>1м3</t>
  </si>
  <si>
    <t>24 раза за сезон</t>
  </si>
  <si>
    <t>пр.ТЕР 54-037</t>
  </si>
  <si>
    <t>Очистка вручную от снега и наледи люков каналиационных и водопроводных колодцев</t>
  </si>
  <si>
    <t>2 раза в месяц</t>
  </si>
  <si>
    <t>5 раз в год</t>
  </si>
  <si>
    <t>Работы автовышки</t>
  </si>
  <si>
    <t>маш-час</t>
  </si>
  <si>
    <t>пр.ТЕР 33-024</t>
  </si>
  <si>
    <t>Прочистка каналов</t>
  </si>
  <si>
    <t>счёт-фактура</t>
  </si>
  <si>
    <t>Стоимость светодиодного светильника</t>
  </si>
  <si>
    <t>руб</t>
  </si>
  <si>
    <t>Смена светодиодных светильников н.о.</t>
  </si>
  <si>
    <t>Смена светодиодных светильников в.о.</t>
  </si>
  <si>
    <t>пр.ТЕР 33-048</t>
  </si>
  <si>
    <t>пр.ТЕР 33-037</t>
  </si>
  <si>
    <t>Снятие показаний с общедомовых приборов учёта холодной воды</t>
  </si>
  <si>
    <t>Водоснабжение, канализация</t>
  </si>
  <si>
    <t>ТО внутренних сетей водопровода и канализации</t>
  </si>
  <si>
    <t>руб/м2 в мес</t>
  </si>
  <si>
    <r>
      <t>Тройник 100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50/90гр.</t>
    </r>
  </si>
  <si>
    <t>Тройник Ду-50*90°</t>
  </si>
  <si>
    <t>Муфта 50</t>
  </si>
  <si>
    <r>
      <t>Отвод 110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45°</t>
    </r>
  </si>
  <si>
    <t>Муфта 100</t>
  </si>
  <si>
    <t>Смена плавкой вставки</t>
  </si>
  <si>
    <t>ТЕР 33-041</t>
  </si>
  <si>
    <t>Работа автопогрузчика</t>
  </si>
  <si>
    <t>ТЕР 11-01-033-2</t>
  </si>
  <si>
    <t>Устройство деревянного настила под.№3</t>
  </si>
  <si>
    <t>100 шт</t>
  </si>
  <si>
    <t>пр.ТЕР 57-10-3</t>
  </si>
  <si>
    <t>Заделка выбоин в полах цементных площадью до 1,0 м2 (I-VIII под.)</t>
  </si>
  <si>
    <t>пр.ТЕР 16-005</t>
  </si>
  <si>
    <t>Ремонт крыльца (I,  II, III, V, VI под.)</t>
  </si>
  <si>
    <t>пр.ТЕР 31-057</t>
  </si>
  <si>
    <t>Утепление трубопроводов минеральной ватой УРСА</t>
  </si>
  <si>
    <t>1 мЗ</t>
  </si>
  <si>
    <t>ТЕР 21-005</t>
  </si>
  <si>
    <t>Ремонт штукатурки внутренних стен по камню и бетону цементно-известковым раствором площадью до 1 м2 толщиной слоя до 20 мм</t>
  </si>
  <si>
    <t>10 м2</t>
  </si>
  <si>
    <t>Начислено за содержание и текущий ремонт за 2017 г.</t>
  </si>
  <si>
    <t>Просроченная задолженность по Вашему дому по статье "Содержание и текущий ремонт МКД" на конец декабря 2017 г., составляет:</t>
  </si>
  <si>
    <t>Баланс выполненных работ на 01.01.2018 г. ( -долг за предприятием, +долг за населением)</t>
  </si>
  <si>
    <t>Выполнено работ по содержанию за 2017 г.</t>
  </si>
  <si>
    <t>Выполнено работ по текущему ремонту за 2017 г.</t>
  </si>
  <si>
    <t>Фактически оплачено за 2017 г.</t>
  </si>
  <si>
    <t>Сверхнормативы по ОДП за 2 полугодие</t>
  </si>
  <si>
    <t>Сверхнормативы по ОДП за 1 полугодие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</si>
</sst>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22">
    <font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4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3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 applyAlignment="1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7" fillId="0" borderId="0" xfId="0" applyNumberFormat="1" applyFont="1"/>
    <xf numFmtId="0" fontId="7" fillId="0" borderId="0" xfId="0" applyFont="1"/>
    <xf numFmtId="164" fontId="0" fillId="0" borderId="0" xfId="0" applyNumberFormat="1"/>
    <xf numFmtId="2" fontId="0" fillId="0" borderId="0" xfId="0" applyNumberFormat="1"/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/>
    </xf>
    <xf numFmtId="0" fontId="0" fillId="2" borderId="0" xfId="0" applyFill="1"/>
    <xf numFmtId="0" fontId="4" fillId="2" borderId="1" xfId="0" applyFont="1" applyFill="1" applyBorder="1" applyAlignment="1">
      <alignment horizontal="left" vertical="center" wrapText="1"/>
    </xf>
    <xf numFmtId="0" fontId="0" fillId="9" borderId="0" xfId="0" applyFill="1"/>
    <xf numFmtId="0" fontId="14" fillId="7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vertical="center"/>
    </xf>
    <xf numFmtId="4" fontId="2" fillId="7" borderId="7" xfId="0" applyNumberFormat="1" applyFont="1" applyFill="1" applyBorder="1" applyAlignment="1">
      <alignment vertical="center"/>
    </xf>
    <xf numFmtId="0" fontId="2" fillId="7" borderId="3" xfId="0" applyFont="1" applyFill="1" applyBorder="1"/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7" borderId="3" xfId="0" applyNumberFormat="1" applyFont="1" applyFill="1" applyBorder="1" applyAlignment="1">
      <alignment horizontal="center" vertical="center"/>
    </xf>
    <xf numFmtId="4" fontId="2" fillId="7" borderId="7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10" borderId="2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4" fontId="4" fillId="8" borderId="2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4" fontId="2" fillId="6" borderId="1" xfId="0" applyNumberFormat="1" applyFont="1" applyFill="1" applyBorder="1" applyAlignment="1">
      <alignment horizontal="center" vertical="center"/>
    </xf>
    <xf numFmtId="4" fontId="2" fillId="11" borderId="3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4" fontId="2" fillId="6" borderId="3" xfId="0" applyNumberFormat="1" applyFont="1" applyFill="1" applyBorder="1" applyAlignment="1">
      <alignment horizontal="center" vertical="center"/>
    </xf>
    <xf numFmtId="4" fontId="16" fillId="4" borderId="2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4" fontId="4" fillId="9" borderId="1" xfId="0" applyNumberFormat="1" applyFont="1" applyFill="1" applyBorder="1" applyAlignment="1">
      <alignment horizontal="center" vertical="center" wrapText="1"/>
    </xf>
    <xf numFmtId="4" fontId="4" fillId="9" borderId="1" xfId="0" applyNumberFormat="1" applyFont="1" applyFill="1" applyBorder="1" applyAlignment="1">
      <alignment horizontal="center" vertical="center"/>
    </xf>
    <xf numFmtId="4" fontId="4" fillId="9" borderId="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  <xf numFmtId="4" fontId="2" fillId="4" borderId="5" xfId="0" applyNumberFormat="1" applyFont="1" applyFill="1" applyBorder="1" applyAlignment="1">
      <alignment horizontal="center" vertical="center"/>
    </xf>
    <xf numFmtId="4" fontId="2" fillId="4" borderId="6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4" fontId="2" fillId="6" borderId="3" xfId="0" applyNumberFormat="1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left" vertical="center" wrapText="1"/>
    </xf>
    <xf numFmtId="4" fontId="4" fillId="9" borderId="3" xfId="0" applyNumberFormat="1" applyFont="1" applyFill="1" applyBorder="1" applyAlignment="1">
      <alignment horizontal="center" vertical="center" wrapText="1"/>
    </xf>
    <xf numFmtId="4" fontId="4" fillId="8" borderId="7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4" fontId="2" fillId="5" borderId="3" xfId="0" applyNumberFormat="1" applyFont="1" applyFill="1" applyBorder="1" applyAlignment="1">
      <alignment horizontal="center" vertical="center"/>
    </xf>
    <xf numFmtId="4" fontId="4" fillId="5" borderId="3" xfId="0" applyNumberFormat="1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left"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2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 wrapText="1"/>
    </xf>
    <xf numFmtId="4" fontId="17" fillId="2" borderId="6" xfId="0" applyNumberFormat="1" applyFont="1" applyFill="1" applyBorder="1" applyAlignment="1">
      <alignment horizontal="center" vertical="center"/>
    </xf>
    <xf numFmtId="4" fontId="17" fillId="4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horizontal="center" vertical="center"/>
    </xf>
    <xf numFmtId="4" fontId="17" fillId="4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4" fontId="17" fillId="2" borderId="8" xfId="0" applyNumberFormat="1" applyFont="1" applyFill="1" applyBorder="1" applyAlignment="1">
      <alignment horizontal="center" vertical="center"/>
    </xf>
    <xf numFmtId="4" fontId="4" fillId="2" borderId="9" xfId="0" applyNumberFormat="1" applyFont="1" applyFill="1" applyBorder="1" applyAlignment="1">
      <alignment horizontal="center" vertical="center"/>
    </xf>
    <xf numFmtId="4" fontId="2" fillId="0" borderId="0" xfId="0" applyNumberFormat="1" applyFont="1"/>
    <xf numFmtId="0" fontId="2" fillId="0" borderId="0" xfId="0" applyFont="1"/>
    <xf numFmtId="4" fontId="18" fillId="0" borderId="0" xfId="0" applyNumberFormat="1" applyFont="1"/>
    <xf numFmtId="0" fontId="18" fillId="0" borderId="0" xfId="0" applyFont="1"/>
    <xf numFmtId="0" fontId="19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" fontId="2" fillId="12" borderId="3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4" fontId="4" fillId="8" borderId="3" xfId="0" applyNumberFormat="1" applyFont="1" applyFill="1" applyBorder="1" applyAlignment="1">
      <alignment horizontal="center" vertical="center"/>
    </xf>
    <xf numFmtId="4" fontId="17" fillId="2" borderId="3" xfId="0" applyNumberFormat="1" applyFont="1" applyFill="1" applyBorder="1" applyAlignment="1">
      <alignment horizontal="center" vertical="center"/>
    </xf>
    <xf numFmtId="4" fontId="17" fillId="7" borderId="3" xfId="0" applyNumberFormat="1" applyFont="1" applyFill="1" applyBorder="1" applyAlignment="1">
      <alignment horizontal="center" vertical="center"/>
    </xf>
    <xf numFmtId="4" fontId="4" fillId="7" borderId="3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Border="1" applyAlignment="1">
      <alignment horizontal="center" vertical="center" wrapText="1"/>
    </xf>
    <xf numFmtId="4" fontId="0" fillId="7" borderId="3" xfId="0" applyNumberFormat="1" applyFill="1" applyBorder="1" applyAlignment="1">
      <alignment horizontal="center" vertical="center"/>
    </xf>
    <xf numFmtId="0" fontId="0" fillId="13" borderId="0" xfId="0" applyFill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left" vertical="center" wrapText="1"/>
    </xf>
    <xf numFmtId="4" fontId="2" fillId="4" borderId="0" xfId="0" applyNumberFormat="1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vertical="center"/>
    </xf>
    <xf numFmtId="4" fontId="2" fillId="2" borderId="19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8" xfId="0" applyFont="1" applyBorder="1"/>
    <xf numFmtId="0" fontId="0" fillId="0" borderId="0" xfId="0" applyFill="1"/>
    <xf numFmtId="0" fontId="2" fillId="0" borderId="3" xfId="0" applyNumberFormat="1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4" fontId="2" fillId="7" borderId="12" xfId="0" applyNumberFormat="1" applyFont="1" applyFill="1" applyBorder="1" applyAlignment="1">
      <alignment horizontal="center" vertical="center"/>
    </xf>
    <xf numFmtId="0" fontId="2" fillId="4" borderId="3" xfId="0" applyNumberFormat="1" applyFont="1" applyFill="1" applyBorder="1" applyAlignment="1" applyProtection="1">
      <alignment horizontal="center" vertical="center"/>
    </xf>
    <xf numFmtId="4" fontId="2" fillId="4" borderId="0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left" vertical="center"/>
    </xf>
    <xf numFmtId="0" fontId="2" fillId="4" borderId="3" xfId="0" applyNumberFormat="1" applyFont="1" applyFill="1" applyBorder="1" applyAlignment="1" applyProtection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 applyProtection="1">
      <alignment horizontal="left" vertical="center" wrapText="1"/>
    </xf>
    <xf numFmtId="4" fontId="2" fillId="4" borderId="12" xfId="0" applyNumberFormat="1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165" fontId="2" fillId="4" borderId="7" xfId="0" applyNumberFormat="1" applyFont="1" applyFill="1" applyBorder="1" applyAlignment="1">
      <alignment horizontal="center" vertical="center"/>
    </xf>
    <xf numFmtId="4" fontId="2" fillId="14" borderId="7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A145"/>
  <sheetViews>
    <sheetView tabSelected="1" view="pageBreakPreview" zoomScaleNormal="75" zoomScaleSheetLayoutView="100" workbookViewId="0">
      <pane ySplit="7" topLeftCell="A119" activePane="bottomLeft" state="frozen"/>
      <selection activeCell="B1" sqref="B1"/>
      <selection pane="bottomLeft" activeCell="B142" sqref="B142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2.28515625" customWidth="1"/>
    <col min="9" max="18" width="9.85546875" hidden="1" customWidth="1"/>
    <col min="19" max="20" width="10.5703125" customWidth="1"/>
    <col min="21" max="21" width="12.28515625" customWidth="1"/>
    <col min="22" max="26" width="9.140625" style="155"/>
  </cols>
  <sheetData>
    <row r="1" spans="1:21" ht="14.25" customHeight="1"/>
    <row r="3" spans="1:21" ht="18">
      <c r="A3" s="1"/>
      <c r="B3" s="183" t="s">
        <v>0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06"/>
      <c r="N3" s="106"/>
      <c r="O3" s="106"/>
      <c r="P3" s="106"/>
      <c r="Q3" s="106"/>
      <c r="R3" s="106"/>
      <c r="S3" s="106"/>
      <c r="T3" s="106"/>
      <c r="U3" s="106"/>
    </row>
    <row r="4" spans="1:21" ht="33.75" customHeight="1">
      <c r="B4" s="184" t="s">
        <v>1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06"/>
      <c r="N4" s="106"/>
      <c r="O4" s="106"/>
      <c r="P4" s="106"/>
      <c r="Q4" s="106"/>
      <c r="R4" s="106"/>
      <c r="S4" s="106"/>
      <c r="T4" s="106"/>
      <c r="U4" s="106"/>
    </row>
    <row r="5" spans="1:21" ht="18">
      <c r="B5" s="184" t="s">
        <v>204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06"/>
      <c r="N5" s="106"/>
      <c r="O5" s="106"/>
      <c r="P5" s="106"/>
      <c r="Q5" s="106"/>
      <c r="R5" s="106"/>
      <c r="S5" s="106"/>
      <c r="T5" s="106"/>
      <c r="U5" s="106"/>
    </row>
    <row r="6" spans="1:21" ht="15">
      <c r="B6" s="185" t="s">
        <v>122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06"/>
      <c r="N6" s="106"/>
      <c r="O6" s="106"/>
      <c r="P6" s="106"/>
      <c r="Q6" s="106"/>
      <c r="R6" s="106"/>
      <c r="S6" s="106"/>
      <c r="T6" s="106"/>
      <c r="U6" s="106"/>
    </row>
    <row r="7" spans="1:21" ht="50.25" customHeight="1">
      <c r="A7" s="140" t="s">
        <v>2</v>
      </c>
      <c r="B7" s="141" t="s">
        <v>3</v>
      </c>
      <c r="C7" s="141" t="s">
        <v>4</v>
      </c>
      <c r="D7" s="141" t="s">
        <v>5</v>
      </c>
      <c r="E7" s="141" t="s">
        <v>6</v>
      </c>
      <c r="F7" s="141" t="s">
        <v>7</v>
      </c>
      <c r="G7" s="141" t="s">
        <v>8</v>
      </c>
      <c r="H7" s="142" t="s">
        <v>9</v>
      </c>
      <c r="I7" s="25" t="s">
        <v>107</v>
      </c>
      <c r="J7" s="25" t="s">
        <v>108</v>
      </c>
      <c r="K7" s="25" t="s">
        <v>109</v>
      </c>
      <c r="L7" s="25" t="s">
        <v>110</v>
      </c>
      <c r="M7" s="25" t="s">
        <v>128</v>
      </c>
      <c r="N7" s="25" t="s">
        <v>111</v>
      </c>
      <c r="O7" s="25" t="s">
        <v>112</v>
      </c>
      <c r="P7" s="25" t="s">
        <v>113</v>
      </c>
      <c r="Q7" s="25" t="s">
        <v>114</v>
      </c>
      <c r="R7" s="25" t="s">
        <v>115</v>
      </c>
      <c r="S7" s="25" t="s">
        <v>116</v>
      </c>
      <c r="T7" s="25" t="s">
        <v>117</v>
      </c>
      <c r="U7" s="25" t="s">
        <v>123</v>
      </c>
    </row>
    <row r="8" spans="1:21">
      <c r="A8" s="143">
        <v>1</v>
      </c>
      <c r="B8" s="9">
        <v>2</v>
      </c>
      <c r="C8" s="26">
        <v>3</v>
      </c>
      <c r="D8" s="9">
        <v>4</v>
      </c>
      <c r="E8" s="9">
        <v>5</v>
      </c>
      <c r="F8" s="26">
        <v>6</v>
      </c>
      <c r="G8" s="26">
        <v>7</v>
      </c>
      <c r="H8" s="119">
        <v>8</v>
      </c>
      <c r="I8" s="120">
        <v>9</v>
      </c>
      <c r="J8" s="120">
        <v>10</v>
      </c>
      <c r="K8" s="120">
        <v>11</v>
      </c>
      <c r="L8" s="120">
        <v>12</v>
      </c>
      <c r="M8" s="120">
        <v>13</v>
      </c>
      <c r="N8" s="120">
        <v>14</v>
      </c>
      <c r="O8" s="120">
        <v>15</v>
      </c>
      <c r="P8" s="120">
        <v>16</v>
      </c>
      <c r="Q8" s="120">
        <v>17</v>
      </c>
      <c r="R8" s="120">
        <v>18</v>
      </c>
      <c r="S8" s="120">
        <v>9</v>
      </c>
      <c r="T8" s="120">
        <v>10</v>
      </c>
      <c r="U8" s="120">
        <v>11</v>
      </c>
    </row>
    <row r="9" spans="1:21" ht="38.25">
      <c r="A9" s="144"/>
      <c r="B9" s="11" t="s">
        <v>10</v>
      </c>
      <c r="C9" s="26"/>
      <c r="D9" s="12"/>
      <c r="E9" s="12"/>
      <c r="F9" s="26"/>
      <c r="G9" s="26"/>
      <c r="H9" s="27"/>
      <c r="I9" s="28"/>
      <c r="J9" s="28"/>
      <c r="K9" s="28"/>
      <c r="L9" s="28"/>
      <c r="M9" s="29"/>
      <c r="N9" s="30"/>
      <c r="O9" s="30"/>
      <c r="P9" s="30"/>
      <c r="Q9" s="30"/>
      <c r="R9" s="30"/>
      <c r="S9" s="30"/>
      <c r="T9" s="30"/>
      <c r="U9" s="30"/>
    </row>
    <row r="10" spans="1:21">
      <c r="A10" s="144"/>
      <c r="B10" s="11" t="s">
        <v>11</v>
      </c>
      <c r="C10" s="26"/>
      <c r="D10" s="12"/>
      <c r="E10" s="12"/>
      <c r="F10" s="26"/>
      <c r="G10" s="26"/>
      <c r="H10" s="27"/>
      <c r="I10" s="28"/>
      <c r="J10" s="28"/>
      <c r="K10" s="28"/>
      <c r="L10" s="28"/>
      <c r="M10" s="29"/>
      <c r="N10" s="30"/>
      <c r="O10" s="30"/>
      <c r="P10" s="30"/>
      <c r="Q10" s="30"/>
      <c r="R10" s="30"/>
      <c r="S10" s="30"/>
      <c r="T10" s="30"/>
      <c r="U10" s="30"/>
    </row>
    <row r="11" spans="1:21" ht="12.75" customHeight="1">
      <c r="A11" s="144" t="s">
        <v>140</v>
      </c>
      <c r="B11" s="12" t="s">
        <v>12</v>
      </c>
      <c r="C11" s="26" t="s">
        <v>13</v>
      </c>
      <c r="D11" s="12" t="s">
        <v>205</v>
      </c>
      <c r="E11" s="31">
        <v>121.14</v>
      </c>
      <c r="F11" s="32">
        <f>SUM(E11*156/100)</f>
        <v>188.97839999999999</v>
      </c>
      <c r="G11" s="32">
        <v>230</v>
      </c>
      <c r="H11" s="33">
        <f t="shared" ref="H11:H20" si="0">SUM(F11*G11/1000)</f>
        <v>43.465032000000001</v>
      </c>
      <c r="I11" s="34">
        <f>F11/12*G11</f>
        <v>3622.0859999999998</v>
      </c>
      <c r="J11" s="34">
        <f>F11/12*G11</f>
        <v>3622.0859999999998</v>
      </c>
      <c r="K11" s="34">
        <f>F11/12*G11</f>
        <v>3622.0859999999998</v>
      </c>
      <c r="L11" s="34">
        <f>F11/12*G11</f>
        <v>3622.0859999999998</v>
      </c>
      <c r="M11" s="34">
        <f>F11/12*G11</f>
        <v>3622.0859999999998</v>
      </c>
      <c r="N11" s="34">
        <f>F11/12*G11</f>
        <v>3622.0859999999998</v>
      </c>
      <c r="O11" s="34">
        <f>F11/12*G11</f>
        <v>3622.0859999999998</v>
      </c>
      <c r="P11" s="34">
        <f>F11/12*G11</f>
        <v>3622.0859999999998</v>
      </c>
      <c r="Q11" s="34">
        <f>F11/12*G11</f>
        <v>3622.0859999999998</v>
      </c>
      <c r="R11" s="34">
        <f>F11/12*G11</f>
        <v>3622.0859999999998</v>
      </c>
      <c r="S11" s="34">
        <f>F11/12*G11</f>
        <v>3622.0859999999998</v>
      </c>
      <c r="T11" s="34">
        <f>F11/12*G11</f>
        <v>3622.0859999999998</v>
      </c>
      <c r="U11" s="34">
        <f>SUM(S11:T11)</f>
        <v>7244.1719999999996</v>
      </c>
    </row>
    <row r="12" spans="1:21" ht="25.5">
      <c r="A12" s="144" t="s">
        <v>140</v>
      </c>
      <c r="B12" s="12" t="s">
        <v>14</v>
      </c>
      <c r="C12" s="26" t="s">
        <v>13</v>
      </c>
      <c r="D12" s="12" t="s">
        <v>206</v>
      </c>
      <c r="E12" s="31">
        <v>484.56</v>
      </c>
      <c r="F12" s="32">
        <f>SUM(E12*104/100)</f>
        <v>503.94239999999996</v>
      </c>
      <c r="G12" s="32">
        <v>230</v>
      </c>
      <c r="H12" s="33">
        <f t="shared" si="0"/>
        <v>115.906752</v>
      </c>
      <c r="I12" s="34">
        <f>F12/12*G12</f>
        <v>9658.8959999999988</v>
      </c>
      <c r="J12" s="34">
        <f>F12/12*G12</f>
        <v>9658.8959999999988</v>
      </c>
      <c r="K12" s="34">
        <f>F12/12*G12</f>
        <v>9658.8959999999988</v>
      </c>
      <c r="L12" s="34">
        <f t="shared" ref="L12:L13" si="1">F12/12*G12</f>
        <v>9658.8959999999988</v>
      </c>
      <c r="M12" s="34">
        <f t="shared" ref="M12:M20" si="2">F12/12*G12</f>
        <v>9658.8959999999988</v>
      </c>
      <c r="N12" s="34">
        <f t="shared" ref="N12:N20" si="3">F12/12*G12</f>
        <v>9658.8959999999988</v>
      </c>
      <c r="O12" s="34">
        <f t="shared" ref="O12:O20" si="4">F12/12*G12</f>
        <v>9658.8959999999988</v>
      </c>
      <c r="P12" s="34">
        <f t="shared" ref="P12:P20" si="5">F12/12*G12</f>
        <v>9658.8959999999988</v>
      </c>
      <c r="Q12" s="34">
        <f t="shared" ref="Q12:Q20" si="6">F12/12*G12</f>
        <v>9658.8959999999988</v>
      </c>
      <c r="R12" s="34">
        <f t="shared" ref="R12:R20" si="7">F12/12*G12</f>
        <v>9658.8959999999988</v>
      </c>
      <c r="S12" s="34">
        <f t="shared" ref="S12:S20" si="8">F12/12*G12</f>
        <v>9658.8959999999988</v>
      </c>
      <c r="T12" s="34">
        <f t="shared" ref="T12:T20" si="9">F12/12*G12</f>
        <v>9658.8959999999988</v>
      </c>
      <c r="U12" s="34">
        <f t="shared" ref="U12:U20" si="10">SUM(S12:T12)</f>
        <v>19317.791999999998</v>
      </c>
    </row>
    <row r="13" spans="1:21" ht="25.5">
      <c r="A13" s="144" t="s">
        <v>141</v>
      </c>
      <c r="B13" s="12" t="s">
        <v>15</v>
      </c>
      <c r="C13" s="26" t="s">
        <v>13</v>
      </c>
      <c r="D13" s="12" t="s">
        <v>207</v>
      </c>
      <c r="E13" s="31">
        <f>SUM(E11+E12)</f>
        <v>605.70000000000005</v>
      </c>
      <c r="F13" s="32">
        <f>SUM(E13*24/100)</f>
        <v>145.36800000000002</v>
      </c>
      <c r="G13" s="32">
        <v>661.67</v>
      </c>
      <c r="H13" s="33">
        <f t="shared" si="0"/>
        <v>96.185644560000014</v>
      </c>
      <c r="I13" s="34">
        <f>F13/12*G13</f>
        <v>8015.4703800000016</v>
      </c>
      <c r="J13" s="34">
        <f>F13/12*G13</f>
        <v>8015.4703800000016</v>
      </c>
      <c r="K13" s="34">
        <f>F13/12*G13</f>
        <v>8015.4703800000016</v>
      </c>
      <c r="L13" s="34">
        <f t="shared" si="1"/>
        <v>8015.4703800000016</v>
      </c>
      <c r="M13" s="34">
        <f t="shared" si="2"/>
        <v>8015.4703800000016</v>
      </c>
      <c r="N13" s="34">
        <f t="shared" si="3"/>
        <v>8015.4703800000016</v>
      </c>
      <c r="O13" s="34">
        <f t="shared" si="4"/>
        <v>8015.4703800000016</v>
      </c>
      <c r="P13" s="34">
        <f t="shared" si="5"/>
        <v>8015.4703800000016</v>
      </c>
      <c r="Q13" s="34">
        <f t="shared" si="6"/>
        <v>8015.4703800000016</v>
      </c>
      <c r="R13" s="34">
        <f t="shared" si="7"/>
        <v>8015.4703800000016</v>
      </c>
      <c r="S13" s="34">
        <f t="shared" si="8"/>
        <v>8015.4703800000016</v>
      </c>
      <c r="T13" s="34">
        <f t="shared" si="9"/>
        <v>8015.4703800000016</v>
      </c>
      <c r="U13" s="34">
        <f t="shared" si="10"/>
        <v>16030.940760000003</v>
      </c>
    </row>
    <row r="14" spans="1:21">
      <c r="A14" s="144" t="s">
        <v>142</v>
      </c>
      <c r="B14" s="12" t="s">
        <v>16</v>
      </c>
      <c r="C14" s="26" t="s">
        <v>17</v>
      </c>
      <c r="D14" s="12" t="s">
        <v>95</v>
      </c>
      <c r="E14" s="31">
        <v>38.4</v>
      </c>
      <c r="F14" s="32">
        <f>SUM(E14/10)</f>
        <v>3.84</v>
      </c>
      <c r="G14" s="32">
        <v>223.17</v>
      </c>
      <c r="H14" s="33">
        <f t="shared" si="0"/>
        <v>0.85697279999999987</v>
      </c>
      <c r="I14" s="34">
        <v>0</v>
      </c>
      <c r="J14" s="34">
        <v>0</v>
      </c>
      <c r="K14" s="34">
        <v>0</v>
      </c>
      <c r="L14" s="34">
        <v>0</v>
      </c>
      <c r="M14" s="34">
        <f>F14/2*G14</f>
        <v>428.48639999999995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f t="shared" si="10"/>
        <v>0</v>
      </c>
    </row>
    <row r="15" spans="1:21">
      <c r="A15" s="144" t="s">
        <v>143</v>
      </c>
      <c r="B15" s="12" t="s">
        <v>18</v>
      </c>
      <c r="C15" s="26" t="s">
        <v>13</v>
      </c>
      <c r="D15" s="12" t="s">
        <v>45</v>
      </c>
      <c r="E15" s="31">
        <v>58.4</v>
      </c>
      <c r="F15" s="32">
        <f>SUM(E15*2/100)</f>
        <v>1.1679999999999999</v>
      </c>
      <c r="G15" s="32">
        <v>285.76</v>
      </c>
      <c r="H15" s="33">
        <f t="shared" si="0"/>
        <v>0.33376768000000001</v>
      </c>
      <c r="I15" s="34">
        <f>F15/12*G15</f>
        <v>27.81397333333333</v>
      </c>
      <c r="J15" s="34">
        <f>F15/12*G15</f>
        <v>27.81397333333333</v>
      </c>
      <c r="K15" s="34">
        <f>F15/12*G15</f>
        <v>27.81397333333333</v>
      </c>
      <c r="L15" s="34">
        <f>F15/12*G15</f>
        <v>27.81397333333333</v>
      </c>
      <c r="M15" s="34">
        <f t="shared" si="2"/>
        <v>27.81397333333333</v>
      </c>
      <c r="N15" s="34">
        <f t="shared" si="3"/>
        <v>27.81397333333333</v>
      </c>
      <c r="O15" s="34">
        <f t="shared" si="4"/>
        <v>27.81397333333333</v>
      </c>
      <c r="P15" s="34">
        <f t="shared" si="5"/>
        <v>27.81397333333333</v>
      </c>
      <c r="Q15" s="34">
        <f t="shared" si="6"/>
        <v>27.81397333333333</v>
      </c>
      <c r="R15" s="34">
        <f t="shared" si="7"/>
        <v>27.81397333333333</v>
      </c>
      <c r="S15" s="34">
        <v>0</v>
      </c>
      <c r="T15" s="34">
        <v>0</v>
      </c>
      <c r="U15" s="34">
        <f t="shared" si="10"/>
        <v>0</v>
      </c>
    </row>
    <row r="16" spans="1:21">
      <c r="A16" s="144" t="s">
        <v>144</v>
      </c>
      <c r="B16" s="12" t="s">
        <v>19</v>
      </c>
      <c r="C16" s="26" t="s">
        <v>13</v>
      </c>
      <c r="D16" s="12" t="s">
        <v>209</v>
      </c>
      <c r="E16" s="31">
        <v>9.08</v>
      </c>
      <c r="F16" s="32">
        <f>SUM(E16*6/100)</f>
        <v>0.54480000000000006</v>
      </c>
      <c r="G16" s="32">
        <v>283.44</v>
      </c>
      <c r="H16" s="33">
        <f t="shared" si="0"/>
        <v>0.154418112</v>
      </c>
      <c r="I16" s="34">
        <f>F16/12*G16</f>
        <v>12.868176</v>
      </c>
      <c r="J16" s="34">
        <f>F16/12*G16</f>
        <v>12.868176</v>
      </c>
      <c r="K16" s="34">
        <f>F16/12*G16</f>
        <v>12.868176</v>
      </c>
      <c r="L16" s="34">
        <f>F16/12*G16</f>
        <v>12.868176</v>
      </c>
      <c r="M16" s="34">
        <f t="shared" si="2"/>
        <v>12.868176</v>
      </c>
      <c r="N16" s="34">
        <f t="shared" si="3"/>
        <v>12.868176</v>
      </c>
      <c r="O16" s="34">
        <f t="shared" si="4"/>
        <v>12.868176</v>
      </c>
      <c r="P16" s="34">
        <f t="shared" si="5"/>
        <v>12.868176</v>
      </c>
      <c r="Q16" s="34">
        <f t="shared" si="6"/>
        <v>12.868176</v>
      </c>
      <c r="R16" s="34">
        <f t="shared" si="7"/>
        <v>12.868176</v>
      </c>
      <c r="S16" s="34">
        <f>F16/6*G16</f>
        <v>25.736352</v>
      </c>
      <c r="T16" s="34">
        <v>0</v>
      </c>
      <c r="U16" s="34">
        <f t="shared" si="10"/>
        <v>25.736352</v>
      </c>
    </row>
    <row r="17" spans="1:26">
      <c r="A17" s="144" t="s">
        <v>145</v>
      </c>
      <c r="B17" s="12" t="s">
        <v>20</v>
      </c>
      <c r="C17" s="26" t="s">
        <v>21</v>
      </c>
      <c r="D17" s="12" t="s">
        <v>95</v>
      </c>
      <c r="E17" s="31">
        <v>714</v>
      </c>
      <c r="F17" s="32">
        <f>SUM(E17/100)</f>
        <v>7.14</v>
      </c>
      <c r="G17" s="32">
        <v>353.14</v>
      </c>
      <c r="H17" s="33">
        <f t="shared" si="0"/>
        <v>2.5214195999999998</v>
      </c>
      <c r="I17" s="34">
        <v>0</v>
      </c>
      <c r="J17" s="34">
        <v>0</v>
      </c>
      <c r="K17" s="34">
        <v>0</v>
      </c>
      <c r="L17" s="34">
        <v>0</v>
      </c>
      <c r="M17" s="34">
        <f>F17*G17</f>
        <v>2521.4195999999997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f t="shared" si="10"/>
        <v>0</v>
      </c>
    </row>
    <row r="18" spans="1:26">
      <c r="A18" s="144" t="s">
        <v>146</v>
      </c>
      <c r="B18" s="12" t="s">
        <v>22</v>
      </c>
      <c r="C18" s="26" t="s">
        <v>21</v>
      </c>
      <c r="D18" s="12" t="s">
        <v>95</v>
      </c>
      <c r="E18" s="36">
        <v>96.6</v>
      </c>
      <c r="F18" s="32">
        <f>SUM(E18/100)</f>
        <v>0.96599999999999997</v>
      </c>
      <c r="G18" s="32">
        <v>58.08</v>
      </c>
      <c r="H18" s="33">
        <f t="shared" si="0"/>
        <v>5.6105279999999993E-2</v>
      </c>
      <c r="I18" s="34">
        <v>0</v>
      </c>
      <c r="J18" s="34">
        <v>0</v>
      </c>
      <c r="K18" s="34">
        <v>0</v>
      </c>
      <c r="L18" s="34">
        <v>0</v>
      </c>
      <c r="M18" s="34">
        <f>F18*G18</f>
        <v>56.105279999999993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f t="shared" si="10"/>
        <v>0</v>
      </c>
    </row>
    <row r="19" spans="1:26">
      <c r="A19" s="144" t="s">
        <v>147</v>
      </c>
      <c r="B19" s="12" t="s">
        <v>23</v>
      </c>
      <c r="C19" s="26" t="s">
        <v>21</v>
      </c>
      <c r="D19" s="12" t="s">
        <v>208</v>
      </c>
      <c r="E19" s="31">
        <v>32</v>
      </c>
      <c r="F19" s="32">
        <f>E19*12/100</f>
        <v>3.84</v>
      </c>
      <c r="G19" s="32">
        <v>511.12</v>
      </c>
      <c r="H19" s="33">
        <f t="shared" si="0"/>
        <v>1.9627007999999999</v>
      </c>
      <c r="I19" s="34">
        <f>F19/12*G19</f>
        <v>163.55840000000001</v>
      </c>
      <c r="J19" s="34">
        <f>F19/12*G19</f>
        <v>163.55840000000001</v>
      </c>
      <c r="K19" s="34">
        <f>F19/12*G19</f>
        <v>163.55840000000001</v>
      </c>
      <c r="L19" s="34">
        <f>F19/12*G19</f>
        <v>163.55840000000001</v>
      </c>
      <c r="M19" s="34">
        <f>F19/12*G19</f>
        <v>163.55840000000001</v>
      </c>
      <c r="N19" s="34">
        <f>F19/12*G19</f>
        <v>163.55840000000001</v>
      </c>
      <c r="O19" s="34">
        <f t="shared" si="4"/>
        <v>163.55840000000001</v>
      </c>
      <c r="P19" s="34">
        <f t="shared" si="5"/>
        <v>163.55840000000001</v>
      </c>
      <c r="Q19" s="34">
        <f t="shared" si="6"/>
        <v>163.55840000000001</v>
      </c>
      <c r="R19" s="34">
        <f t="shared" si="7"/>
        <v>163.55840000000001</v>
      </c>
      <c r="S19" s="34">
        <v>0</v>
      </c>
      <c r="T19" s="34">
        <v>0</v>
      </c>
      <c r="U19" s="34">
        <f t="shared" si="10"/>
        <v>0</v>
      </c>
    </row>
    <row r="20" spans="1:26">
      <c r="A20" s="144" t="s">
        <v>148</v>
      </c>
      <c r="B20" s="12" t="s">
        <v>24</v>
      </c>
      <c r="C20" s="26" t="s">
        <v>21</v>
      </c>
      <c r="D20" s="12" t="s">
        <v>97</v>
      </c>
      <c r="E20" s="31">
        <v>17</v>
      </c>
      <c r="F20" s="32">
        <f>SUM(E20*12/100)</f>
        <v>2.04</v>
      </c>
      <c r="G20" s="32">
        <v>683.05</v>
      </c>
      <c r="H20" s="33">
        <f t="shared" si="0"/>
        <v>1.3934219999999999</v>
      </c>
      <c r="I20" s="34">
        <f>F20/12*G20</f>
        <v>116.1185</v>
      </c>
      <c r="J20" s="34">
        <f>F20/12*G20</f>
        <v>116.1185</v>
      </c>
      <c r="K20" s="34">
        <f>F20/12*G20</f>
        <v>116.1185</v>
      </c>
      <c r="L20" s="34">
        <f>F20/12*G20</f>
        <v>116.1185</v>
      </c>
      <c r="M20" s="34">
        <f t="shared" si="2"/>
        <v>116.1185</v>
      </c>
      <c r="N20" s="34">
        <f t="shared" si="3"/>
        <v>116.1185</v>
      </c>
      <c r="O20" s="34">
        <f t="shared" si="4"/>
        <v>116.1185</v>
      </c>
      <c r="P20" s="34">
        <f t="shared" si="5"/>
        <v>116.1185</v>
      </c>
      <c r="Q20" s="34">
        <f t="shared" si="6"/>
        <v>116.1185</v>
      </c>
      <c r="R20" s="34">
        <f t="shared" si="7"/>
        <v>116.1185</v>
      </c>
      <c r="S20" s="34">
        <f t="shared" si="8"/>
        <v>116.1185</v>
      </c>
      <c r="T20" s="34">
        <f t="shared" si="9"/>
        <v>116.1185</v>
      </c>
      <c r="U20" s="34">
        <f t="shared" si="10"/>
        <v>232.23699999999999</v>
      </c>
    </row>
    <row r="21" spans="1:26" s="22" customFormat="1">
      <c r="A21" s="145"/>
      <c r="B21" s="23" t="s">
        <v>25</v>
      </c>
      <c r="C21" s="37"/>
      <c r="D21" s="23"/>
      <c r="E21" s="38"/>
      <c r="F21" s="39"/>
      <c r="G21" s="39"/>
      <c r="H21" s="40">
        <f>SUM(H11:H20)</f>
        <v>262.83623483199995</v>
      </c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>
        <f>SUM(U11:U20)</f>
        <v>42850.878111999999</v>
      </c>
      <c r="V21" s="155"/>
      <c r="W21" s="155"/>
      <c r="X21" s="155"/>
      <c r="Y21" s="155"/>
      <c r="Z21" s="155"/>
    </row>
    <row r="22" spans="1:26">
      <c r="A22" s="144"/>
      <c r="B22" s="14" t="s">
        <v>26</v>
      </c>
      <c r="C22" s="26"/>
      <c r="D22" s="12"/>
      <c r="E22" s="31"/>
      <c r="F22" s="32"/>
      <c r="G22" s="32"/>
      <c r="H22" s="33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</row>
    <row r="23" spans="1:26" ht="12.75" customHeight="1">
      <c r="A23" s="144" t="s">
        <v>149</v>
      </c>
      <c r="B23" s="12" t="s">
        <v>211</v>
      </c>
      <c r="C23" s="26" t="s">
        <v>27</v>
      </c>
      <c r="D23" s="12" t="s">
        <v>210</v>
      </c>
      <c r="E23" s="32">
        <v>637</v>
      </c>
      <c r="F23" s="32">
        <f>SUM(E23*48/1000)</f>
        <v>30.576000000000001</v>
      </c>
      <c r="G23" s="32">
        <v>204.44</v>
      </c>
      <c r="H23" s="33">
        <f t="shared" ref="H23:H31" si="11">SUM(F23*G23/1000)</f>
        <v>6.2509574400000005</v>
      </c>
      <c r="I23" s="34">
        <v>0</v>
      </c>
      <c r="J23" s="34">
        <v>0</v>
      </c>
      <c r="K23" s="34">
        <v>0</v>
      </c>
      <c r="L23" s="34">
        <v>0</v>
      </c>
      <c r="M23" s="34">
        <f>F23/6*G23</f>
        <v>1041.8262400000001</v>
      </c>
      <c r="N23" s="34">
        <f>F23/6*G23</f>
        <v>1041.8262400000001</v>
      </c>
      <c r="O23" s="34">
        <f>F23/6*G23</f>
        <v>1041.8262400000001</v>
      </c>
      <c r="P23" s="34">
        <f>F23/6*G23</f>
        <v>1041.8262400000001</v>
      </c>
      <c r="Q23" s="34">
        <f>F23/6*G23</f>
        <v>1041.8262400000001</v>
      </c>
      <c r="R23" s="34">
        <f>F23/6*G23</f>
        <v>1041.8262400000001</v>
      </c>
      <c r="S23" s="34">
        <v>0</v>
      </c>
      <c r="T23" s="34">
        <v>0</v>
      </c>
      <c r="U23" s="34">
        <f t="shared" ref="U23:U31" si="12">SUM(S23:T23)</f>
        <v>0</v>
      </c>
    </row>
    <row r="24" spans="1:26" ht="38.25" customHeight="1">
      <c r="A24" s="144" t="s">
        <v>150</v>
      </c>
      <c r="B24" s="12" t="s">
        <v>212</v>
      </c>
      <c r="C24" s="26" t="s">
        <v>27</v>
      </c>
      <c r="D24" s="12" t="s">
        <v>213</v>
      </c>
      <c r="E24" s="32">
        <v>188</v>
      </c>
      <c r="F24" s="32">
        <f>SUM(E24*48/1000)</f>
        <v>9.0239999999999991</v>
      </c>
      <c r="G24" s="32">
        <v>339.21</v>
      </c>
      <c r="H24" s="33">
        <f t="shared" si="11"/>
        <v>3.0610310399999996</v>
      </c>
      <c r="I24" s="34">
        <v>0</v>
      </c>
      <c r="J24" s="34">
        <v>0</v>
      </c>
      <c r="K24" s="34">
        <v>0</v>
      </c>
      <c r="L24" s="34">
        <v>0</v>
      </c>
      <c r="M24" s="34">
        <f t="shared" ref="M24:M27" si="13">F24/6*G24</f>
        <v>510.17183999999992</v>
      </c>
      <c r="N24" s="34">
        <f t="shared" ref="N24:N27" si="14">F24/6*G24</f>
        <v>510.17183999999992</v>
      </c>
      <c r="O24" s="34">
        <f t="shared" ref="O24:O27" si="15">F24/6*G24</f>
        <v>510.17183999999992</v>
      </c>
      <c r="P24" s="34">
        <f t="shared" ref="P24:P27" si="16">F24/6*G24</f>
        <v>510.17183999999992</v>
      </c>
      <c r="Q24" s="34">
        <f>F24/6*G24</f>
        <v>510.17183999999992</v>
      </c>
      <c r="R24" s="34">
        <f>F24/6*G24</f>
        <v>510.17183999999992</v>
      </c>
      <c r="S24" s="34">
        <v>0</v>
      </c>
      <c r="T24" s="34">
        <v>0</v>
      </c>
      <c r="U24" s="34">
        <f t="shared" si="12"/>
        <v>0</v>
      </c>
    </row>
    <row r="25" spans="1:26">
      <c r="A25" s="144" t="s">
        <v>151</v>
      </c>
      <c r="B25" s="12" t="s">
        <v>28</v>
      </c>
      <c r="C25" s="26" t="s">
        <v>27</v>
      </c>
      <c r="D25" s="12" t="s">
        <v>29</v>
      </c>
      <c r="E25" s="32">
        <v>637</v>
      </c>
      <c r="F25" s="32">
        <f>SUM(E25/1000)</f>
        <v>0.63700000000000001</v>
      </c>
      <c r="G25" s="32">
        <v>3961.23</v>
      </c>
      <c r="H25" s="33">
        <f t="shared" si="11"/>
        <v>2.5233035100000003</v>
      </c>
      <c r="I25" s="34">
        <v>0</v>
      </c>
      <c r="J25" s="34">
        <v>0</v>
      </c>
      <c r="K25" s="34">
        <v>0</v>
      </c>
      <c r="L25" s="34">
        <v>0</v>
      </c>
      <c r="M25" s="34">
        <f>F25*G25</f>
        <v>2523.3035100000002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f t="shared" si="12"/>
        <v>0</v>
      </c>
    </row>
    <row r="26" spans="1:26">
      <c r="A26" s="144" t="s">
        <v>214</v>
      </c>
      <c r="B26" s="12" t="s">
        <v>215</v>
      </c>
      <c r="C26" s="26" t="s">
        <v>56</v>
      </c>
      <c r="D26" s="12" t="s">
        <v>216</v>
      </c>
      <c r="E26" s="32">
        <v>8</v>
      </c>
      <c r="F26" s="32">
        <f>SUM(E26*48/100)</f>
        <v>3.84</v>
      </c>
      <c r="G26" s="32">
        <v>1707.63</v>
      </c>
      <c r="H26" s="33">
        <f t="shared" si="11"/>
        <v>6.5572992000000001</v>
      </c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>
        <v>0</v>
      </c>
      <c r="T26" s="34">
        <v>0</v>
      </c>
      <c r="U26" s="34">
        <f t="shared" ref="U26" si="17">SUM(S26:T26)</f>
        <v>0</v>
      </c>
    </row>
    <row r="27" spans="1:26">
      <c r="A27" s="144" t="s">
        <v>152</v>
      </c>
      <c r="B27" s="12" t="s">
        <v>217</v>
      </c>
      <c r="C27" s="26" t="s">
        <v>30</v>
      </c>
      <c r="D27" s="12" t="s">
        <v>31</v>
      </c>
      <c r="E27" s="43">
        <f>1/3</f>
        <v>0.33333333333333331</v>
      </c>
      <c r="F27" s="32">
        <f>155/3</f>
        <v>51.666666666666664</v>
      </c>
      <c r="G27" s="32">
        <v>74.349999999999994</v>
      </c>
      <c r="H27" s="33">
        <f t="shared" si="11"/>
        <v>3.841416666666666</v>
      </c>
      <c r="I27" s="34">
        <v>0</v>
      </c>
      <c r="J27" s="34">
        <v>0</v>
      </c>
      <c r="K27" s="34">
        <v>0</v>
      </c>
      <c r="L27" s="34">
        <v>0</v>
      </c>
      <c r="M27" s="34">
        <f t="shared" si="13"/>
        <v>640.23611111111109</v>
      </c>
      <c r="N27" s="34">
        <f t="shared" si="14"/>
        <v>640.23611111111109</v>
      </c>
      <c r="O27" s="34">
        <f t="shared" si="15"/>
        <v>640.23611111111109</v>
      </c>
      <c r="P27" s="34">
        <f t="shared" si="16"/>
        <v>640.23611111111109</v>
      </c>
      <c r="Q27" s="34">
        <f t="shared" ref="Q27" si="18">F27/6*G27</f>
        <v>640.23611111111109</v>
      </c>
      <c r="R27" s="34">
        <f t="shared" ref="R27" si="19">F27/6*G27</f>
        <v>640.23611111111109</v>
      </c>
      <c r="S27" s="34">
        <v>0</v>
      </c>
      <c r="T27" s="34">
        <v>0</v>
      </c>
      <c r="U27" s="34">
        <f t="shared" si="12"/>
        <v>0</v>
      </c>
    </row>
    <row r="28" spans="1:26" ht="12.75" customHeight="1">
      <c r="A28" s="144" t="s">
        <v>153</v>
      </c>
      <c r="B28" s="12" t="s">
        <v>32</v>
      </c>
      <c r="C28" s="26" t="s">
        <v>33</v>
      </c>
      <c r="D28" s="12" t="s">
        <v>31</v>
      </c>
      <c r="E28" s="44">
        <v>0.1</v>
      </c>
      <c r="F28" s="32">
        <f>SUM(E28*155)</f>
        <v>15.5</v>
      </c>
      <c r="G28" s="32">
        <v>264.85000000000002</v>
      </c>
      <c r="H28" s="33">
        <f t="shared" si="11"/>
        <v>4.105175</v>
      </c>
      <c r="I28" s="34">
        <f>F28/12*G28</f>
        <v>342.09791666666672</v>
      </c>
      <c r="J28" s="34">
        <f>F28/12*G28</f>
        <v>342.09791666666672</v>
      </c>
      <c r="K28" s="34">
        <f>F28/12*G28</f>
        <v>342.09791666666672</v>
      </c>
      <c r="L28" s="34">
        <f>F28/12*G28</f>
        <v>342.09791666666672</v>
      </c>
      <c r="M28" s="34">
        <f t="shared" ref="M28" si="20">F28/12*G28</f>
        <v>342.09791666666672</v>
      </c>
      <c r="N28" s="34">
        <f>F28/12*G28</f>
        <v>342.09791666666672</v>
      </c>
      <c r="O28" s="34">
        <f>F28/12*G28</f>
        <v>342.09791666666672</v>
      </c>
      <c r="P28" s="34">
        <f>F28/12*G28</f>
        <v>342.09791666666672</v>
      </c>
      <c r="Q28" s="34">
        <f>F28/12*G28</f>
        <v>342.09791666666672</v>
      </c>
      <c r="R28" s="34">
        <f>F28/12*G28</f>
        <v>342.09791666666672</v>
      </c>
      <c r="S28" s="34">
        <f>F28/12*G28</f>
        <v>342.09791666666672</v>
      </c>
      <c r="T28" s="34">
        <f>F28/12*G28</f>
        <v>342.09791666666672</v>
      </c>
      <c r="U28" s="34">
        <f t="shared" si="12"/>
        <v>684.19583333333344</v>
      </c>
    </row>
    <row r="29" spans="1:26" ht="12.75" customHeight="1">
      <c r="A29" s="144" t="s">
        <v>154</v>
      </c>
      <c r="B29" s="12" t="s">
        <v>129</v>
      </c>
      <c r="C29" s="26" t="s">
        <v>33</v>
      </c>
      <c r="D29" s="12" t="s">
        <v>34</v>
      </c>
      <c r="E29" s="31"/>
      <c r="F29" s="32">
        <v>2</v>
      </c>
      <c r="G29" s="32">
        <v>250.92</v>
      </c>
      <c r="H29" s="33">
        <f t="shared" si="11"/>
        <v>0.50183999999999995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f t="shared" si="12"/>
        <v>0</v>
      </c>
    </row>
    <row r="30" spans="1:26" ht="12.75" customHeight="1">
      <c r="A30" s="144" t="s">
        <v>104</v>
      </c>
      <c r="B30" s="12" t="s">
        <v>130</v>
      </c>
      <c r="C30" s="26" t="s">
        <v>35</v>
      </c>
      <c r="D30" s="12" t="s">
        <v>34</v>
      </c>
      <c r="E30" s="31"/>
      <c r="F30" s="32">
        <v>3</v>
      </c>
      <c r="G30" s="32">
        <v>1490.31</v>
      </c>
      <c r="H30" s="33">
        <f t="shared" si="11"/>
        <v>4.4709300000000001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f t="shared" si="12"/>
        <v>0</v>
      </c>
    </row>
    <row r="31" spans="1:26">
      <c r="A31" s="144"/>
      <c r="B31" s="45" t="s">
        <v>36</v>
      </c>
      <c r="C31" s="26" t="s">
        <v>37</v>
      </c>
      <c r="D31" s="45" t="s">
        <v>38</v>
      </c>
      <c r="E31" s="31">
        <v>4394.8999999999996</v>
      </c>
      <c r="F31" s="32">
        <f>SUM(E31*12)</f>
        <v>52738.799999999996</v>
      </c>
      <c r="G31" s="32">
        <v>3.34</v>
      </c>
      <c r="H31" s="33">
        <f t="shared" si="11"/>
        <v>176.14759199999997</v>
      </c>
      <c r="I31" s="34">
        <f>F31/12*G31</f>
        <v>14678.965999999999</v>
      </c>
      <c r="J31" s="34">
        <f>F31/12*G31</f>
        <v>14678.965999999999</v>
      </c>
      <c r="K31" s="34">
        <f>F31/12*G31</f>
        <v>14678.965999999999</v>
      </c>
      <c r="L31" s="34">
        <f>F31/12*G31</f>
        <v>14678.965999999999</v>
      </c>
      <c r="M31" s="34">
        <f>F31/12*G31</f>
        <v>14678.965999999999</v>
      </c>
      <c r="N31" s="34">
        <f>F31/12*G31</f>
        <v>14678.965999999999</v>
      </c>
      <c r="O31" s="34">
        <f>F31/12*G31</f>
        <v>14678.965999999999</v>
      </c>
      <c r="P31" s="34">
        <f t="shared" ref="P31" si="21">F31/12*G31</f>
        <v>14678.965999999999</v>
      </c>
      <c r="Q31" s="34">
        <f t="shared" ref="Q31" si="22">F31/12*G31</f>
        <v>14678.965999999999</v>
      </c>
      <c r="R31" s="34">
        <f t="shared" ref="R31" si="23">F31/12*G31</f>
        <v>14678.965999999999</v>
      </c>
      <c r="S31" s="34">
        <f t="shared" ref="S31" si="24">F31/12*G31</f>
        <v>14678.965999999999</v>
      </c>
      <c r="T31" s="34">
        <f t="shared" ref="T31" si="25">F31/12*G31</f>
        <v>14678.965999999999</v>
      </c>
      <c r="U31" s="34">
        <f t="shared" si="12"/>
        <v>29357.931999999997</v>
      </c>
    </row>
    <row r="32" spans="1:26" s="22" customFormat="1">
      <c r="A32" s="145"/>
      <c r="B32" s="23" t="s">
        <v>25</v>
      </c>
      <c r="C32" s="37"/>
      <c r="D32" s="23"/>
      <c r="E32" s="38"/>
      <c r="F32" s="39"/>
      <c r="G32" s="39"/>
      <c r="H32" s="46">
        <f>SUM(H23:H31)</f>
        <v>207.45954485666664</v>
      </c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>
        <f>SUM(U23:U31)</f>
        <v>30042.127833333332</v>
      </c>
      <c r="V32" s="155"/>
      <c r="W32" s="155"/>
      <c r="X32" s="155"/>
      <c r="Y32" s="155"/>
      <c r="Z32" s="155"/>
    </row>
    <row r="33" spans="1:26">
      <c r="A33" s="144"/>
      <c r="B33" s="14" t="s">
        <v>39</v>
      </c>
      <c r="C33" s="26"/>
      <c r="D33" s="12"/>
      <c r="E33" s="31"/>
      <c r="F33" s="32"/>
      <c r="G33" s="32"/>
      <c r="H33" s="33" t="s">
        <v>38</v>
      </c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</row>
    <row r="34" spans="1:26" ht="12.75" customHeight="1">
      <c r="A34" s="144" t="s">
        <v>104</v>
      </c>
      <c r="B34" s="15" t="s">
        <v>40</v>
      </c>
      <c r="C34" s="26" t="s">
        <v>35</v>
      </c>
      <c r="D34" s="12"/>
      <c r="E34" s="31"/>
      <c r="F34" s="32">
        <v>8</v>
      </c>
      <c r="G34" s="32">
        <v>2003</v>
      </c>
      <c r="H34" s="33">
        <f t="shared" ref="H34:H41" si="26">SUM(F34*G34/1000)</f>
        <v>16.024000000000001</v>
      </c>
      <c r="I34" s="34">
        <f t="shared" ref="I34:I40" si="27">F34/6*G34</f>
        <v>2670.6666666666665</v>
      </c>
      <c r="J34" s="34">
        <f t="shared" ref="J34:J40" si="28">F34/6*G34</f>
        <v>2670.6666666666665</v>
      </c>
      <c r="K34" s="34">
        <f t="shared" ref="K34:K40" si="29">F34/6*G34</f>
        <v>2670.6666666666665</v>
      </c>
      <c r="L34" s="34">
        <f>F34/6*G34</f>
        <v>2670.6666666666665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f>F34/6*G34</f>
        <v>2670.6666666666665</v>
      </c>
      <c r="T34" s="34">
        <f>F34/6*G34</f>
        <v>2670.6666666666665</v>
      </c>
      <c r="U34" s="34">
        <f t="shared" ref="U34:U40" si="30">SUM(S34:T34)</f>
        <v>5341.333333333333</v>
      </c>
    </row>
    <row r="35" spans="1:26" s="2" customFormat="1">
      <c r="A35" s="146" t="s">
        <v>155</v>
      </c>
      <c r="B35" s="15" t="s">
        <v>41</v>
      </c>
      <c r="C35" s="47" t="s">
        <v>42</v>
      </c>
      <c r="D35" s="15" t="s">
        <v>218</v>
      </c>
      <c r="E35" s="48">
        <v>188</v>
      </c>
      <c r="F35" s="48">
        <f>SUM(E35*26/1000)</f>
        <v>4.8879999999999999</v>
      </c>
      <c r="G35" s="48">
        <v>2757.78</v>
      </c>
      <c r="H35" s="33">
        <f t="shared" si="26"/>
        <v>13.48002864</v>
      </c>
      <c r="I35" s="49">
        <f t="shared" si="27"/>
        <v>2246.6714400000001</v>
      </c>
      <c r="J35" s="49">
        <f t="shared" si="28"/>
        <v>2246.6714400000001</v>
      </c>
      <c r="K35" s="49">
        <f t="shared" si="29"/>
        <v>2246.6714400000001</v>
      </c>
      <c r="L35" s="34">
        <f t="shared" ref="L35:L40" si="31">F35/6*G35</f>
        <v>2246.6714400000001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f t="shared" ref="S35:S40" si="32">F35/6*G35</f>
        <v>2246.6714400000001</v>
      </c>
      <c r="T35" s="34">
        <f t="shared" ref="T35:T40" si="33">F35/6*G35</f>
        <v>2246.6714400000001</v>
      </c>
      <c r="U35" s="34">
        <f t="shared" si="30"/>
        <v>4493.3428800000002</v>
      </c>
      <c r="V35" s="172"/>
      <c r="W35" s="172"/>
      <c r="X35" s="172"/>
      <c r="Y35" s="172"/>
      <c r="Z35" s="172"/>
    </row>
    <row r="36" spans="1:26" ht="24.75" customHeight="1">
      <c r="A36" s="144" t="s">
        <v>156</v>
      </c>
      <c r="B36" s="12" t="s">
        <v>131</v>
      </c>
      <c r="C36" s="26" t="s">
        <v>42</v>
      </c>
      <c r="D36" s="12" t="s">
        <v>43</v>
      </c>
      <c r="E36" s="32">
        <v>188</v>
      </c>
      <c r="F36" s="48">
        <f>SUM(E36*155/1000)</f>
        <v>29.14</v>
      </c>
      <c r="G36" s="32">
        <v>460.02</v>
      </c>
      <c r="H36" s="33">
        <f t="shared" si="26"/>
        <v>13.404982799999999</v>
      </c>
      <c r="I36" s="34">
        <f t="shared" si="27"/>
        <v>2234.1637999999998</v>
      </c>
      <c r="J36" s="34">
        <f t="shared" si="28"/>
        <v>2234.1637999999998</v>
      </c>
      <c r="K36" s="34">
        <f t="shared" si="29"/>
        <v>2234.1637999999998</v>
      </c>
      <c r="L36" s="34">
        <f t="shared" si="31"/>
        <v>2234.1637999999998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f t="shared" si="32"/>
        <v>2234.1637999999998</v>
      </c>
      <c r="T36" s="34">
        <f t="shared" si="33"/>
        <v>2234.1637999999998</v>
      </c>
      <c r="U36" s="34">
        <f t="shared" si="30"/>
        <v>4468.3275999999996</v>
      </c>
    </row>
    <row r="37" spans="1:26" ht="12.75" customHeight="1">
      <c r="A37" s="144" t="s">
        <v>104</v>
      </c>
      <c r="B37" s="12" t="s">
        <v>219</v>
      </c>
      <c r="C37" s="26" t="s">
        <v>220</v>
      </c>
      <c r="D37" s="12"/>
      <c r="E37" s="31"/>
      <c r="F37" s="48">
        <v>50</v>
      </c>
      <c r="G37" s="32">
        <v>213.2</v>
      </c>
      <c r="H37" s="33">
        <f t="shared" si="26"/>
        <v>10.66</v>
      </c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>
        <v>0</v>
      </c>
      <c r="T37" s="34">
        <v>0</v>
      </c>
      <c r="U37" s="34">
        <f t="shared" si="30"/>
        <v>0</v>
      </c>
    </row>
    <row r="38" spans="1:26" ht="51" customHeight="1">
      <c r="A38" s="144" t="s">
        <v>157</v>
      </c>
      <c r="B38" s="12" t="s">
        <v>132</v>
      </c>
      <c r="C38" s="26" t="s">
        <v>27</v>
      </c>
      <c r="D38" s="12" t="s">
        <v>218</v>
      </c>
      <c r="E38" s="32">
        <v>188</v>
      </c>
      <c r="F38" s="48">
        <f>SUM(E38*26/1000)</f>
        <v>4.8879999999999999</v>
      </c>
      <c r="G38" s="32">
        <v>7611.16</v>
      </c>
      <c r="H38" s="33">
        <f t="shared" si="26"/>
        <v>37.20335008</v>
      </c>
      <c r="I38" s="34">
        <f t="shared" si="27"/>
        <v>6200.5583466666667</v>
      </c>
      <c r="J38" s="34">
        <f t="shared" si="28"/>
        <v>6200.5583466666667</v>
      </c>
      <c r="K38" s="34">
        <f t="shared" si="29"/>
        <v>6200.5583466666667</v>
      </c>
      <c r="L38" s="34">
        <f t="shared" si="31"/>
        <v>6200.5583466666667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f t="shared" si="32"/>
        <v>6200.5583466666667</v>
      </c>
      <c r="T38" s="34">
        <f t="shared" si="33"/>
        <v>6200.5583466666667</v>
      </c>
      <c r="U38" s="34">
        <f t="shared" si="30"/>
        <v>12401.116693333333</v>
      </c>
    </row>
    <row r="39" spans="1:26" ht="12.75" customHeight="1">
      <c r="A39" s="144" t="s">
        <v>158</v>
      </c>
      <c r="B39" s="12" t="s">
        <v>133</v>
      </c>
      <c r="C39" s="26" t="s">
        <v>27</v>
      </c>
      <c r="D39" s="12" t="s">
        <v>221</v>
      </c>
      <c r="E39" s="32">
        <v>188</v>
      </c>
      <c r="F39" s="48">
        <f>SUM(E39*24/1000)</f>
        <v>4.5119999999999996</v>
      </c>
      <c r="G39" s="32">
        <v>562.25</v>
      </c>
      <c r="H39" s="33">
        <f t="shared" si="26"/>
        <v>2.5368719999999998</v>
      </c>
      <c r="I39" s="34">
        <f t="shared" si="27"/>
        <v>422.81199999999995</v>
      </c>
      <c r="J39" s="34">
        <f t="shared" si="28"/>
        <v>422.81199999999995</v>
      </c>
      <c r="K39" s="34">
        <f t="shared" si="29"/>
        <v>422.81199999999995</v>
      </c>
      <c r="L39" s="34">
        <f t="shared" si="31"/>
        <v>422.81199999999995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f t="shared" si="30"/>
        <v>0</v>
      </c>
    </row>
    <row r="40" spans="1:26" s="3" customFormat="1">
      <c r="A40" s="146"/>
      <c r="B40" s="15" t="s">
        <v>134</v>
      </c>
      <c r="C40" s="47" t="s">
        <v>33</v>
      </c>
      <c r="D40" s="15"/>
      <c r="E40" s="44"/>
      <c r="F40" s="48">
        <v>0.9</v>
      </c>
      <c r="G40" s="48">
        <v>974.83</v>
      </c>
      <c r="H40" s="33">
        <f t="shared" si="26"/>
        <v>0.8773470000000001</v>
      </c>
      <c r="I40" s="49">
        <f t="shared" si="27"/>
        <v>146.22450000000001</v>
      </c>
      <c r="J40" s="49">
        <f t="shared" si="28"/>
        <v>146.22450000000001</v>
      </c>
      <c r="K40" s="49">
        <f t="shared" si="29"/>
        <v>146.22450000000001</v>
      </c>
      <c r="L40" s="34">
        <f t="shared" si="31"/>
        <v>146.22450000000001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f t="shared" si="32"/>
        <v>146.22450000000001</v>
      </c>
      <c r="T40" s="34">
        <f t="shared" si="33"/>
        <v>146.22450000000001</v>
      </c>
      <c r="U40" s="34">
        <f t="shared" si="30"/>
        <v>292.44900000000001</v>
      </c>
      <c r="V40" s="155"/>
      <c r="W40" s="155"/>
      <c r="X40" s="155"/>
      <c r="Y40" s="155"/>
      <c r="Z40" s="155"/>
    </row>
    <row r="41" spans="1:26" s="3" customFormat="1" ht="25.5">
      <c r="A41" s="160" t="s">
        <v>222</v>
      </c>
      <c r="B41" s="138" t="s">
        <v>223</v>
      </c>
      <c r="C41" s="114" t="s">
        <v>42</v>
      </c>
      <c r="D41" s="15" t="s">
        <v>224</v>
      </c>
      <c r="E41" s="44">
        <v>2.4</v>
      </c>
      <c r="F41" s="48">
        <f>SUM(E41*12/1000)</f>
        <v>2.8799999999999996E-2</v>
      </c>
      <c r="G41" s="48">
        <v>260.2</v>
      </c>
      <c r="H41" s="33">
        <f t="shared" si="26"/>
        <v>7.4937599999999986E-3</v>
      </c>
      <c r="I41" s="49"/>
      <c r="J41" s="49"/>
      <c r="K41" s="49"/>
      <c r="L41" s="34"/>
      <c r="M41" s="34"/>
      <c r="N41" s="34"/>
      <c r="O41" s="34"/>
      <c r="P41" s="34"/>
      <c r="Q41" s="34"/>
      <c r="R41" s="34"/>
      <c r="S41" s="34">
        <f t="shared" ref="S41" si="34">F41/6*G41</f>
        <v>1.2489599999999998</v>
      </c>
      <c r="T41" s="34">
        <f t="shared" ref="T41" si="35">F41/6*G41</f>
        <v>1.2489599999999998</v>
      </c>
      <c r="U41" s="34">
        <f t="shared" ref="U41" si="36">SUM(S41:T41)</f>
        <v>2.4979199999999997</v>
      </c>
      <c r="V41" s="155"/>
      <c r="W41" s="155"/>
      <c r="X41" s="155"/>
      <c r="Y41" s="155"/>
      <c r="Z41" s="155"/>
    </row>
    <row r="42" spans="1:26" s="22" customFormat="1">
      <c r="A42" s="145"/>
      <c r="B42" s="23" t="s">
        <v>25</v>
      </c>
      <c r="C42" s="37"/>
      <c r="D42" s="23"/>
      <c r="E42" s="38"/>
      <c r="F42" s="39" t="s">
        <v>38</v>
      </c>
      <c r="G42" s="39"/>
      <c r="H42" s="46">
        <f>SUM(H34:H40)</f>
        <v>94.186580520000007</v>
      </c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>
        <f>SUM(U34:U41)</f>
        <v>26999.067426666668</v>
      </c>
      <c r="V42" s="155"/>
      <c r="W42" s="155"/>
      <c r="X42" s="155"/>
      <c r="Y42" s="155"/>
      <c r="Z42" s="155"/>
    </row>
    <row r="43" spans="1:26">
      <c r="A43" s="144"/>
      <c r="B43" s="16" t="s">
        <v>44</v>
      </c>
      <c r="C43" s="26"/>
      <c r="D43" s="12"/>
      <c r="E43" s="31"/>
      <c r="F43" s="32"/>
      <c r="G43" s="32"/>
      <c r="H43" s="33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</row>
    <row r="44" spans="1:26">
      <c r="A44" s="144" t="s">
        <v>167</v>
      </c>
      <c r="B44" s="12" t="s">
        <v>138</v>
      </c>
      <c r="C44" s="26" t="s">
        <v>27</v>
      </c>
      <c r="D44" s="12" t="s">
        <v>45</v>
      </c>
      <c r="E44" s="31">
        <v>1609.3</v>
      </c>
      <c r="F44" s="32">
        <f>SUM(E44*2/1000)</f>
        <v>3.2185999999999999</v>
      </c>
      <c r="G44" s="50">
        <v>1193.71</v>
      </c>
      <c r="H44" s="33">
        <f t="shared" ref="H44:H54" si="37">SUM(F44*G44/1000)</f>
        <v>3.842075006</v>
      </c>
      <c r="I44" s="34">
        <v>0</v>
      </c>
      <c r="J44" s="34">
        <v>0</v>
      </c>
      <c r="K44" s="34">
        <v>0</v>
      </c>
      <c r="L44" s="34">
        <v>0</v>
      </c>
      <c r="M44" s="34">
        <f>F44/2*G44</f>
        <v>1921.037503</v>
      </c>
      <c r="N44" s="34">
        <v>0</v>
      </c>
      <c r="O44" s="34">
        <v>0</v>
      </c>
      <c r="P44" s="34">
        <v>0</v>
      </c>
      <c r="Q44" s="34">
        <f>F44/2*G44</f>
        <v>1921.037503</v>
      </c>
      <c r="R44" s="34">
        <v>0</v>
      </c>
      <c r="S44" s="34">
        <v>0</v>
      </c>
      <c r="T44" s="34">
        <v>0</v>
      </c>
      <c r="U44" s="34">
        <f t="shared" ref="U44:U54" si="38">SUM(S44:T44)</f>
        <v>0</v>
      </c>
    </row>
    <row r="45" spans="1:26">
      <c r="A45" s="144" t="s">
        <v>159</v>
      </c>
      <c r="B45" s="12" t="s">
        <v>46</v>
      </c>
      <c r="C45" s="26" t="s">
        <v>27</v>
      </c>
      <c r="D45" s="12" t="s">
        <v>45</v>
      </c>
      <c r="E45" s="31">
        <v>104</v>
      </c>
      <c r="F45" s="32">
        <f>SUM(E45*2/1000)</f>
        <v>0.20799999999999999</v>
      </c>
      <c r="G45" s="50">
        <v>4419.05</v>
      </c>
      <c r="H45" s="33">
        <f t="shared" si="37"/>
        <v>0.91916240000000005</v>
      </c>
      <c r="I45" s="34">
        <v>0</v>
      </c>
      <c r="J45" s="34">
        <v>0</v>
      </c>
      <c r="K45" s="34">
        <v>0</v>
      </c>
      <c r="L45" s="34">
        <v>0</v>
      </c>
      <c r="M45" s="34">
        <f t="shared" ref="M45:M48" si="39">F45/2*G45</f>
        <v>459.58120000000002</v>
      </c>
      <c r="N45" s="34">
        <v>0</v>
      </c>
      <c r="O45" s="34">
        <v>0</v>
      </c>
      <c r="P45" s="34">
        <v>0</v>
      </c>
      <c r="Q45" s="34">
        <f t="shared" ref="Q45:Q48" si="40">F45/2*G45</f>
        <v>459.58120000000002</v>
      </c>
      <c r="R45" s="34">
        <v>0</v>
      </c>
      <c r="S45" s="34">
        <v>0</v>
      </c>
      <c r="T45" s="34">
        <v>0</v>
      </c>
      <c r="U45" s="34">
        <f t="shared" si="38"/>
        <v>0</v>
      </c>
    </row>
    <row r="46" spans="1:26" ht="12.75" customHeight="1">
      <c r="A46" s="144" t="s">
        <v>160</v>
      </c>
      <c r="B46" s="12" t="s">
        <v>47</v>
      </c>
      <c r="C46" s="26" t="s">
        <v>27</v>
      </c>
      <c r="D46" s="12" t="s">
        <v>45</v>
      </c>
      <c r="E46" s="31">
        <v>1996.87</v>
      </c>
      <c r="F46" s="32">
        <f>SUM(E46*2/1000)</f>
        <v>3.9937399999999998</v>
      </c>
      <c r="G46" s="50">
        <v>1803.69</v>
      </c>
      <c r="H46" s="33">
        <f t="shared" si="37"/>
        <v>7.2034689005999999</v>
      </c>
      <c r="I46" s="34">
        <v>0</v>
      </c>
      <c r="J46" s="34">
        <v>0</v>
      </c>
      <c r="K46" s="34">
        <v>0</v>
      </c>
      <c r="L46" s="34">
        <v>0</v>
      </c>
      <c r="M46" s="34">
        <f t="shared" si="39"/>
        <v>3601.7344502999999</v>
      </c>
      <c r="N46" s="34">
        <v>0</v>
      </c>
      <c r="O46" s="34">
        <v>0</v>
      </c>
      <c r="P46" s="34">
        <v>0</v>
      </c>
      <c r="Q46" s="34">
        <f t="shared" si="40"/>
        <v>3601.7344502999999</v>
      </c>
      <c r="R46" s="34">
        <v>0</v>
      </c>
      <c r="S46" s="34">
        <v>0</v>
      </c>
      <c r="T46" s="34">
        <v>0</v>
      </c>
      <c r="U46" s="34">
        <f t="shared" si="38"/>
        <v>0</v>
      </c>
    </row>
    <row r="47" spans="1:26">
      <c r="A47" s="144" t="s">
        <v>161</v>
      </c>
      <c r="B47" s="12" t="s">
        <v>48</v>
      </c>
      <c r="C47" s="26" t="s">
        <v>27</v>
      </c>
      <c r="D47" s="12" t="s">
        <v>45</v>
      </c>
      <c r="E47" s="31">
        <v>2654.21</v>
      </c>
      <c r="F47" s="32">
        <f>SUM(E47*2/1000)</f>
        <v>5.3084199999999999</v>
      </c>
      <c r="G47" s="50">
        <v>1243.43</v>
      </c>
      <c r="H47" s="33">
        <f t="shared" si="37"/>
        <v>6.6006486806</v>
      </c>
      <c r="I47" s="34">
        <v>0</v>
      </c>
      <c r="J47" s="34">
        <v>0</v>
      </c>
      <c r="K47" s="34">
        <v>0</v>
      </c>
      <c r="L47" s="34">
        <v>0</v>
      </c>
      <c r="M47" s="34">
        <f t="shared" si="39"/>
        <v>3300.3243403000001</v>
      </c>
      <c r="N47" s="34">
        <v>0</v>
      </c>
      <c r="O47" s="34">
        <v>0</v>
      </c>
      <c r="P47" s="34">
        <v>0</v>
      </c>
      <c r="Q47" s="34">
        <f t="shared" si="40"/>
        <v>3300.3243403000001</v>
      </c>
      <c r="R47" s="34">
        <v>0</v>
      </c>
      <c r="S47" s="34">
        <v>0</v>
      </c>
      <c r="T47" s="34">
        <v>0</v>
      </c>
      <c r="U47" s="34">
        <f t="shared" si="38"/>
        <v>0</v>
      </c>
    </row>
    <row r="48" spans="1:26">
      <c r="A48" s="144" t="s">
        <v>162</v>
      </c>
      <c r="B48" s="12" t="s">
        <v>49</v>
      </c>
      <c r="C48" s="26" t="s">
        <v>50</v>
      </c>
      <c r="D48" s="12" t="s">
        <v>45</v>
      </c>
      <c r="E48" s="31">
        <v>128.53</v>
      </c>
      <c r="F48" s="32">
        <f>SUM(E48*2/100)</f>
        <v>2.5706000000000002</v>
      </c>
      <c r="G48" s="50">
        <v>1352.76</v>
      </c>
      <c r="H48" s="33">
        <f t="shared" si="37"/>
        <v>3.4774048560000002</v>
      </c>
      <c r="I48" s="34">
        <v>0</v>
      </c>
      <c r="J48" s="34">
        <v>0</v>
      </c>
      <c r="K48" s="34">
        <v>0</v>
      </c>
      <c r="L48" s="34">
        <v>0</v>
      </c>
      <c r="M48" s="34">
        <f t="shared" si="39"/>
        <v>1738.7024280000001</v>
      </c>
      <c r="N48" s="34">
        <v>0</v>
      </c>
      <c r="O48" s="34">
        <v>0</v>
      </c>
      <c r="P48" s="34">
        <v>0</v>
      </c>
      <c r="Q48" s="34">
        <f t="shared" si="40"/>
        <v>1738.7024280000001</v>
      </c>
      <c r="R48" s="34">
        <v>0</v>
      </c>
      <c r="S48" s="34">
        <v>0</v>
      </c>
      <c r="T48" s="34">
        <v>0</v>
      </c>
      <c r="U48" s="34">
        <f t="shared" si="38"/>
        <v>0</v>
      </c>
    </row>
    <row r="49" spans="1:26">
      <c r="A49" s="144" t="s">
        <v>163</v>
      </c>
      <c r="B49" s="12" t="s">
        <v>51</v>
      </c>
      <c r="C49" s="26" t="s">
        <v>27</v>
      </c>
      <c r="D49" s="12" t="s">
        <v>225</v>
      </c>
      <c r="E49" s="31">
        <v>4394.8999999999996</v>
      </c>
      <c r="F49" s="32">
        <f>SUM(E49*5/1000)</f>
        <v>21.974499999999999</v>
      </c>
      <c r="G49" s="50">
        <v>1803.69</v>
      </c>
      <c r="H49" s="33">
        <f t="shared" si="37"/>
        <v>39.635185905</v>
      </c>
      <c r="I49" s="34">
        <f>F49/5*G49</f>
        <v>7927.0371809999997</v>
      </c>
      <c r="J49" s="34">
        <f>F49/5*G49</f>
        <v>7927.0371809999997</v>
      </c>
      <c r="K49" s="34">
        <v>0</v>
      </c>
      <c r="L49" s="34">
        <v>0</v>
      </c>
      <c r="M49" s="34">
        <f>F49/5*G49</f>
        <v>7927.0371809999997</v>
      </c>
      <c r="N49" s="34">
        <v>0</v>
      </c>
      <c r="O49" s="34">
        <v>0</v>
      </c>
      <c r="P49" s="34">
        <v>0</v>
      </c>
      <c r="Q49" s="34">
        <f>F49/5*G49</f>
        <v>7927.0371809999997</v>
      </c>
      <c r="R49" s="34">
        <v>0</v>
      </c>
      <c r="S49" s="34">
        <v>0</v>
      </c>
      <c r="T49" s="34">
        <f>F49/5*G49</f>
        <v>7927.0371809999997</v>
      </c>
      <c r="U49" s="34">
        <f t="shared" si="38"/>
        <v>7927.0371809999997</v>
      </c>
    </row>
    <row r="50" spans="1:26" ht="38.25" customHeight="1">
      <c r="A50" s="144" t="s">
        <v>164</v>
      </c>
      <c r="B50" s="12" t="s">
        <v>52</v>
      </c>
      <c r="C50" s="26" t="s">
        <v>27</v>
      </c>
      <c r="D50" s="12" t="s">
        <v>45</v>
      </c>
      <c r="E50" s="31">
        <v>4394.8999999999996</v>
      </c>
      <c r="F50" s="32">
        <f>SUM(E50*2/1000)</f>
        <v>8.7897999999999996</v>
      </c>
      <c r="G50" s="50">
        <v>1591.6</v>
      </c>
      <c r="H50" s="33">
        <f t="shared" si="37"/>
        <v>13.989845679999998</v>
      </c>
      <c r="I50" s="34">
        <v>0</v>
      </c>
      <c r="J50" s="34">
        <v>0</v>
      </c>
      <c r="K50" s="34">
        <v>0</v>
      </c>
      <c r="L50" s="34">
        <v>0</v>
      </c>
      <c r="M50" s="34">
        <f>F50/2*G50</f>
        <v>6994.9228399999993</v>
      </c>
      <c r="N50" s="34">
        <v>0</v>
      </c>
      <c r="O50" s="34">
        <v>0</v>
      </c>
      <c r="P50" s="34">
        <v>0</v>
      </c>
      <c r="Q50" s="34">
        <v>0</v>
      </c>
      <c r="R50" s="34">
        <f>F50/2*G50</f>
        <v>6994.9228399999993</v>
      </c>
      <c r="S50" s="34">
        <v>0</v>
      </c>
      <c r="T50" s="34">
        <v>0</v>
      </c>
      <c r="U50" s="34">
        <f t="shared" si="38"/>
        <v>0</v>
      </c>
    </row>
    <row r="51" spans="1:26" ht="25.5" customHeight="1">
      <c r="A51" s="144" t="s">
        <v>165</v>
      </c>
      <c r="B51" s="12" t="s">
        <v>53</v>
      </c>
      <c r="C51" s="26" t="s">
        <v>54</v>
      </c>
      <c r="D51" s="12" t="s">
        <v>45</v>
      </c>
      <c r="E51" s="31">
        <v>40</v>
      </c>
      <c r="F51" s="32">
        <f>SUM(E51*2/100)</f>
        <v>0.8</v>
      </c>
      <c r="G51" s="50">
        <v>4058.32</v>
      </c>
      <c r="H51" s="33">
        <f t="shared" si="37"/>
        <v>3.2466560000000002</v>
      </c>
      <c r="I51" s="34">
        <v>0</v>
      </c>
      <c r="J51" s="34">
        <v>0</v>
      </c>
      <c r="K51" s="34">
        <v>0</v>
      </c>
      <c r="L51" s="34">
        <v>0</v>
      </c>
      <c r="M51" s="34">
        <f t="shared" ref="M51" si="41">F51/2*G51</f>
        <v>1623.3280000000002</v>
      </c>
      <c r="N51" s="34">
        <v>0</v>
      </c>
      <c r="O51" s="34">
        <v>0</v>
      </c>
      <c r="P51" s="34">
        <v>0</v>
      </c>
      <c r="Q51" s="34">
        <v>0</v>
      </c>
      <c r="R51" s="34">
        <f>F51/2*G51</f>
        <v>1623.3280000000002</v>
      </c>
      <c r="S51" s="34">
        <v>0</v>
      </c>
      <c r="T51" s="34">
        <v>0</v>
      </c>
      <c r="U51" s="34">
        <f t="shared" si="38"/>
        <v>0</v>
      </c>
    </row>
    <row r="52" spans="1:26">
      <c r="A52" s="144" t="s">
        <v>166</v>
      </c>
      <c r="B52" s="12" t="s">
        <v>55</v>
      </c>
      <c r="C52" s="26" t="s">
        <v>56</v>
      </c>
      <c r="D52" s="12" t="s">
        <v>45</v>
      </c>
      <c r="E52" s="31">
        <v>1</v>
      </c>
      <c r="F52" s="32">
        <v>0.02</v>
      </c>
      <c r="G52" s="50">
        <v>7412.92</v>
      </c>
      <c r="H52" s="33">
        <f t="shared" si="37"/>
        <v>0.14825839999999998</v>
      </c>
      <c r="I52" s="34">
        <v>0</v>
      </c>
      <c r="J52" s="34">
        <v>0</v>
      </c>
      <c r="K52" s="34">
        <v>0</v>
      </c>
      <c r="L52" s="34">
        <v>0</v>
      </c>
      <c r="M52" s="34">
        <f>F52/2*G52</f>
        <v>74.129199999999997</v>
      </c>
      <c r="N52" s="34">
        <v>0</v>
      </c>
      <c r="O52" s="34">
        <v>0</v>
      </c>
      <c r="P52" s="34">
        <v>0</v>
      </c>
      <c r="Q52" s="34">
        <v>0</v>
      </c>
      <c r="R52" s="34">
        <f>F52/2*G52</f>
        <v>74.129199999999997</v>
      </c>
      <c r="S52" s="34">
        <v>0</v>
      </c>
      <c r="T52" s="34">
        <v>0</v>
      </c>
      <c r="U52" s="34">
        <f t="shared" si="38"/>
        <v>0</v>
      </c>
    </row>
    <row r="53" spans="1:26" ht="13.5" customHeight="1">
      <c r="A53" s="144" t="s">
        <v>58</v>
      </c>
      <c r="B53" s="12" t="s">
        <v>59</v>
      </c>
      <c r="C53" s="26" t="s">
        <v>57</v>
      </c>
      <c r="D53" s="12" t="s">
        <v>121</v>
      </c>
      <c r="E53" s="31">
        <v>160</v>
      </c>
      <c r="F53" s="32">
        <f>SUM(E53)*3</f>
        <v>480</v>
      </c>
      <c r="G53" s="51">
        <v>86.15</v>
      </c>
      <c r="H53" s="33">
        <f t="shared" si="37"/>
        <v>41.351999999999997</v>
      </c>
      <c r="I53" s="34">
        <f>E53*G53</f>
        <v>13784</v>
      </c>
      <c r="J53" s="34">
        <v>0</v>
      </c>
      <c r="K53" s="34">
        <v>0</v>
      </c>
      <c r="L53" s="34">
        <v>0</v>
      </c>
      <c r="M53" s="34">
        <f>E53*G53</f>
        <v>13784</v>
      </c>
      <c r="N53" s="34">
        <v>0</v>
      </c>
      <c r="O53" s="34">
        <v>0</v>
      </c>
      <c r="P53" s="34">
        <v>0</v>
      </c>
      <c r="Q53" s="34">
        <f>E53*G53</f>
        <v>13784</v>
      </c>
      <c r="R53" s="34">
        <v>0</v>
      </c>
      <c r="S53" s="34">
        <v>0</v>
      </c>
      <c r="T53" s="34">
        <v>0</v>
      </c>
      <c r="U53" s="34">
        <f t="shared" si="38"/>
        <v>0</v>
      </c>
    </row>
    <row r="54" spans="1:26" s="3" customFormat="1" hidden="1">
      <c r="A54" s="146"/>
      <c r="B54" s="15" t="s">
        <v>60</v>
      </c>
      <c r="C54" s="47"/>
      <c r="D54" s="12" t="s">
        <v>61</v>
      </c>
      <c r="E54" s="44"/>
      <c r="F54" s="48"/>
      <c r="G54" s="48">
        <v>5750</v>
      </c>
      <c r="H54" s="52">
        <f t="shared" si="37"/>
        <v>0</v>
      </c>
      <c r="I54" s="51"/>
      <c r="J54" s="51"/>
      <c r="K54" s="51"/>
      <c r="L54" s="51"/>
      <c r="M54" s="34">
        <v>0</v>
      </c>
      <c r="N54" s="51"/>
      <c r="O54" s="51"/>
      <c r="P54" s="51"/>
      <c r="Q54" s="51"/>
      <c r="R54" s="51"/>
      <c r="S54" s="51"/>
      <c r="T54" s="51"/>
      <c r="U54" s="34">
        <f t="shared" si="38"/>
        <v>0</v>
      </c>
      <c r="V54" s="155"/>
      <c r="W54" s="155"/>
      <c r="X54" s="155"/>
      <c r="Y54" s="155"/>
      <c r="Z54" s="155"/>
    </row>
    <row r="55" spans="1:26" s="24" customFormat="1">
      <c r="A55" s="147"/>
      <c r="B55" s="23" t="s">
        <v>25</v>
      </c>
      <c r="C55" s="53"/>
      <c r="D55" s="23"/>
      <c r="E55" s="54"/>
      <c r="F55" s="55"/>
      <c r="G55" s="55"/>
      <c r="H55" s="46">
        <f>SUM(H44:H53)</f>
        <v>120.4147058282</v>
      </c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>
        <f>SUM(U44:U53)</f>
        <v>7927.0371809999997</v>
      </c>
      <c r="V55" s="155"/>
      <c r="W55" s="155"/>
      <c r="X55" s="155"/>
      <c r="Y55" s="155"/>
      <c r="Z55" s="155"/>
    </row>
    <row r="56" spans="1:26">
      <c r="A56" s="144"/>
      <c r="B56" s="14" t="s">
        <v>62</v>
      </c>
      <c r="C56" s="26"/>
      <c r="D56" s="12"/>
      <c r="E56" s="31"/>
      <c r="F56" s="32"/>
      <c r="G56" s="32"/>
      <c r="H56" s="33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</row>
    <row r="57" spans="1:26" ht="41.25" customHeight="1">
      <c r="A57" s="9" t="s">
        <v>168</v>
      </c>
      <c r="B57" s="12" t="s">
        <v>135</v>
      </c>
      <c r="C57" s="26" t="s">
        <v>13</v>
      </c>
      <c r="D57" s="12" t="s">
        <v>63</v>
      </c>
      <c r="E57" s="31">
        <v>160</v>
      </c>
      <c r="F57" s="32">
        <f>SUM(E57*6/100)</f>
        <v>9.6</v>
      </c>
      <c r="G57" s="50">
        <v>2029.3</v>
      </c>
      <c r="H57" s="33">
        <f>SUM(F57*G57/1000)</f>
        <v>19.481279999999998</v>
      </c>
      <c r="I57" s="34">
        <f>F57/6*G57</f>
        <v>3246.8799999999997</v>
      </c>
      <c r="J57" s="34">
        <f>F57/6*G57</f>
        <v>3246.8799999999997</v>
      </c>
      <c r="K57" s="34">
        <f>F57/6*G57</f>
        <v>3246.8799999999997</v>
      </c>
      <c r="L57" s="34">
        <f>F57/6*G57</f>
        <v>3246.8799999999997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f>F57/6*G57</f>
        <v>3246.8799999999997</v>
      </c>
      <c r="T57" s="34">
        <f>F57/6*G57</f>
        <v>3246.8799999999997</v>
      </c>
      <c r="U57" s="34">
        <f t="shared" ref="U57:U87" si="42">SUM(S57:T57)</f>
        <v>6493.7599999999993</v>
      </c>
    </row>
    <row r="58" spans="1:26" ht="12.75" customHeight="1">
      <c r="A58" s="165" t="s">
        <v>104</v>
      </c>
      <c r="B58" s="12" t="s">
        <v>226</v>
      </c>
      <c r="C58" s="26" t="s">
        <v>227</v>
      </c>
      <c r="D58" s="12" t="s">
        <v>34</v>
      </c>
      <c r="E58" s="31"/>
      <c r="F58" s="32">
        <v>3</v>
      </c>
      <c r="G58" s="50">
        <v>1582.05</v>
      </c>
      <c r="H58" s="33">
        <f>SUM(F58*G58/1000)</f>
        <v>4.7461499999999992</v>
      </c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>
        <f>G58*2.5</f>
        <v>3955.125</v>
      </c>
      <c r="T58" s="34">
        <v>0</v>
      </c>
      <c r="U58" s="34">
        <f t="shared" si="42"/>
        <v>3955.125</v>
      </c>
    </row>
    <row r="59" spans="1:26">
      <c r="A59" s="144"/>
      <c r="B59" s="13" t="s">
        <v>64</v>
      </c>
      <c r="C59" s="26"/>
      <c r="D59" s="12"/>
      <c r="E59" s="31"/>
      <c r="F59" s="32"/>
      <c r="G59" s="139"/>
      <c r="H59" s="33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</row>
    <row r="60" spans="1:26">
      <c r="A60" s="144" t="s">
        <v>169</v>
      </c>
      <c r="B60" s="12" t="s">
        <v>101</v>
      </c>
      <c r="C60" s="26" t="s">
        <v>13</v>
      </c>
      <c r="D60" s="12" t="s">
        <v>29</v>
      </c>
      <c r="E60" s="31">
        <v>206</v>
      </c>
      <c r="F60" s="32">
        <f>SUM(E60/100)</f>
        <v>2.06</v>
      </c>
      <c r="G60" s="50">
        <v>1040.8399999999999</v>
      </c>
      <c r="H60" s="33">
        <f>F60*G60/1000</f>
        <v>2.1441303999999999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f t="shared" si="42"/>
        <v>0</v>
      </c>
    </row>
    <row r="61" spans="1:26">
      <c r="A61" s="144"/>
      <c r="B61" s="12" t="s">
        <v>102</v>
      </c>
      <c r="C61" s="26" t="s">
        <v>65</v>
      </c>
      <c r="D61" s="12" t="s">
        <v>66</v>
      </c>
      <c r="E61" s="31">
        <v>325</v>
      </c>
      <c r="F61" s="32">
        <f>E61*12</f>
        <v>3900</v>
      </c>
      <c r="G61" s="139">
        <v>2.8</v>
      </c>
      <c r="H61" s="33">
        <f>F61*G61/1000</f>
        <v>10.92</v>
      </c>
      <c r="I61" s="34">
        <f>F61/12*G61</f>
        <v>909.99999999999989</v>
      </c>
      <c r="J61" s="34">
        <f>F61/12*G61</f>
        <v>909.99999999999989</v>
      </c>
      <c r="K61" s="34">
        <f>F61/12*G61</f>
        <v>909.99999999999989</v>
      </c>
      <c r="L61" s="34">
        <f>F61/12*G61</f>
        <v>909.99999999999989</v>
      </c>
      <c r="M61" s="34">
        <f>F61/12*G61</f>
        <v>909.99999999999989</v>
      </c>
      <c r="N61" s="34">
        <f>F61/12*G61</f>
        <v>909.99999999999989</v>
      </c>
      <c r="O61" s="34">
        <f>F61/12*G61</f>
        <v>909.99999999999989</v>
      </c>
      <c r="P61" s="34">
        <f>F61/12*G61</f>
        <v>909.99999999999989</v>
      </c>
      <c r="Q61" s="34">
        <f>F61/12*G61</f>
        <v>909.99999999999989</v>
      </c>
      <c r="R61" s="34">
        <f>F61/12*G61</f>
        <v>909.99999999999989</v>
      </c>
      <c r="S61" s="34">
        <f>F61/12*G61</f>
        <v>909.99999999999989</v>
      </c>
      <c r="T61" s="34">
        <f>F61/12*G61</f>
        <v>909.99999999999989</v>
      </c>
      <c r="U61" s="34">
        <f t="shared" si="42"/>
        <v>1819.9999999999998</v>
      </c>
    </row>
    <row r="62" spans="1:26">
      <c r="A62" s="148"/>
      <c r="B62" s="17" t="s">
        <v>67</v>
      </c>
      <c r="C62" s="57"/>
      <c r="D62" s="58"/>
      <c r="E62" s="59"/>
      <c r="F62" s="60"/>
      <c r="G62" s="60"/>
      <c r="H62" s="61" t="s">
        <v>38</v>
      </c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</row>
    <row r="63" spans="1:26" ht="12.75" customHeight="1">
      <c r="A63" s="62" t="s">
        <v>170</v>
      </c>
      <c r="B63" s="18" t="s">
        <v>68</v>
      </c>
      <c r="C63" s="62" t="s">
        <v>57</v>
      </c>
      <c r="D63" s="10" t="s">
        <v>34</v>
      </c>
      <c r="E63" s="63">
        <v>10</v>
      </c>
      <c r="F63" s="32">
        <f>SUM(E63)</f>
        <v>10</v>
      </c>
      <c r="G63" s="50">
        <v>291.68</v>
      </c>
      <c r="H63" s="118">
        <f t="shared" ref="H63:H82" si="43">SUM(F63*G63/1000)</f>
        <v>2.9168000000000003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f>G63*3</f>
        <v>875.04</v>
      </c>
      <c r="O63" s="34">
        <f>G63</f>
        <v>291.68</v>
      </c>
      <c r="P63" s="34">
        <v>0</v>
      </c>
      <c r="Q63" s="34">
        <v>0</v>
      </c>
      <c r="R63" s="34">
        <v>0</v>
      </c>
      <c r="S63" s="34">
        <f>G63*3</f>
        <v>875.04</v>
      </c>
      <c r="T63" s="34">
        <v>0</v>
      </c>
      <c r="U63" s="34">
        <f t="shared" si="42"/>
        <v>875.04</v>
      </c>
    </row>
    <row r="64" spans="1:26" ht="12.75" customHeight="1">
      <c r="A64" s="62" t="s">
        <v>171</v>
      </c>
      <c r="B64" s="18" t="s">
        <v>69</v>
      </c>
      <c r="C64" s="62" t="s">
        <v>57</v>
      </c>
      <c r="D64" s="10" t="s">
        <v>34</v>
      </c>
      <c r="E64" s="63">
        <v>5</v>
      </c>
      <c r="F64" s="32">
        <f>SUM(E64)</f>
        <v>5</v>
      </c>
      <c r="G64" s="50">
        <v>100.01</v>
      </c>
      <c r="H64" s="118">
        <f t="shared" si="43"/>
        <v>0.50004999999999999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f t="shared" si="42"/>
        <v>0</v>
      </c>
    </row>
    <row r="65" spans="1:26" s="3" customFormat="1">
      <c r="A65" s="64" t="s">
        <v>172</v>
      </c>
      <c r="B65" s="18" t="s">
        <v>70</v>
      </c>
      <c r="C65" s="64" t="s">
        <v>71</v>
      </c>
      <c r="D65" s="10" t="s">
        <v>29</v>
      </c>
      <c r="E65" s="31">
        <v>24063</v>
      </c>
      <c r="F65" s="51">
        <f>SUM(E65/100)</f>
        <v>240.63</v>
      </c>
      <c r="G65" s="50">
        <v>278.24</v>
      </c>
      <c r="H65" s="118">
        <f t="shared" si="43"/>
        <v>66.952891199999996</v>
      </c>
      <c r="I65" s="49">
        <v>0</v>
      </c>
      <c r="J65" s="49">
        <v>0</v>
      </c>
      <c r="K65" s="49">
        <v>0</v>
      </c>
      <c r="L65" s="49">
        <v>0</v>
      </c>
      <c r="M65" s="49">
        <f>F65*G65</f>
        <v>66952.891199999998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f t="shared" si="42"/>
        <v>0</v>
      </c>
      <c r="V65" s="155"/>
      <c r="W65" s="155"/>
      <c r="X65" s="155"/>
      <c r="Y65" s="155"/>
      <c r="Z65" s="155"/>
    </row>
    <row r="66" spans="1:26" ht="12.75" customHeight="1">
      <c r="A66" s="62" t="s">
        <v>173</v>
      </c>
      <c r="B66" s="18" t="s">
        <v>72</v>
      </c>
      <c r="C66" s="62" t="s">
        <v>73</v>
      </c>
      <c r="D66" s="10" t="s">
        <v>29</v>
      </c>
      <c r="E66" s="31">
        <v>24063</v>
      </c>
      <c r="F66" s="50">
        <f>SUM(E66/1000)</f>
        <v>24.062999999999999</v>
      </c>
      <c r="G66" s="50">
        <v>216.68</v>
      </c>
      <c r="H66" s="118">
        <f t="shared" si="43"/>
        <v>5.21397084</v>
      </c>
      <c r="I66" s="34">
        <v>0</v>
      </c>
      <c r="J66" s="34">
        <v>0</v>
      </c>
      <c r="K66" s="34">
        <v>0</v>
      </c>
      <c r="L66" s="34">
        <v>0</v>
      </c>
      <c r="M66" s="34">
        <f>F66*G66</f>
        <v>5213.97084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f t="shared" si="42"/>
        <v>0</v>
      </c>
    </row>
    <row r="67" spans="1:26">
      <c r="A67" s="62" t="s">
        <v>174</v>
      </c>
      <c r="B67" s="18" t="s">
        <v>74</v>
      </c>
      <c r="C67" s="62" t="s">
        <v>75</v>
      </c>
      <c r="D67" s="10" t="s">
        <v>29</v>
      </c>
      <c r="E67" s="31">
        <v>1300</v>
      </c>
      <c r="F67" s="50">
        <f>SUM(E67/100)</f>
        <v>13</v>
      </c>
      <c r="G67" s="50">
        <v>2720.94</v>
      </c>
      <c r="H67" s="118">
        <f t="shared" si="43"/>
        <v>35.372219999999999</v>
      </c>
      <c r="I67" s="34">
        <v>0</v>
      </c>
      <c r="J67" s="34">
        <v>0</v>
      </c>
      <c r="K67" s="34">
        <v>0</v>
      </c>
      <c r="L67" s="34">
        <v>0</v>
      </c>
      <c r="M67" s="34">
        <f>F67*G67</f>
        <v>35372.22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f t="shared" si="42"/>
        <v>0</v>
      </c>
    </row>
    <row r="68" spans="1:26">
      <c r="A68" s="62"/>
      <c r="B68" s="19" t="s">
        <v>98</v>
      </c>
      <c r="C68" s="62" t="s">
        <v>33</v>
      </c>
      <c r="D68" s="10"/>
      <c r="E68" s="31">
        <v>10.4</v>
      </c>
      <c r="F68" s="50">
        <f>SUM(E68)</f>
        <v>10.4</v>
      </c>
      <c r="G68" s="50">
        <v>42.61</v>
      </c>
      <c r="H68" s="118">
        <f t="shared" si="43"/>
        <v>0.44314399999999998</v>
      </c>
      <c r="I68" s="34">
        <v>0</v>
      </c>
      <c r="J68" s="34">
        <v>0</v>
      </c>
      <c r="K68" s="34">
        <v>0</v>
      </c>
      <c r="L68" s="34">
        <v>0</v>
      </c>
      <c r="M68" s="34">
        <f>F68*G68</f>
        <v>443.14400000000001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f t="shared" si="42"/>
        <v>0</v>
      </c>
    </row>
    <row r="69" spans="1:26" ht="25.5">
      <c r="A69" s="154"/>
      <c r="B69" s="19" t="s">
        <v>99</v>
      </c>
      <c r="C69" s="62" t="s">
        <v>33</v>
      </c>
      <c r="D69" s="10"/>
      <c r="E69" s="31">
        <v>10.4</v>
      </c>
      <c r="F69" s="50">
        <f>SUM(E69)</f>
        <v>10.4</v>
      </c>
      <c r="G69" s="50">
        <v>46.04</v>
      </c>
      <c r="H69" s="118">
        <f t="shared" si="43"/>
        <v>0.47881600000000002</v>
      </c>
      <c r="I69" s="34">
        <v>0</v>
      </c>
      <c r="J69" s="34">
        <v>0</v>
      </c>
      <c r="K69" s="34">
        <v>0</v>
      </c>
      <c r="L69" s="34">
        <v>0</v>
      </c>
      <c r="M69" s="34">
        <f>F69*G69</f>
        <v>478.81600000000003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f t="shared" si="42"/>
        <v>0</v>
      </c>
    </row>
    <row r="70" spans="1:26" ht="12.75" customHeight="1">
      <c r="A70" s="62" t="s">
        <v>175</v>
      </c>
      <c r="B70" s="10" t="s">
        <v>76</v>
      </c>
      <c r="C70" s="62" t="s">
        <v>77</v>
      </c>
      <c r="D70" s="10" t="s">
        <v>29</v>
      </c>
      <c r="E70" s="63">
        <v>5</v>
      </c>
      <c r="F70" s="32">
        <f>SUM(E70)</f>
        <v>5</v>
      </c>
      <c r="G70" s="50">
        <v>65.42</v>
      </c>
      <c r="H70" s="118">
        <f t="shared" si="43"/>
        <v>0.3271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f>G70*10</f>
        <v>654.20000000000005</v>
      </c>
      <c r="R70" s="34">
        <v>0</v>
      </c>
      <c r="S70" s="34">
        <v>0</v>
      </c>
      <c r="T70" s="34">
        <v>0</v>
      </c>
      <c r="U70" s="34">
        <f t="shared" si="42"/>
        <v>0</v>
      </c>
    </row>
    <row r="71" spans="1:26">
      <c r="A71" s="62"/>
      <c r="B71" s="20" t="s">
        <v>78</v>
      </c>
      <c r="C71" s="62"/>
      <c r="D71" s="10"/>
      <c r="E71" s="63"/>
      <c r="F71" s="50"/>
      <c r="G71" s="50"/>
      <c r="H71" s="118" t="s">
        <v>38</v>
      </c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</row>
    <row r="72" spans="1:26">
      <c r="A72" s="62" t="s">
        <v>228</v>
      </c>
      <c r="B72" s="10" t="s">
        <v>234</v>
      </c>
      <c r="C72" s="62" t="s">
        <v>57</v>
      </c>
      <c r="D72" s="10" t="s">
        <v>34</v>
      </c>
      <c r="E72" s="63">
        <v>1</v>
      </c>
      <c r="F72" s="50">
        <v>1</v>
      </c>
      <c r="G72" s="50">
        <v>1029.1199999999999</v>
      </c>
      <c r="H72" s="118">
        <f t="shared" ref="H72:H75" si="44">SUM(F72*G72/1000)</f>
        <v>1.0291199999999998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f t="shared" si="42"/>
        <v>0</v>
      </c>
    </row>
    <row r="73" spans="1:26">
      <c r="A73" s="62" t="s">
        <v>230</v>
      </c>
      <c r="B73" s="10" t="s">
        <v>231</v>
      </c>
      <c r="C73" s="62" t="s">
        <v>232</v>
      </c>
      <c r="D73" s="10"/>
      <c r="E73" s="63">
        <v>1</v>
      </c>
      <c r="F73" s="50">
        <f>E73</f>
        <v>1</v>
      </c>
      <c r="G73" s="50">
        <v>735</v>
      </c>
      <c r="H73" s="118">
        <f t="shared" si="44"/>
        <v>0.73499999999999999</v>
      </c>
      <c r="I73" s="34">
        <f>G73*0.3</f>
        <v>220.5</v>
      </c>
      <c r="J73" s="34">
        <v>0</v>
      </c>
      <c r="K73" s="34">
        <v>0</v>
      </c>
      <c r="L73" s="34">
        <v>0</v>
      </c>
      <c r="M73" s="34">
        <f>G73*1.6</f>
        <v>1176</v>
      </c>
      <c r="N73" s="34">
        <v>0</v>
      </c>
      <c r="O73" s="34">
        <f>G73*0.1</f>
        <v>73.5</v>
      </c>
      <c r="P73" s="34">
        <v>0</v>
      </c>
      <c r="Q73" s="34">
        <f>G73*4.2</f>
        <v>3087</v>
      </c>
      <c r="R73" s="34">
        <f>G73*0.5</f>
        <v>367.5</v>
      </c>
      <c r="S73" s="34">
        <v>0</v>
      </c>
      <c r="T73" s="34">
        <v>0</v>
      </c>
      <c r="U73" s="34">
        <f t="shared" si="42"/>
        <v>0</v>
      </c>
    </row>
    <row r="74" spans="1:26">
      <c r="A74" s="62" t="s">
        <v>176</v>
      </c>
      <c r="B74" s="10" t="s">
        <v>79</v>
      </c>
      <c r="C74" s="62" t="s">
        <v>80</v>
      </c>
      <c r="D74" s="10" t="s">
        <v>34</v>
      </c>
      <c r="E74" s="63">
        <v>7</v>
      </c>
      <c r="F74" s="50">
        <f>E74/10</f>
        <v>0.7</v>
      </c>
      <c r="G74" s="50">
        <v>657.87</v>
      </c>
      <c r="H74" s="118">
        <f t="shared" si="44"/>
        <v>0.46050899999999995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f>G74*0.9</f>
        <v>592.08299999999997</v>
      </c>
      <c r="T74" s="34">
        <v>0</v>
      </c>
      <c r="U74" s="34">
        <f t="shared" si="42"/>
        <v>592.08299999999997</v>
      </c>
    </row>
    <row r="75" spans="1:26">
      <c r="A75" s="62" t="s">
        <v>184</v>
      </c>
      <c r="B75" s="10" t="s">
        <v>186</v>
      </c>
      <c r="C75" s="62" t="s">
        <v>57</v>
      </c>
      <c r="D75" s="10" t="s">
        <v>34</v>
      </c>
      <c r="E75" s="63">
        <v>1</v>
      </c>
      <c r="F75" s="32">
        <f>SUM(E75)</f>
        <v>1</v>
      </c>
      <c r="G75" s="50">
        <v>1118.72</v>
      </c>
      <c r="H75" s="118">
        <f t="shared" si="44"/>
        <v>1.1187199999999999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f>G75*(2+2+9)</f>
        <v>14543.36</v>
      </c>
      <c r="R75" s="34">
        <f>G75</f>
        <v>1118.72</v>
      </c>
      <c r="S75" s="34">
        <v>0</v>
      </c>
      <c r="T75" s="34">
        <v>0</v>
      </c>
      <c r="U75" s="34">
        <f t="shared" si="42"/>
        <v>0</v>
      </c>
    </row>
    <row r="76" spans="1:26">
      <c r="A76" s="114" t="s">
        <v>235</v>
      </c>
      <c r="B76" s="138" t="s">
        <v>233</v>
      </c>
      <c r="C76" s="114" t="s">
        <v>57</v>
      </c>
      <c r="D76" s="10" t="s">
        <v>34</v>
      </c>
      <c r="E76" s="63">
        <v>1</v>
      </c>
      <c r="F76" s="161">
        <v>1</v>
      </c>
      <c r="G76" s="50">
        <v>1605.83</v>
      </c>
      <c r="H76" s="118">
        <f>SUM(F76*G76/1000)</f>
        <v>1.6058299999999999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f>G76</f>
        <v>1605.83</v>
      </c>
      <c r="R76" s="34">
        <v>0</v>
      </c>
      <c r="S76" s="34">
        <v>0</v>
      </c>
      <c r="T76" s="34">
        <v>0</v>
      </c>
      <c r="U76" s="34">
        <f t="shared" si="42"/>
        <v>0</v>
      </c>
    </row>
    <row r="77" spans="1:26" ht="25.5">
      <c r="A77" s="114" t="s">
        <v>236</v>
      </c>
      <c r="B77" s="138" t="s">
        <v>237</v>
      </c>
      <c r="C77" s="114" t="s">
        <v>57</v>
      </c>
      <c r="D77" s="10" t="s">
        <v>96</v>
      </c>
      <c r="E77" s="167">
        <v>2</v>
      </c>
      <c r="F77" s="60">
        <f>E77*12</f>
        <v>24</v>
      </c>
      <c r="G77" s="168">
        <v>53.42</v>
      </c>
      <c r="H77" s="118">
        <f t="shared" ref="H77" si="45">SUM(F77*G77/1000)</f>
        <v>1.2820799999999999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f>F77/12*G77</f>
        <v>106.84</v>
      </c>
      <c r="T77" s="34">
        <f>F77/12*G77</f>
        <v>106.84</v>
      </c>
      <c r="U77" s="34">
        <f t="shared" si="42"/>
        <v>213.68</v>
      </c>
    </row>
    <row r="78" spans="1:26" ht="12.75" customHeight="1">
      <c r="A78" s="62"/>
      <c r="B78" s="164" t="s">
        <v>100</v>
      </c>
      <c r="C78" s="62"/>
      <c r="D78" s="10" t="s">
        <v>96</v>
      </c>
      <c r="E78" s="63">
        <v>1</v>
      </c>
      <c r="F78" s="50">
        <v>12</v>
      </c>
      <c r="G78" s="50">
        <v>1194</v>
      </c>
      <c r="H78" s="118">
        <f t="shared" ref="H78" si="46">SUM(F78*G78/1000)</f>
        <v>14.327999999999999</v>
      </c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>
        <f>F78/12*G78</f>
        <v>1194</v>
      </c>
      <c r="T78" s="34">
        <f>F78/12*G78</f>
        <v>1194</v>
      </c>
      <c r="U78" s="34">
        <f t="shared" ref="U78:U80" si="47">SUM(S78:T78)</f>
        <v>2388</v>
      </c>
    </row>
    <row r="79" spans="1:26">
      <c r="A79" s="114"/>
      <c r="B79" s="166" t="s">
        <v>238</v>
      </c>
      <c r="C79" s="114"/>
      <c r="D79" s="10"/>
      <c r="E79" s="63"/>
      <c r="F79" s="50"/>
      <c r="G79" s="50"/>
      <c r="H79" s="118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</row>
    <row r="80" spans="1:26" ht="25.5">
      <c r="A80" s="62"/>
      <c r="B80" s="10" t="s">
        <v>239</v>
      </c>
      <c r="C80" s="115" t="s">
        <v>240</v>
      </c>
      <c r="D80" s="10" t="s">
        <v>34</v>
      </c>
      <c r="E80" s="63">
        <v>4394.8999999999996</v>
      </c>
      <c r="F80" s="50">
        <f>SUM(E80*12)</f>
        <v>52738.799999999996</v>
      </c>
      <c r="G80" s="50">
        <v>2.2799999999999998</v>
      </c>
      <c r="H80" s="118">
        <f t="shared" ref="H80" si="48">SUM(F80*G80/1000)</f>
        <v>120.24446399999998</v>
      </c>
      <c r="I80" s="34">
        <f>F80/12*G80</f>
        <v>10020.371999999998</v>
      </c>
      <c r="J80" s="34">
        <f>F80/12*G80</f>
        <v>10020.371999999998</v>
      </c>
      <c r="K80" s="34">
        <f>F80/12*G80</f>
        <v>10020.371999999998</v>
      </c>
      <c r="L80" s="34">
        <f>F80/12*G80</f>
        <v>10020.371999999998</v>
      </c>
      <c r="M80" s="34">
        <f>F80/12*G80</f>
        <v>10020.371999999998</v>
      </c>
      <c r="N80" s="34">
        <f>F80/12*G80</f>
        <v>10020.371999999998</v>
      </c>
      <c r="O80" s="34">
        <f>F80/12*G80</f>
        <v>10020.371999999998</v>
      </c>
      <c r="P80" s="34">
        <f>F80/12*G80</f>
        <v>10020.371999999998</v>
      </c>
      <c r="Q80" s="34">
        <f>F80/12*G80</f>
        <v>10020.371999999998</v>
      </c>
      <c r="R80" s="34">
        <f>F80/12*G80</f>
        <v>10020.371999999998</v>
      </c>
      <c r="S80" s="34">
        <f>F80/12*G80</f>
        <v>10020.371999999998</v>
      </c>
      <c r="T80" s="34">
        <f>F80/12*G80</f>
        <v>10020.371999999998</v>
      </c>
      <c r="U80" s="34">
        <f t="shared" si="47"/>
        <v>20040.743999999995</v>
      </c>
    </row>
    <row r="81" spans="1:26">
      <c r="A81" s="62"/>
      <c r="B81" s="65" t="s">
        <v>81</v>
      </c>
      <c r="C81" s="62"/>
      <c r="D81" s="10"/>
      <c r="E81" s="63"/>
      <c r="F81" s="50"/>
      <c r="G81" s="50" t="s">
        <v>38</v>
      </c>
      <c r="H81" s="118" t="s">
        <v>38</v>
      </c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</row>
    <row r="82" spans="1:26" s="3" customFormat="1">
      <c r="A82" s="64" t="s">
        <v>82</v>
      </c>
      <c r="B82" s="66" t="s">
        <v>229</v>
      </c>
      <c r="C82" s="64" t="s">
        <v>75</v>
      </c>
      <c r="D82" s="18"/>
      <c r="E82" s="67"/>
      <c r="F82" s="51">
        <v>0.6</v>
      </c>
      <c r="G82" s="51">
        <v>3619.09</v>
      </c>
      <c r="H82" s="118">
        <f t="shared" si="43"/>
        <v>2.1714540000000002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34">
        <f t="shared" si="42"/>
        <v>0</v>
      </c>
      <c r="V82" s="155"/>
      <c r="W82" s="155"/>
      <c r="X82" s="155"/>
      <c r="Y82" s="155"/>
      <c r="Z82" s="155"/>
    </row>
    <row r="83" spans="1:26" s="24" customFormat="1">
      <c r="A83" s="68"/>
      <c r="B83" s="23" t="s">
        <v>25</v>
      </c>
      <c r="C83" s="69"/>
      <c r="D83" s="70"/>
      <c r="E83" s="71"/>
      <c r="F83" s="56"/>
      <c r="G83" s="56"/>
      <c r="H83" s="72">
        <f>SUM(H57:H82)</f>
        <v>292.47172943999999</v>
      </c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>
        <f>SUM(U57:U82)</f>
        <v>36378.431999999993</v>
      </c>
      <c r="V83" s="155"/>
      <c r="W83" s="155"/>
      <c r="X83" s="155"/>
      <c r="Y83" s="155"/>
      <c r="Z83" s="155"/>
    </row>
    <row r="84" spans="1:26">
      <c r="A84" s="149" t="s">
        <v>124</v>
      </c>
      <c r="B84" s="12" t="s">
        <v>125</v>
      </c>
      <c r="C84" s="73"/>
      <c r="D84" s="74"/>
      <c r="E84" s="125"/>
      <c r="F84" s="75">
        <v>1</v>
      </c>
      <c r="G84" s="76">
        <v>18792</v>
      </c>
      <c r="H84" s="118">
        <f>G84*F84/1000</f>
        <v>18.792000000000002</v>
      </c>
      <c r="I84" s="34">
        <v>0</v>
      </c>
      <c r="J84" s="34">
        <v>0</v>
      </c>
      <c r="K84" s="34">
        <v>0</v>
      </c>
      <c r="L84" s="34">
        <v>0</v>
      </c>
      <c r="M84" s="35">
        <v>0</v>
      </c>
      <c r="N84" s="35">
        <f>G84</f>
        <v>18792</v>
      </c>
      <c r="O84" s="34">
        <v>0</v>
      </c>
      <c r="P84" s="126">
        <v>0</v>
      </c>
      <c r="Q84" s="126">
        <v>0</v>
      </c>
      <c r="R84" s="126">
        <v>0</v>
      </c>
      <c r="S84" s="126">
        <v>0</v>
      </c>
      <c r="T84" s="126">
        <v>0</v>
      </c>
      <c r="U84" s="34">
        <f t="shared" si="42"/>
        <v>0</v>
      </c>
    </row>
    <row r="85" spans="1:26" ht="12.75" customHeight="1">
      <c r="A85" s="150"/>
      <c r="B85" s="13" t="s">
        <v>83</v>
      </c>
      <c r="C85" s="62" t="s">
        <v>84</v>
      </c>
      <c r="D85" s="77"/>
      <c r="E85" s="50">
        <v>4394.8999999999996</v>
      </c>
      <c r="F85" s="50">
        <f>SUM(E85*12)</f>
        <v>52738.799999999996</v>
      </c>
      <c r="G85" s="78">
        <v>3.1</v>
      </c>
      <c r="H85" s="118">
        <f>SUM(F85*G85/1000)</f>
        <v>163.49028000000001</v>
      </c>
      <c r="I85" s="34">
        <f>F85/12*G85</f>
        <v>13624.189999999999</v>
      </c>
      <c r="J85" s="34">
        <f>F85/12*G85</f>
        <v>13624.189999999999</v>
      </c>
      <c r="K85" s="34">
        <f>F85/12*G85</f>
        <v>13624.189999999999</v>
      </c>
      <c r="L85" s="34">
        <f>F85/12*G85</f>
        <v>13624.189999999999</v>
      </c>
      <c r="M85" s="35">
        <f>F85/12*G85</f>
        <v>13624.189999999999</v>
      </c>
      <c r="N85" s="35">
        <f>F85/12*G85</f>
        <v>13624.189999999999</v>
      </c>
      <c r="O85" s="34">
        <f>F85/12*G85</f>
        <v>13624.189999999999</v>
      </c>
      <c r="P85" s="126">
        <f>F85/12*G85</f>
        <v>13624.189999999999</v>
      </c>
      <c r="Q85" s="126">
        <f>F85/12*G85</f>
        <v>13624.189999999999</v>
      </c>
      <c r="R85" s="126">
        <f>F85/12*G85</f>
        <v>13624.189999999999</v>
      </c>
      <c r="S85" s="126">
        <f>F85/12*G85</f>
        <v>13624.189999999999</v>
      </c>
      <c r="T85" s="126">
        <f>F85/12*G85</f>
        <v>13624.189999999999</v>
      </c>
      <c r="U85" s="34">
        <f t="shared" si="42"/>
        <v>27248.379999999997</v>
      </c>
    </row>
    <row r="86" spans="1:26" s="22" customFormat="1">
      <c r="A86" s="79"/>
      <c r="B86" s="23" t="s">
        <v>25</v>
      </c>
      <c r="C86" s="80"/>
      <c r="D86" s="81"/>
      <c r="E86" s="82"/>
      <c r="F86" s="41"/>
      <c r="G86" s="83"/>
      <c r="H86" s="42">
        <f>SUM(H84:H85)</f>
        <v>182.28228000000001</v>
      </c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>
        <f>SUM(U84:U85)</f>
        <v>27248.379999999997</v>
      </c>
      <c r="V86" s="155"/>
      <c r="W86" s="155"/>
      <c r="X86" s="155"/>
      <c r="Y86" s="155"/>
      <c r="Z86" s="155"/>
    </row>
    <row r="87" spans="1:26" ht="25.5">
      <c r="A87" s="84"/>
      <c r="B87" s="10" t="s">
        <v>85</v>
      </c>
      <c r="C87" s="62"/>
      <c r="D87" s="21"/>
      <c r="E87" s="31">
        <f>E85</f>
        <v>4394.8999999999996</v>
      </c>
      <c r="F87" s="50">
        <f>E87*12</f>
        <v>52738.799999999996</v>
      </c>
      <c r="G87" s="50">
        <v>3.5</v>
      </c>
      <c r="H87" s="118">
        <f>F87*G87/1000</f>
        <v>184.58579999999998</v>
      </c>
      <c r="I87" s="34">
        <f>F87/12*G87</f>
        <v>15382.149999999998</v>
      </c>
      <c r="J87" s="34">
        <f>F87/12*G87</f>
        <v>15382.149999999998</v>
      </c>
      <c r="K87" s="34">
        <f>F87/12*G87</f>
        <v>15382.149999999998</v>
      </c>
      <c r="L87" s="34">
        <f>F87/12*G87</f>
        <v>15382.149999999998</v>
      </c>
      <c r="M87" s="34">
        <f>F87/12*G87</f>
        <v>15382.149999999998</v>
      </c>
      <c r="N87" s="34">
        <f>F87/12*G87</f>
        <v>15382.149999999998</v>
      </c>
      <c r="O87" s="34">
        <f>F87/12*G87</f>
        <v>15382.149999999998</v>
      </c>
      <c r="P87" s="34">
        <f>F87/12*G87</f>
        <v>15382.149999999998</v>
      </c>
      <c r="Q87" s="34">
        <f>F87/12*G87</f>
        <v>15382.149999999998</v>
      </c>
      <c r="R87" s="34">
        <f>F87/12*G87</f>
        <v>15382.149999999998</v>
      </c>
      <c r="S87" s="34">
        <f>F87/12*G87</f>
        <v>15382.149999999998</v>
      </c>
      <c r="T87" s="34">
        <f>F87/12*G87</f>
        <v>15382.149999999998</v>
      </c>
      <c r="U87" s="34">
        <f t="shared" si="42"/>
        <v>30764.299999999996</v>
      </c>
      <c r="W87" s="182"/>
      <c r="X87" s="182"/>
      <c r="Y87" s="182"/>
      <c r="Z87" s="182"/>
    </row>
    <row r="88" spans="1:26" s="22" customFormat="1">
      <c r="A88" s="79"/>
      <c r="B88" s="85" t="s">
        <v>86</v>
      </c>
      <c r="C88" s="86"/>
      <c r="D88" s="85"/>
      <c r="E88" s="41"/>
      <c r="F88" s="41"/>
      <c r="G88" s="41"/>
      <c r="H88" s="72">
        <f>SUM(H87)</f>
        <v>184.58579999999998</v>
      </c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121">
        <f>SUM(U87)</f>
        <v>30764.299999999996</v>
      </c>
      <c r="V88" s="155"/>
      <c r="W88" s="155"/>
      <c r="X88" s="155"/>
      <c r="Y88" s="155"/>
      <c r="Z88" s="155"/>
    </row>
    <row r="89" spans="1:26" s="22" customFormat="1">
      <c r="A89" s="79"/>
      <c r="B89" s="85" t="s">
        <v>87</v>
      </c>
      <c r="C89" s="87"/>
      <c r="D89" s="88"/>
      <c r="E89" s="89"/>
      <c r="F89" s="89"/>
      <c r="G89" s="89"/>
      <c r="H89" s="72">
        <f>SUM(H88+H86+H83+H55+H42+H32+H21)</f>
        <v>1344.2368754768665</v>
      </c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121">
        <f>SUM(U88+U86+U83+U55+U42+U32+U21)</f>
        <v>202210.222553</v>
      </c>
      <c r="V89" s="155"/>
      <c r="W89" s="155"/>
      <c r="X89" s="155"/>
      <c r="Y89" s="155"/>
      <c r="Z89" s="155"/>
    </row>
    <row r="90" spans="1:26">
      <c r="A90" s="84"/>
      <c r="B90" s="21" t="s">
        <v>88</v>
      </c>
      <c r="C90" s="62"/>
      <c r="D90" s="21"/>
      <c r="E90" s="50"/>
      <c r="F90" s="50"/>
      <c r="G90" s="50" t="s">
        <v>89</v>
      </c>
      <c r="H90" s="90">
        <f>E87</f>
        <v>4394.8999999999996</v>
      </c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</row>
    <row r="91" spans="1:26" s="22" customFormat="1">
      <c r="A91" s="79"/>
      <c r="B91" s="88" t="s">
        <v>90</v>
      </c>
      <c r="C91" s="87"/>
      <c r="D91" s="88"/>
      <c r="E91" s="89"/>
      <c r="F91" s="89"/>
      <c r="G91" s="89"/>
      <c r="H91" s="91">
        <f>SUM(H89/H90/12*1000)</f>
        <v>25.488575308442108</v>
      </c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122"/>
      <c r="V91" s="155"/>
      <c r="W91" s="155"/>
      <c r="X91" s="155"/>
      <c r="Y91" s="155"/>
      <c r="Z91" s="155"/>
    </row>
    <row r="92" spans="1:26">
      <c r="A92" s="84"/>
      <c r="B92" s="21"/>
      <c r="C92" s="62"/>
      <c r="D92" s="21"/>
      <c r="E92" s="50"/>
      <c r="F92" s="50"/>
      <c r="G92" s="50"/>
      <c r="H92" s="92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123"/>
    </row>
    <row r="93" spans="1:26">
      <c r="A93" s="84"/>
      <c r="B93" s="65" t="s">
        <v>91</v>
      </c>
      <c r="C93" s="62"/>
      <c r="D93" s="21"/>
      <c r="E93" s="50"/>
      <c r="F93" s="50"/>
      <c r="G93" s="50"/>
      <c r="H93" s="50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</row>
    <row r="94" spans="1:26">
      <c r="A94" s="152" t="s">
        <v>187</v>
      </c>
      <c r="B94" s="153" t="s">
        <v>189</v>
      </c>
      <c r="C94" s="152" t="s">
        <v>139</v>
      </c>
      <c r="D94" s="21"/>
      <c r="E94" s="50"/>
      <c r="F94" s="50">
        <f>(13)/3</f>
        <v>4.333333333333333</v>
      </c>
      <c r="G94" s="50">
        <v>1120.8900000000001</v>
      </c>
      <c r="H94" s="118">
        <f t="shared" ref="H94:H102" si="49">G94*F94/1000</f>
        <v>4.8571900000000001</v>
      </c>
      <c r="I94" s="34">
        <f>G94</f>
        <v>1120.8900000000001</v>
      </c>
      <c r="J94" s="34">
        <f>G94*((3+3+10)/3)</f>
        <v>5978.08</v>
      </c>
      <c r="K94" s="34">
        <f>G94*((5+10+15)/3)</f>
        <v>11208.900000000001</v>
      </c>
      <c r="L94" s="34">
        <f>G94*((3+10)/3)</f>
        <v>4857.1900000000005</v>
      </c>
      <c r="M94" s="34">
        <f>G94*((10+3)/3)</f>
        <v>4857.1900000000005</v>
      </c>
      <c r="N94" s="34">
        <f>G94*(15/3)</f>
        <v>5604.4500000000007</v>
      </c>
      <c r="O94" s="34">
        <v>0</v>
      </c>
      <c r="P94" s="34">
        <v>0</v>
      </c>
      <c r="Q94" s="34">
        <f>G94*2</f>
        <v>2241.7800000000002</v>
      </c>
      <c r="R94" s="34">
        <f>G94*(10/3)</f>
        <v>3736.3000000000006</v>
      </c>
      <c r="S94" s="34">
        <f>G94</f>
        <v>1120.8900000000001</v>
      </c>
      <c r="T94" s="34">
        <f>G94*(10/3)</f>
        <v>3736.3000000000006</v>
      </c>
      <c r="U94" s="34">
        <f t="shared" ref="U94:U128" si="50">SUM(S94:T94)</f>
        <v>4857.1900000000005</v>
      </c>
    </row>
    <row r="95" spans="1:26" ht="25.5">
      <c r="A95" s="131" t="s">
        <v>198</v>
      </c>
      <c r="B95" s="138" t="s">
        <v>199</v>
      </c>
      <c r="C95" s="114" t="s">
        <v>120</v>
      </c>
      <c r="D95" s="21"/>
      <c r="E95" s="50"/>
      <c r="F95" s="50">
        <v>14</v>
      </c>
      <c r="G95" s="50">
        <v>1046.06</v>
      </c>
      <c r="H95" s="118">
        <f t="shared" si="49"/>
        <v>14.64484</v>
      </c>
      <c r="I95" s="159">
        <v>0</v>
      </c>
      <c r="J95" s="159">
        <v>0</v>
      </c>
      <c r="K95" s="159">
        <v>0</v>
      </c>
      <c r="L95" s="159">
        <v>0</v>
      </c>
      <c r="M95" s="159">
        <v>0</v>
      </c>
      <c r="N95" s="159">
        <v>0</v>
      </c>
      <c r="O95" s="159">
        <v>0</v>
      </c>
      <c r="P95" s="159">
        <v>0</v>
      </c>
      <c r="Q95" s="159">
        <v>0</v>
      </c>
      <c r="R95" s="159">
        <f>G95*(2+2)</f>
        <v>4184.24</v>
      </c>
      <c r="S95" s="34">
        <f>G95*(2+12)</f>
        <v>14644.84</v>
      </c>
      <c r="T95" s="34">
        <v>0</v>
      </c>
      <c r="U95" s="34">
        <f t="shared" si="50"/>
        <v>14644.84</v>
      </c>
    </row>
    <row r="96" spans="1:26">
      <c r="A96" s="131" t="s">
        <v>182</v>
      </c>
      <c r="B96" s="129" t="s">
        <v>203</v>
      </c>
      <c r="C96" s="131" t="s">
        <v>57</v>
      </c>
      <c r="D96" s="10"/>
      <c r="E96" s="63"/>
      <c r="F96" s="50">
        <v>7</v>
      </c>
      <c r="G96" s="50">
        <v>140</v>
      </c>
      <c r="H96" s="118">
        <f t="shared" si="49"/>
        <v>0.98</v>
      </c>
      <c r="I96" s="159">
        <v>0</v>
      </c>
      <c r="J96" s="159">
        <v>0</v>
      </c>
      <c r="K96" s="159">
        <v>0</v>
      </c>
      <c r="L96" s="159">
        <v>0</v>
      </c>
      <c r="M96" s="159">
        <v>0</v>
      </c>
      <c r="N96" s="159">
        <v>0</v>
      </c>
      <c r="O96" s="159">
        <v>0</v>
      </c>
      <c r="P96" s="159">
        <v>0</v>
      </c>
      <c r="Q96" s="159">
        <v>0</v>
      </c>
      <c r="R96" s="159">
        <f>G96</f>
        <v>140</v>
      </c>
      <c r="S96" s="34">
        <f>G96*(1+6)</f>
        <v>980</v>
      </c>
      <c r="T96" s="34">
        <v>0</v>
      </c>
      <c r="U96" s="34">
        <f t="shared" si="50"/>
        <v>980</v>
      </c>
    </row>
    <row r="97" spans="1:27" ht="12.75" customHeight="1">
      <c r="A97" s="131" t="s">
        <v>182</v>
      </c>
      <c r="B97" s="129" t="s">
        <v>202</v>
      </c>
      <c r="C97" s="131" t="s">
        <v>57</v>
      </c>
      <c r="D97" s="21"/>
      <c r="E97" s="50"/>
      <c r="F97" s="50">
        <v>5</v>
      </c>
      <c r="G97" s="50">
        <v>118</v>
      </c>
      <c r="H97" s="118">
        <f t="shared" si="49"/>
        <v>0.59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159">
        <f>G97</f>
        <v>118</v>
      </c>
      <c r="S97" s="34">
        <f>G97*(1+4)</f>
        <v>590</v>
      </c>
      <c r="T97" s="34">
        <v>0</v>
      </c>
      <c r="U97" s="34">
        <f t="shared" si="50"/>
        <v>590</v>
      </c>
    </row>
    <row r="98" spans="1:27">
      <c r="A98" s="131" t="s">
        <v>182</v>
      </c>
      <c r="B98" s="162" t="s">
        <v>201</v>
      </c>
      <c r="C98" s="131" t="s">
        <v>57</v>
      </c>
      <c r="D98" s="10"/>
      <c r="E98" s="63"/>
      <c r="F98" s="50">
        <v>7</v>
      </c>
      <c r="G98" s="50">
        <v>108</v>
      </c>
      <c r="H98" s="118">
        <f t="shared" si="49"/>
        <v>0.75600000000000001</v>
      </c>
      <c r="I98" s="159">
        <v>0</v>
      </c>
      <c r="J98" s="159">
        <v>0</v>
      </c>
      <c r="K98" s="159">
        <v>0</v>
      </c>
      <c r="L98" s="159">
        <v>0</v>
      </c>
      <c r="M98" s="159">
        <v>0</v>
      </c>
      <c r="N98" s="159">
        <v>0</v>
      </c>
      <c r="O98" s="159">
        <v>0</v>
      </c>
      <c r="P98" s="159">
        <v>0</v>
      </c>
      <c r="Q98" s="159">
        <v>0</v>
      </c>
      <c r="R98" s="159">
        <f>G98</f>
        <v>108</v>
      </c>
      <c r="S98" s="34">
        <f>G98*(1+6)</f>
        <v>756</v>
      </c>
      <c r="T98" s="34">
        <v>0</v>
      </c>
      <c r="U98" s="34">
        <f t="shared" si="50"/>
        <v>756</v>
      </c>
    </row>
    <row r="99" spans="1:27">
      <c r="A99" s="131" t="s">
        <v>182</v>
      </c>
      <c r="B99" s="129" t="s">
        <v>200</v>
      </c>
      <c r="C99" s="131" t="s">
        <v>57</v>
      </c>
      <c r="D99" s="10"/>
      <c r="E99" s="63"/>
      <c r="F99" s="50">
        <v>1</v>
      </c>
      <c r="G99" s="50">
        <v>40</v>
      </c>
      <c r="H99" s="118">
        <f t="shared" si="49"/>
        <v>0.04</v>
      </c>
      <c r="I99" s="159">
        <v>0</v>
      </c>
      <c r="J99" s="159">
        <v>0</v>
      </c>
      <c r="K99" s="159">
        <v>0</v>
      </c>
      <c r="L99" s="159">
        <v>0</v>
      </c>
      <c r="M99" s="159">
        <v>0</v>
      </c>
      <c r="N99" s="159">
        <v>0</v>
      </c>
      <c r="O99" s="159">
        <v>0</v>
      </c>
      <c r="P99" s="159">
        <v>0</v>
      </c>
      <c r="Q99" s="159">
        <v>0</v>
      </c>
      <c r="R99" s="159">
        <f>G99</f>
        <v>40</v>
      </c>
      <c r="S99" s="34">
        <f>G99</f>
        <v>40</v>
      </c>
      <c r="T99" s="34">
        <v>0</v>
      </c>
      <c r="U99" s="34">
        <f t="shared" si="50"/>
        <v>40</v>
      </c>
    </row>
    <row r="100" spans="1:27">
      <c r="A100" s="131" t="s">
        <v>182</v>
      </c>
      <c r="B100" s="129" t="s">
        <v>183</v>
      </c>
      <c r="C100" s="131" t="s">
        <v>57</v>
      </c>
      <c r="D100" s="21"/>
      <c r="E100" s="50"/>
      <c r="F100" s="50">
        <v>6</v>
      </c>
      <c r="G100" s="50">
        <v>62</v>
      </c>
      <c r="H100" s="118">
        <f t="shared" si="49"/>
        <v>0.372</v>
      </c>
      <c r="I100" s="34">
        <v>0</v>
      </c>
      <c r="J100" s="34">
        <v>0</v>
      </c>
      <c r="K100" s="34">
        <v>0</v>
      </c>
      <c r="L100" s="34">
        <v>0</v>
      </c>
      <c r="M100" s="34">
        <v>0</v>
      </c>
      <c r="N100" s="34">
        <v>0</v>
      </c>
      <c r="O100" s="34">
        <v>0</v>
      </c>
      <c r="P100" s="34">
        <v>0</v>
      </c>
      <c r="Q100" s="34">
        <f>G100*6</f>
        <v>372</v>
      </c>
      <c r="R100" s="34">
        <f>G100*4</f>
        <v>248</v>
      </c>
      <c r="S100" s="34">
        <f>G100*(1+5)</f>
        <v>372</v>
      </c>
      <c r="T100" s="34">
        <v>0</v>
      </c>
      <c r="U100" s="34">
        <f t="shared" si="50"/>
        <v>372</v>
      </c>
      <c r="AA100" s="155"/>
    </row>
    <row r="101" spans="1:27" ht="12.75" customHeight="1">
      <c r="A101" s="132" t="s">
        <v>192</v>
      </c>
      <c r="B101" s="158" t="s">
        <v>193</v>
      </c>
      <c r="C101" s="156" t="s">
        <v>194</v>
      </c>
      <c r="D101" s="115"/>
      <c r="E101" s="63"/>
      <c r="F101" s="116">
        <v>1</v>
      </c>
      <c r="G101" s="63">
        <v>195.85</v>
      </c>
      <c r="H101" s="118">
        <f t="shared" si="49"/>
        <v>0.19585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34">
        <v>0</v>
      </c>
      <c r="O101" s="34">
        <f>G101*2</f>
        <v>391.7</v>
      </c>
      <c r="P101" s="34">
        <v>0</v>
      </c>
      <c r="Q101" s="34">
        <v>0</v>
      </c>
      <c r="R101" s="34">
        <f>G101</f>
        <v>195.85</v>
      </c>
      <c r="S101" s="34">
        <f>G101</f>
        <v>195.85</v>
      </c>
      <c r="T101" s="34">
        <v>0</v>
      </c>
      <c r="U101" s="34">
        <f t="shared" si="50"/>
        <v>195.85</v>
      </c>
    </row>
    <row r="102" spans="1:27" ht="38.25">
      <c r="A102" s="131" t="s">
        <v>180</v>
      </c>
      <c r="B102" s="129" t="s">
        <v>136</v>
      </c>
      <c r="C102" s="131" t="s">
        <v>137</v>
      </c>
      <c r="D102" s="21"/>
      <c r="E102" s="50"/>
      <c r="F102" s="50">
        <v>1</v>
      </c>
      <c r="G102" s="50">
        <v>54.17</v>
      </c>
      <c r="H102" s="118">
        <f t="shared" si="49"/>
        <v>5.4170000000000003E-2</v>
      </c>
      <c r="I102" s="34">
        <v>0</v>
      </c>
      <c r="J102" s="34">
        <v>0</v>
      </c>
      <c r="K102" s="34">
        <f>G102</f>
        <v>54.17</v>
      </c>
      <c r="L102" s="34">
        <f>G102</f>
        <v>54.17</v>
      </c>
      <c r="M102" s="34">
        <v>0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  <c r="S102" s="34">
        <f>G102</f>
        <v>54.17</v>
      </c>
      <c r="T102" s="34">
        <v>0</v>
      </c>
      <c r="U102" s="34">
        <f t="shared" si="50"/>
        <v>54.17</v>
      </c>
    </row>
    <row r="103" spans="1:27" s="127" customFormat="1" ht="25.5">
      <c r="A103" s="132" t="s">
        <v>104</v>
      </c>
      <c r="B103" s="133" t="s">
        <v>105</v>
      </c>
      <c r="C103" s="130" t="s">
        <v>30</v>
      </c>
      <c r="D103" s="134"/>
      <c r="E103" s="135"/>
      <c r="F103" s="135">
        <v>1</v>
      </c>
      <c r="G103" s="135">
        <v>1934.94</v>
      </c>
      <c r="H103" s="118">
        <f>G103*F103/1000</f>
        <v>1.9349400000000001</v>
      </c>
      <c r="I103" s="34">
        <f>G103</f>
        <v>1934.94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v>0</v>
      </c>
      <c r="P103" s="34">
        <v>0</v>
      </c>
      <c r="Q103" s="34">
        <v>0</v>
      </c>
      <c r="R103" s="34">
        <v>0</v>
      </c>
      <c r="S103" s="34">
        <f>G103</f>
        <v>1934.94</v>
      </c>
      <c r="T103" s="34">
        <v>0</v>
      </c>
      <c r="U103" s="34">
        <f t="shared" si="50"/>
        <v>1934.94</v>
      </c>
      <c r="V103" s="155"/>
      <c r="W103" s="155"/>
      <c r="X103" s="155"/>
      <c r="Y103" s="155"/>
      <c r="Z103" s="155"/>
    </row>
    <row r="104" spans="1:27" ht="25.5" customHeight="1">
      <c r="A104" s="131" t="s">
        <v>181</v>
      </c>
      <c r="B104" s="129" t="s">
        <v>195</v>
      </c>
      <c r="C104" s="131" t="s">
        <v>120</v>
      </c>
      <c r="D104" s="21"/>
      <c r="E104" s="50"/>
      <c r="F104" s="50">
        <v>7</v>
      </c>
      <c r="G104" s="135">
        <v>727.73</v>
      </c>
      <c r="H104" s="118">
        <f>G104*F104/1000</f>
        <v>5.0941100000000006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f>G104*3</f>
        <v>2183.19</v>
      </c>
      <c r="R104" s="34">
        <f>G104*3</f>
        <v>2183.19</v>
      </c>
      <c r="S104" s="34">
        <f>G104*7</f>
        <v>5094.1100000000006</v>
      </c>
      <c r="T104" s="34">
        <v>0</v>
      </c>
      <c r="U104" s="34">
        <f t="shared" si="50"/>
        <v>5094.1100000000006</v>
      </c>
    </row>
    <row r="105" spans="1:27">
      <c r="A105" s="114" t="s">
        <v>182</v>
      </c>
      <c r="B105" s="138" t="s">
        <v>241</v>
      </c>
      <c r="C105" s="114" t="s">
        <v>57</v>
      </c>
      <c r="D105" s="21"/>
      <c r="E105" s="50"/>
      <c r="F105" s="50">
        <v>4</v>
      </c>
      <c r="G105" s="50">
        <v>82</v>
      </c>
      <c r="H105" s="118">
        <f t="shared" ref="H105" si="51">G105*F105/1000</f>
        <v>0.32800000000000001</v>
      </c>
      <c r="I105" s="159">
        <v>0</v>
      </c>
      <c r="J105" s="159">
        <f>G105</f>
        <v>82</v>
      </c>
      <c r="K105" s="159">
        <v>0</v>
      </c>
      <c r="L105" s="159">
        <v>0</v>
      </c>
      <c r="M105" s="159">
        <f>G105*2</f>
        <v>164</v>
      </c>
      <c r="N105" s="159">
        <v>0</v>
      </c>
      <c r="O105" s="159">
        <v>0</v>
      </c>
      <c r="P105" s="159">
        <v>0</v>
      </c>
      <c r="Q105" s="159">
        <v>0</v>
      </c>
      <c r="R105" s="159">
        <f>G105</f>
        <v>82</v>
      </c>
      <c r="S105" s="159">
        <f>G105*4</f>
        <v>328</v>
      </c>
      <c r="T105" s="159">
        <v>0</v>
      </c>
      <c r="U105" s="34">
        <f t="shared" si="50"/>
        <v>328</v>
      </c>
    </row>
    <row r="106" spans="1:27" ht="12.75" customHeight="1">
      <c r="A106" s="131" t="s">
        <v>182</v>
      </c>
      <c r="B106" s="129" t="s">
        <v>196</v>
      </c>
      <c r="C106" s="131" t="s">
        <v>57</v>
      </c>
      <c r="D106" s="21"/>
      <c r="E106" s="50"/>
      <c r="F106" s="50">
        <v>4</v>
      </c>
      <c r="G106" s="50">
        <v>22</v>
      </c>
      <c r="H106" s="118">
        <f>G106*F106/1000</f>
        <v>8.7999999999999995E-2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34">
        <v>0</v>
      </c>
      <c r="O106" s="34">
        <v>0</v>
      </c>
      <c r="P106" s="34">
        <v>0</v>
      </c>
      <c r="Q106" s="159">
        <f>G106*3</f>
        <v>66</v>
      </c>
      <c r="R106" s="159">
        <v>0</v>
      </c>
      <c r="S106" s="159">
        <f>G106*4</f>
        <v>88</v>
      </c>
      <c r="T106" s="34">
        <v>0</v>
      </c>
      <c r="U106" s="34">
        <f t="shared" si="50"/>
        <v>88</v>
      </c>
    </row>
    <row r="107" spans="1:27" ht="12.75" customHeight="1">
      <c r="A107" s="131" t="s">
        <v>182</v>
      </c>
      <c r="B107" s="129" t="s">
        <v>242</v>
      </c>
      <c r="C107" s="131" t="s">
        <v>57</v>
      </c>
      <c r="D107" s="21"/>
      <c r="E107" s="50"/>
      <c r="F107" s="50">
        <v>6</v>
      </c>
      <c r="G107" s="50">
        <v>46</v>
      </c>
      <c r="H107" s="118">
        <f>G107*F107/1000</f>
        <v>0.27600000000000002</v>
      </c>
      <c r="I107" s="34">
        <v>0</v>
      </c>
      <c r="J107" s="34">
        <v>0</v>
      </c>
      <c r="K107" s="34">
        <v>0</v>
      </c>
      <c r="L107" s="34">
        <f>G107</f>
        <v>46</v>
      </c>
      <c r="M107" s="34">
        <v>0</v>
      </c>
      <c r="N107" s="34">
        <v>0</v>
      </c>
      <c r="O107" s="34">
        <v>0</v>
      </c>
      <c r="P107" s="34">
        <v>0</v>
      </c>
      <c r="Q107" s="34">
        <v>0</v>
      </c>
      <c r="R107" s="34">
        <v>0</v>
      </c>
      <c r="S107" s="34">
        <f>G107*6</f>
        <v>276</v>
      </c>
      <c r="T107" s="34">
        <v>0</v>
      </c>
      <c r="U107" s="34">
        <f t="shared" si="50"/>
        <v>276</v>
      </c>
    </row>
    <row r="108" spans="1:27" ht="12.75" customHeight="1">
      <c r="A108" s="131" t="s">
        <v>182</v>
      </c>
      <c r="B108" s="153" t="s">
        <v>243</v>
      </c>
      <c r="C108" s="131" t="s">
        <v>57</v>
      </c>
      <c r="D108" s="21"/>
      <c r="E108" s="50"/>
      <c r="F108" s="50">
        <v>6</v>
      </c>
      <c r="G108" s="50">
        <v>42</v>
      </c>
      <c r="H108" s="118">
        <f>G108*F108/1000</f>
        <v>0.252</v>
      </c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>
        <f>G108*6</f>
        <v>252</v>
      </c>
      <c r="T108" s="34">
        <v>0</v>
      </c>
      <c r="U108" s="34">
        <f t="shared" si="50"/>
        <v>252</v>
      </c>
    </row>
    <row r="109" spans="1:27" ht="12.75" customHeight="1">
      <c r="A109" s="132" t="s">
        <v>182</v>
      </c>
      <c r="B109" s="133" t="s">
        <v>197</v>
      </c>
      <c r="C109" s="128" t="s">
        <v>57</v>
      </c>
      <c r="D109" s="10"/>
      <c r="E109" s="63"/>
      <c r="F109" s="50">
        <v>6</v>
      </c>
      <c r="G109" s="135">
        <v>45</v>
      </c>
      <c r="H109" s="118">
        <f>G109*F109/1000</f>
        <v>0.27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159">
        <f>G109*3</f>
        <v>135</v>
      </c>
      <c r="R109" s="159">
        <f>G109*2</f>
        <v>90</v>
      </c>
      <c r="S109" s="34">
        <f>G109*6</f>
        <v>270</v>
      </c>
      <c r="T109" s="34">
        <v>0</v>
      </c>
      <c r="U109" s="34">
        <f t="shared" si="50"/>
        <v>270</v>
      </c>
    </row>
    <row r="110" spans="1:27" ht="12.75" customHeight="1">
      <c r="A110" s="131" t="s">
        <v>182</v>
      </c>
      <c r="B110" s="129" t="s">
        <v>244</v>
      </c>
      <c r="C110" s="131" t="s">
        <v>57</v>
      </c>
      <c r="D110" s="21"/>
      <c r="E110" s="50"/>
      <c r="F110" s="50">
        <v>3</v>
      </c>
      <c r="G110" s="50">
        <v>61</v>
      </c>
      <c r="H110" s="118">
        <f t="shared" ref="H110" si="52">G110*F110/1000</f>
        <v>0.183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  <c r="Q110" s="159">
        <v>0</v>
      </c>
      <c r="R110" s="159">
        <f>G110</f>
        <v>61</v>
      </c>
      <c r="S110" s="34">
        <f>G110*3</f>
        <v>183</v>
      </c>
      <c r="T110" s="34">
        <v>0</v>
      </c>
      <c r="U110" s="34">
        <f t="shared" si="50"/>
        <v>183</v>
      </c>
    </row>
    <row r="111" spans="1:27" ht="12.75" customHeight="1">
      <c r="A111" s="131" t="s">
        <v>182</v>
      </c>
      <c r="B111" s="153" t="s">
        <v>245</v>
      </c>
      <c r="C111" s="131" t="s">
        <v>57</v>
      </c>
      <c r="D111" s="21"/>
      <c r="E111" s="50"/>
      <c r="F111" s="50">
        <v>3</v>
      </c>
      <c r="G111" s="50">
        <v>70</v>
      </c>
      <c r="H111" s="118">
        <f t="shared" ref="H111:H128" si="53">G111*F111/1000</f>
        <v>0.21</v>
      </c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>
        <f>G111*3</f>
        <v>210</v>
      </c>
      <c r="T111" s="34">
        <v>0</v>
      </c>
      <c r="U111" s="34">
        <f t="shared" si="50"/>
        <v>210</v>
      </c>
    </row>
    <row r="112" spans="1:27" s="127" customFormat="1" ht="25.5" customHeight="1">
      <c r="A112" s="131" t="s">
        <v>164</v>
      </c>
      <c r="B112" s="138" t="s">
        <v>191</v>
      </c>
      <c r="C112" s="114" t="s">
        <v>42</v>
      </c>
      <c r="D112" s="134"/>
      <c r="E112" s="135"/>
      <c r="F112" s="169">
        <v>1E-3</v>
      </c>
      <c r="G112" s="135">
        <v>1591.6</v>
      </c>
      <c r="H112" s="170">
        <f t="shared" si="53"/>
        <v>1.5915999999999999E-3</v>
      </c>
      <c r="I112" s="34">
        <v>0</v>
      </c>
      <c r="J112" s="34">
        <v>0</v>
      </c>
      <c r="K112" s="34">
        <v>0</v>
      </c>
      <c r="L112" s="34">
        <v>0</v>
      </c>
      <c r="M112" s="34">
        <f>G112*0.001</f>
        <v>1.5915999999999999</v>
      </c>
      <c r="N112" s="34">
        <v>0</v>
      </c>
      <c r="O112" s="34">
        <v>0</v>
      </c>
      <c r="P112" s="34">
        <v>0</v>
      </c>
      <c r="Q112" s="34">
        <v>0</v>
      </c>
      <c r="R112" s="34">
        <f>G112*0.008</f>
        <v>12.732799999999999</v>
      </c>
      <c r="S112" s="34">
        <f>G112*0.001</f>
        <v>1.5915999999999999</v>
      </c>
      <c r="T112" s="34">
        <v>0</v>
      </c>
      <c r="U112" s="34">
        <f t="shared" si="50"/>
        <v>1.5915999999999999</v>
      </c>
      <c r="V112" s="155"/>
      <c r="W112" s="155"/>
      <c r="X112" s="155"/>
      <c r="Y112" s="155"/>
      <c r="Z112" s="155"/>
    </row>
    <row r="113" spans="1:26" ht="25.5" customHeight="1">
      <c r="A113" s="131" t="s">
        <v>166</v>
      </c>
      <c r="B113" s="129" t="s">
        <v>190</v>
      </c>
      <c r="C113" s="131" t="s">
        <v>126</v>
      </c>
      <c r="D113" s="134"/>
      <c r="E113" s="50"/>
      <c r="F113" s="50">
        <v>0.02</v>
      </c>
      <c r="G113" s="50">
        <v>7412.92</v>
      </c>
      <c r="H113" s="118">
        <f t="shared" si="53"/>
        <v>0.14825839999999998</v>
      </c>
      <c r="I113" s="34">
        <v>0</v>
      </c>
      <c r="J113" s="34">
        <v>0</v>
      </c>
      <c r="K113" s="34">
        <f>G113*0.01</f>
        <v>74.129199999999997</v>
      </c>
      <c r="L113" s="34">
        <v>0</v>
      </c>
      <c r="M113" s="34">
        <f>G113*0.01</f>
        <v>74.129199999999997</v>
      </c>
      <c r="N113" s="34">
        <v>0</v>
      </c>
      <c r="O113" s="34">
        <v>0</v>
      </c>
      <c r="P113" s="34">
        <v>0</v>
      </c>
      <c r="Q113" s="34">
        <v>0</v>
      </c>
      <c r="R113" s="34">
        <v>0</v>
      </c>
      <c r="S113" s="34">
        <f>G113*0.02</f>
        <v>148.25839999999999</v>
      </c>
      <c r="T113" s="34">
        <v>0</v>
      </c>
      <c r="U113" s="34">
        <f t="shared" si="50"/>
        <v>148.25839999999999</v>
      </c>
    </row>
    <row r="114" spans="1:26">
      <c r="A114" s="114" t="s">
        <v>247</v>
      </c>
      <c r="B114" s="138" t="s">
        <v>246</v>
      </c>
      <c r="C114" s="114" t="s">
        <v>57</v>
      </c>
      <c r="D114" s="21"/>
      <c r="E114" s="50"/>
      <c r="F114" s="50">
        <v>1</v>
      </c>
      <c r="G114" s="50">
        <v>190.86</v>
      </c>
      <c r="H114" s="118">
        <f t="shared" si="53"/>
        <v>0.19086</v>
      </c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>
        <f>G114</f>
        <v>190.86</v>
      </c>
      <c r="T114" s="34">
        <v>0</v>
      </c>
      <c r="U114" s="34">
        <f t="shared" si="50"/>
        <v>190.86</v>
      </c>
    </row>
    <row r="115" spans="1:26" ht="25.5">
      <c r="A115" s="131" t="s">
        <v>165</v>
      </c>
      <c r="B115" s="129" t="s">
        <v>118</v>
      </c>
      <c r="C115" s="131" t="s">
        <v>54</v>
      </c>
      <c r="D115" s="21"/>
      <c r="E115" s="50"/>
      <c r="F115" s="50">
        <v>0.03</v>
      </c>
      <c r="G115" s="50">
        <v>3581.13</v>
      </c>
      <c r="H115" s="118">
        <f t="shared" si="53"/>
        <v>0.1074339</v>
      </c>
      <c r="I115" s="34">
        <v>0</v>
      </c>
      <c r="J115" s="34">
        <v>0</v>
      </c>
      <c r="K115" s="34">
        <v>0</v>
      </c>
      <c r="L115" s="34">
        <f>G115*0.02</f>
        <v>71.622600000000006</v>
      </c>
      <c r="M115" s="34">
        <v>0</v>
      </c>
      <c r="N115" s="34">
        <v>0</v>
      </c>
      <c r="O115" s="34">
        <v>0</v>
      </c>
      <c r="P115" s="34">
        <v>0</v>
      </c>
      <c r="Q115" s="34">
        <f>G115*(0.03+0.01+0.01+0.01)</f>
        <v>214.86780000000002</v>
      </c>
      <c r="R115" s="34">
        <v>0</v>
      </c>
      <c r="S115" s="34">
        <f>G115*0.02</f>
        <v>71.622600000000006</v>
      </c>
      <c r="T115" s="34">
        <f>G115*0.01</f>
        <v>35.811300000000003</v>
      </c>
      <c r="U115" s="34">
        <f t="shared" si="50"/>
        <v>107.43390000000001</v>
      </c>
    </row>
    <row r="116" spans="1:26" s="127" customFormat="1" ht="25.5">
      <c r="A116" s="131" t="s">
        <v>178</v>
      </c>
      <c r="B116" s="129" t="s">
        <v>119</v>
      </c>
      <c r="C116" s="131" t="s">
        <v>57</v>
      </c>
      <c r="D116" s="134"/>
      <c r="E116" s="135"/>
      <c r="F116" s="135">
        <v>156</v>
      </c>
      <c r="G116" s="135">
        <v>53.42</v>
      </c>
      <c r="H116" s="118">
        <f t="shared" si="53"/>
        <v>8.33352</v>
      </c>
      <c r="I116" s="34">
        <f>G116*79</f>
        <v>4220.18</v>
      </c>
      <c r="J116" s="34">
        <f>G116*79</f>
        <v>4220.18</v>
      </c>
      <c r="K116" s="34">
        <f>G116*79</f>
        <v>4220.18</v>
      </c>
      <c r="L116" s="34">
        <f>G116*79</f>
        <v>4220.18</v>
      </c>
      <c r="M116" s="34">
        <f>G116*79</f>
        <v>4220.18</v>
      </c>
      <c r="N116" s="34">
        <f>G116*79</f>
        <v>4220.18</v>
      </c>
      <c r="O116" s="34">
        <f>G116*79</f>
        <v>4220.18</v>
      </c>
      <c r="P116" s="34">
        <f>G116*79</f>
        <v>4220.18</v>
      </c>
      <c r="Q116" s="34">
        <f>G116*79</f>
        <v>4220.18</v>
      </c>
      <c r="R116" s="34">
        <f>G116*79</f>
        <v>4220.18</v>
      </c>
      <c r="S116" s="34">
        <f>G116*78</f>
        <v>4166.76</v>
      </c>
      <c r="T116" s="34">
        <f>G116*78</f>
        <v>4166.76</v>
      </c>
      <c r="U116" s="34">
        <f t="shared" si="50"/>
        <v>8333.52</v>
      </c>
      <c r="V116" s="155"/>
      <c r="W116" s="155"/>
      <c r="X116" s="155"/>
      <c r="Y116" s="155"/>
      <c r="Z116" s="155"/>
    </row>
    <row r="117" spans="1:26" s="127" customFormat="1" ht="25.5">
      <c r="A117" s="131" t="s">
        <v>179</v>
      </c>
      <c r="B117" s="129" t="s">
        <v>127</v>
      </c>
      <c r="C117" s="131" t="s">
        <v>57</v>
      </c>
      <c r="D117" s="128"/>
      <c r="E117" s="136"/>
      <c r="F117" s="136">
        <v>2</v>
      </c>
      <c r="G117" s="136">
        <v>189.88</v>
      </c>
      <c r="H117" s="118">
        <f t="shared" si="53"/>
        <v>0.37975999999999999</v>
      </c>
      <c r="I117" s="34">
        <v>0</v>
      </c>
      <c r="J117" s="34">
        <v>0</v>
      </c>
      <c r="K117" s="34">
        <v>0</v>
      </c>
      <c r="L117" s="34">
        <v>0</v>
      </c>
      <c r="M117" s="34">
        <f>G117*2</f>
        <v>379.76</v>
      </c>
      <c r="N117" s="34">
        <f>G117</f>
        <v>189.88</v>
      </c>
      <c r="O117" s="34">
        <f>G117</f>
        <v>189.88</v>
      </c>
      <c r="P117" s="34">
        <v>0</v>
      </c>
      <c r="Q117" s="34">
        <f>G117</f>
        <v>189.88</v>
      </c>
      <c r="R117" s="34">
        <f>G117*8</f>
        <v>1519.04</v>
      </c>
      <c r="S117" s="34">
        <f>G117*2</f>
        <v>379.76</v>
      </c>
      <c r="T117" s="34">
        <v>0</v>
      </c>
      <c r="U117" s="34">
        <f t="shared" si="50"/>
        <v>379.76</v>
      </c>
      <c r="V117" s="155"/>
      <c r="W117" s="155"/>
      <c r="X117" s="155"/>
      <c r="Y117" s="155"/>
      <c r="Z117" s="155"/>
    </row>
    <row r="118" spans="1:26" ht="12.75" customHeight="1">
      <c r="A118" s="131" t="s">
        <v>104</v>
      </c>
      <c r="B118" s="138" t="s">
        <v>248</v>
      </c>
      <c r="C118" s="114" t="s">
        <v>35</v>
      </c>
      <c r="D118" s="21"/>
      <c r="E118" s="50"/>
      <c r="F118" s="50">
        <v>2</v>
      </c>
      <c r="G118" s="50">
        <v>1725</v>
      </c>
      <c r="H118" s="171">
        <f t="shared" si="53"/>
        <v>3.45</v>
      </c>
      <c r="I118" s="34"/>
      <c r="J118" s="34"/>
      <c r="K118" s="34"/>
      <c r="L118" s="34"/>
      <c r="M118" s="34"/>
      <c r="N118" s="34"/>
      <c r="O118" s="34"/>
      <c r="P118" s="34"/>
      <c r="Q118" s="34"/>
      <c r="R118" s="34">
        <v>0</v>
      </c>
      <c r="S118" s="34">
        <f>G118*2</f>
        <v>3450</v>
      </c>
      <c r="T118" s="34">
        <v>0</v>
      </c>
      <c r="U118" s="34">
        <f t="shared" si="50"/>
        <v>3450</v>
      </c>
    </row>
    <row r="119" spans="1:26" ht="25.5" customHeight="1">
      <c r="A119" s="114" t="s">
        <v>249</v>
      </c>
      <c r="B119" s="163" t="s">
        <v>250</v>
      </c>
      <c r="C119" s="114" t="s">
        <v>21</v>
      </c>
      <c r="D119" s="10"/>
      <c r="E119" s="63"/>
      <c r="F119" s="50">
        <f>4.1/100</f>
        <v>4.0999999999999995E-2</v>
      </c>
      <c r="G119" s="50">
        <v>72270.649999999994</v>
      </c>
      <c r="H119" s="118">
        <f t="shared" si="53"/>
        <v>2.9630966499999993</v>
      </c>
      <c r="I119" s="159">
        <v>0</v>
      </c>
      <c r="J119" s="159">
        <v>0</v>
      </c>
      <c r="K119" s="159">
        <v>0</v>
      </c>
      <c r="L119" s="159">
        <v>0</v>
      </c>
      <c r="M119" s="159">
        <v>0</v>
      </c>
      <c r="N119" s="159">
        <v>0</v>
      </c>
      <c r="O119" s="159">
        <v>0</v>
      </c>
      <c r="P119" s="159">
        <v>0</v>
      </c>
      <c r="Q119" s="159">
        <v>0</v>
      </c>
      <c r="R119" s="159">
        <v>0</v>
      </c>
      <c r="S119" s="159">
        <f>G119*0.041</f>
        <v>2963.09665</v>
      </c>
      <c r="T119" s="159">
        <v>0</v>
      </c>
      <c r="U119" s="34">
        <f t="shared" si="50"/>
        <v>2963.09665</v>
      </c>
    </row>
    <row r="120" spans="1:26" ht="25.5" customHeight="1">
      <c r="A120" s="114" t="s">
        <v>252</v>
      </c>
      <c r="B120" s="138" t="s">
        <v>253</v>
      </c>
      <c r="C120" s="114" t="s">
        <v>251</v>
      </c>
      <c r="D120" s="10"/>
      <c r="E120" s="63"/>
      <c r="F120" s="50">
        <f>(2.1+1.3+1.6+1.8+2.1+1.5+1+1.5)/100</f>
        <v>0.129</v>
      </c>
      <c r="G120" s="50">
        <v>63043.19</v>
      </c>
      <c r="H120" s="118">
        <f t="shared" si="53"/>
        <v>8.13257151</v>
      </c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>
        <f>G120*F120</f>
        <v>8132.5715100000007</v>
      </c>
      <c r="T120" s="159">
        <v>0</v>
      </c>
      <c r="U120" s="34">
        <f t="shared" si="50"/>
        <v>8132.5715100000007</v>
      </c>
    </row>
    <row r="121" spans="1:26" ht="12.75" customHeight="1">
      <c r="A121" s="157" t="s">
        <v>254</v>
      </c>
      <c r="B121" s="163" t="s">
        <v>255</v>
      </c>
      <c r="C121" s="114" t="s">
        <v>84</v>
      </c>
      <c r="D121" s="10"/>
      <c r="E121" s="63"/>
      <c r="F121" s="50">
        <f>(9.93+7.7+5.6+8.8+2.94)/100</f>
        <v>0.34970000000000001</v>
      </c>
      <c r="G121" s="50">
        <v>72270.649999999994</v>
      </c>
      <c r="H121" s="118">
        <f t="shared" si="53"/>
        <v>25.273046305000001</v>
      </c>
      <c r="I121" s="159">
        <v>0</v>
      </c>
      <c r="J121" s="159">
        <v>0</v>
      </c>
      <c r="K121" s="159">
        <v>0</v>
      </c>
      <c r="L121" s="159">
        <v>0</v>
      </c>
      <c r="M121" s="159">
        <v>0</v>
      </c>
      <c r="N121" s="159">
        <v>0</v>
      </c>
      <c r="O121" s="159">
        <v>0</v>
      </c>
      <c r="P121" s="159">
        <v>0</v>
      </c>
      <c r="Q121" s="159">
        <v>0</v>
      </c>
      <c r="R121" s="159">
        <v>0</v>
      </c>
      <c r="S121" s="159">
        <f>G121*F121</f>
        <v>25273.046305</v>
      </c>
      <c r="T121" s="159">
        <v>0</v>
      </c>
      <c r="U121" s="34">
        <f t="shared" si="50"/>
        <v>25273.046305</v>
      </c>
    </row>
    <row r="122" spans="1:26">
      <c r="A122" s="152" t="s">
        <v>187</v>
      </c>
      <c r="B122" s="153" t="s">
        <v>188</v>
      </c>
      <c r="C122" s="152" t="s">
        <v>139</v>
      </c>
      <c r="D122" s="21"/>
      <c r="E122" s="50"/>
      <c r="F122" s="50">
        <f>7/3</f>
        <v>2.3333333333333335</v>
      </c>
      <c r="G122" s="50">
        <v>1120.8900000000001</v>
      </c>
      <c r="H122" s="118">
        <f t="shared" si="53"/>
        <v>2.6154100000000002</v>
      </c>
      <c r="I122" s="34">
        <f>G122</f>
        <v>1120.8900000000001</v>
      </c>
      <c r="J122" s="34">
        <v>0</v>
      </c>
      <c r="K122" s="34">
        <v>0</v>
      </c>
      <c r="L122" s="34">
        <v>0</v>
      </c>
      <c r="M122" s="34">
        <v>0</v>
      </c>
      <c r="N122" s="34">
        <v>0</v>
      </c>
      <c r="O122" s="34">
        <v>0</v>
      </c>
      <c r="P122" s="34">
        <v>0</v>
      </c>
      <c r="Q122" s="34">
        <v>0</v>
      </c>
      <c r="R122" s="34">
        <v>0</v>
      </c>
      <c r="S122" s="34">
        <v>0</v>
      </c>
      <c r="T122" s="34">
        <f>G122*(7/3)</f>
        <v>2615.4100000000003</v>
      </c>
      <c r="U122" s="34">
        <f t="shared" si="50"/>
        <v>2615.4100000000003</v>
      </c>
    </row>
    <row r="123" spans="1:26" s="127" customFormat="1" ht="25.5">
      <c r="A123" s="132" t="s">
        <v>104</v>
      </c>
      <c r="B123" s="133" t="s">
        <v>105</v>
      </c>
      <c r="C123" s="130" t="s">
        <v>30</v>
      </c>
      <c r="D123" s="134"/>
      <c r="E123" s="135"/>
      <c r="F123" s="135">
        <v>1</v>
      </c>
      <c r="G123" s="135">
        <v>403.69</v>
      </c>
      <c r="H123" s="118">
        <f t="shared" si="53"/>
        <v>0.40368999999999999</v>
      </c>
      <c r="I123" s="34">
        <f>G123</f>
        <v>403.69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  <c r="Q123" s="34">
        <v>0</v>
      </c>
      <c r="R123" s="34">
        <v>0</v>
      </c>
      <c r="S123" s="34">
        <v>0</v>
      </c>
      <c r="T123" s="34">
        <f>G123</f>
        <v>403.69</v>
      </c>
      <c r="U123" s="34">
        <f t="shared" si="50"/>
        <v>403.69</v>
      </c>
      <c r="V123" s="155"/>
      <c r="W123" s="155"/>
      <c r="X123" s="155"/>
      <c r="Y123" s="155"/>
      <c r="Z123" s="155"/>
    </row>
    <row r="124" spans="1:26" s="127" customFormat="1" ht="25.5">
      <c r="A124" s="130" t="s">
        <v>177</v>
      </c>
      <c r="B124" s="129" t="s">
        <v>103</v>
      </c>
      <c r="C124" s="130" t="s">
        <v>30</v>
      </c>
      <c r="D124" s="134"/>
      <c r="E124" s="135"/>
      <c r="F124" s="135">
        <v>1</v>
      </c>
      <c r="G124" s="135">
        <v>83.36</v>
      </c>
      <c r="H124" s="118">
        <f t="shared" si="53"/>
        <v>8.3360000000000004E-2</v>
      </c>
      <c r="I124" s="34">
        <v>0</v>
      </c>
      <c r="J124" s="34">
        <v>0</v>
      </c>
      <c r="K124" s="34">
        <v>0</v>
      </c>
      <c r="L124" s="34">
        <f>G124*3</f>
        <v>250.07999999999998</v>
      </c>
      <c r="M124" s="34">
        <v>0</v>
      </c>
      <c r="N124" s="34">
        <v>0</v>
      </c>
      <c r="O124" s="34">
        <v>0</v>
      </c>
      <c r="P124" s="34">
        <v>0</v>
      </c>
      <c r="Q124" s="34">
        <f>G124*5</f>
        <v>416.8</v>
      </c>
      <c r="R124" s="34">
        <v>0</v>
      </c>
      <c r="S124" s="34">
        <v>0</v>
      </c>
      <c r="T124" s="34">
        <f>G124</f>
        <v>83.36</v>
      </c>
      <c r="U124" s="34">
        <f t="shared" si="50"/>
        <v>83.36</v>
      </c>
      <c r="V124" s="155"/>
      <c r="W124" s="155"/>
      <c r="X124" s="155"/>
      <c r="Y124" s="155"/>
      <c r="Z124" s="155"/>
    </row>
    <row r="125" spans="1:26" ht="25.5">
      <c r="A125" s="156" t="s">
        <v>256</v>
      </c>
      <c r="B125" s="129" t="s">
        <v>257</v>
      </c>
      <c r="C125" s="131" t="s">
        <v>258</v>
      </c>
      <c r="D125" s="21"/>
      <c r="E125" s="50"/>
      <c r="F125" s="50">
        <f>(0.42*2)</f>
        <v>0.84</v>
      </c>
      <c r="G125" s="50">
        <v>3300.56</v>
      </c>
      <c r="H125" s="118">
        <f t="shared" si="53"/>
        <v>2.7724703999999996</v>
      </c>
      <c r="I125" s="34">
        <v>0</v>
      </c>
      <c r="J125" s="34">
        <v>0</v>
      </c>
      <c r="K125" s="34">
        <v>0</v>
      </c>
      <c r="L125" s="34">
        <v>0</v>
      </c>
      <c r="M125" s="34">
        <v>0</v>
      </c>
      <c r="N125" s="34">
        <v>0</v>
      </c>
      <c r="O125" s="34">
        <v>0</v>
      </c>
      <c r="P125" s="34">
        <v>0</v>
      </c>
      <c r="Q125" s="34">
        <v>0</v>
      </c>
      <c r="R125" s="34">
        <v>0</v>
      </c>
      <c r="S125" s="34">
        <v>0</v>
      </c>
      <c r="T125" s="34">
        <f>G125*F125</f>
        <v>2772.4703999999997</v>
      </c>
      <c r="U125" s="34">
        <f t="shared" si="50"/>
        <v>2772.4703999999997</v>
      </c>
    </row>
    <row r="126" spans="1:26" ht="38.25">
      <c r="A126" s="157" t="s">
        <v>259</v>
      </c>
      <c r="B126" s="138" t="s">
        <v>260</v>
      </c>
      <c r="C126" s="114" t="s">
        <v>261</v>
      </c>
      <c r="D126" s="10"/>
      <c r="E126" s="63"/>
      <c r="F126" s="50">
        <f>0.8/10</f>
        <v>0.08</v>
      </c>
      <c r="G126" s="50">
        <v>10276.98</v>
      </c>
      <c r="H126" s="118">
        <f t="shared" si="53"/>
        <v>0.82215840000000007</v>
      </c>
      <c r="I126" s="159">
        <v>0</v>
      </c>
      <c r="J126" s="159">
        <v>0</v>
      </c>
      <c r="K126" s="159">
        <v>0</v>
      </c>
      <c r="L126" s="159">
        <v>0</v>
      </c>
      <c r="M126" s="159">
        <v>0</v>
      </c>
      <c r="N126" s="159">
        <v>0</v>
      </c>
      <c r="O126" s="159">
        <v>0</v>
      </c>
      <c r="P126" s="159">
        <v>0</v>
      </c>
      <c r="Q126" s="159">
        <v>0</v>
      </c>
      <c r="R126" s="34">
        <v>0</v>
      </c>
      <c r="S126" s="34">
        <v>0</v>
      </c>
      <c r="T126" s="159">
        <f>G126*F126</f>
        <v>822.15840000000003</v>
      </c>
      <c r="U126" s="34">
        <f t="shared" si="50"/>
        <v>822.15840000000003</v>
      </c>
    </row>
    <row r="127" spans="1:26">
      <c r="A127" s="131" t="s">
        <v>104</v>
      </c>
      <c r="B127" s="129" t="s">
        <v>269</v>
      </c>
      <c r="C127" s="131" t="s">
        <v>33</v>
      </c>
      <c r="D127" s="10"/>
      <c r="E127" s="63"/>
      <c r="F127" s="50">
        <f>(37.53+8.88+12.34+129.04+70.96)-(12.11*6)</f>
        <v>186.09</v>
      </c>
      <c r="G127" s="50">
        <v>42.61</v>
      </c>
      <c r="H127" s="50">
        <f t="shared" si="53"/>
        <v>7.9292948999999995</v>
      </c>
      <c r="I127" s="159"/>
      <c r="J127" s="159"/>
      <c r="K127" s="159"/>
      <c r="L127" s="159"/>
      <c r="M127" s="159"/>
      <c r="N127" s="159"/>
      <c r="O127" s="159"/>
      <c r="P127" s="159"/>
      <c r="Q127" s="159"/>
      <c r="R127" s="34"/>
      <c r="S127" s="34">
        <v>0</v>
      </c>
      <c r="T127" s="159">
        <f>G127*F127</f>
        <v>7929.2948999999999</v>
      </c>
      <c r="U127" s="34">
        <f t="shared" si="50"/>
        <v>7929.2948999999999</v>
      </c>
    </row>
    <row r="128" spans="1:26">
      <c r="A128" s="131" t="s">
        <v>104</v>
      </c>
      <c r="B128" s="129" t="s">
        <v>268</v>
      </c>
      <c r="C128" s="131" t="s">
        <v>33</v>
      </c>
      <c r="D128" s="10"/>
      <c r="E128" s="63"/>
      <c r="F128" s="50">
        <f>(33.11+32.99+65.35+0.63)-(12.11*6)</f>
        <v>59.419999999999987</v>
      </c>
      <c r="G128" s="50">
        <v>44.31</v>
      </c>
      <c r="H128" s="50">
        <f t="shared" si="53"/>
        <v>2.6329001999999995</v>
      </c>
      <c r="I128" s="159">
        <v>0</v>
      </c>
      <c r="J128" s="159">
        <v>0</v>
      </c>
      <c r="K128" s="159">
        <v>0</v>
      </c>
      <c r="L128" s="159">
        <v>0</v>
      </c>
      <c r="M128" s="159">
        <v>0</v>
      </c>
      <c r="N128" s="159">
        <v>0</v>
      </c>
      <c r="O128" s="34">
        <v>0</v>
      </c>
      <c r="P128" s="34">
        <v>0</v>
      </c>
      <c r="Q128" s="34">
        <v>0</v>
      </c>
      <c r="R128" s="34">
        <v>0</v>
      </c>
      <c r="S128" s="34">
        <v>0</v>
      </c>
      <c r="T128" s="34">
        <f>G128*F128</f>
        <v>2632.9001999999996</v>
      </c>
      <c r="U128" s="34">
        <f t="shared" si="50"/>
        <v>2632.9001999999996</v>
      </c>
      <c r="V128"/>
      <c r="W128"/>
      <c r="X128"/>
      <c r="Y128"/>
      <c r="Z128"/>
    </row>
    <row r="129" spans="1:26" s="22" customFormat="1">
      <c r="A129" s="93"/>
      <c r="B129" s="94" t="s">
        <v>92</v>
      </c>
      <c r="C129" s="93"/>
      <c r="D129" s="93"/>
      <c r="E129" s="89"/>
      <c r="F129" s="89"/>
      <c r="G129" s="89"/>
      <c r="H129" s="42">
        <f>SUM(H93:H128)</f>
        <v>97.365522264999996</v>
      </c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41">
        <f>SUM(U93:U128)</f>
        <v>97365.522265000007</v>
      </c>
      <c r="V129" s="155"/>
      <c r="W129" s="155"/>
      <c r="X129" s="155"/>
      <c r="Y129" s="155"/>
      <c r="Z129" s="155"/>
    </row>
    <row r="130" spans="1:26">
      <c r="A130" s="95"/>
      <c r="B130" s="96"/>
      <c r="C130" s="95"/>
      <c r="D130" s="95"/>
      <c r="E130" s="50"/>
      <c r="F130" s="50"/>
      <c r="G130" s="50"/>
      <c r="H130" s="97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124"/>
    </row>
    <row r="131" spans="1:26" ht="12" customHeight="1">
      <c r="A131" s="84"/>
      <c r="B131" s="20" t="s">
        <v>93</v>
      </c>
      <c r="C131" s="62"/>
      <c r="D131" s="21"/>
      <c r="E131" s="50"/>
      <c r="F131" s="50"/>
      <c r="G131" s="50"/>
      <c r="H131" s="98">
        <f>H129/E132/12*1000</f>
        <v>1.8461838772402863</v>
      </c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124"/>
    </row>
    <row r="132" spans="1:26" s="22" customFormat="1">
      <c r="A132" s="99"/>
      <c r="B132" s="100" t="s">
        <v>94</v>
      </c>
      <c r="C132" s="101"/>
      <c r="D132" s="100"/>
      <c r="E132" s="151">
        <v>4394.8999999999996</v>
      </c>
      <c r="F132" s="102">
        <f>SUM(E132*12)</f>
        <v>52738.799999999996</v>
      </c>
      <c r="G132" s="103">
        <f>H91+H131</f>
        <v>27.334759185682394</v>
      </c>
      <c r="H132" s="104">
        <f>SUM(F132*G132/1000)</f>
        <v>1441.6023977418665</v>
      </c>
      <c r="I132" s="89">
        <f t="shared" ref="I132:T132" si="54">SUM(I11:I131)</f>
        <v>124474.69128033334</v>
      </c>
      <c r="J132" s="89">
        <f t="shared" si="54"/>
        <v>111949.86128033331</v>
      </c>
      <c r="K132" s="89">
        <f t="shared" si="54"/>
        <v>109299.9432993333</v>
      </c>
      <c r="L132" s="89">
        <f t="shared" si="54"/>
        <v>103241.80669933332</v>
      </c>
      <c r="M132" s="89">
        <f t="shared" si="54"/>
        <v>245054.82630971109</v>
      </c>
      <c r="N132" s="89">
        <f t="shared" si="54"/>
        <v>108448.37153711112</v>
      </c>
      <c r="O132" s="89">
        <f t="shared" si="54"/>
        <v>83933.761537111102</v>
      </c>
      <c r="P132" s="89">
        <f t="shared" si="54"/>
        <v>82987.001537111093</v>
      </c>
      <c r="Q132" s="89">
        <f t="shared" si="54"/>
        <v>141429.32643971112</v>
      </c>
      <c r="R132" s="89">
        <f t="shared" si="54"/>
        <v>105883.95437711112</v>
      </c>
      <c r="S132" s="89">
        <f t="shared" si="54"/>
        <v>172032.95192699999</v>
      </c>
      <c r="T132" s="89">
        <f t="shared" si="54"/>
        <v>127542.79289099999</v>
      </c>
      <c r="U132" s="41">
        <f>U89+U129</f>
        <v>299575.74481800001</v>
      </c>
      <c r="V132" s="155"/>
      <c r="W132" s="155"/>
      <c r="X132" s="155"/>
      <c r="Y132" s="155"/>
      <c r="Z132" s="155"/>
    </row>
    <row r="133" spans="1:26">
      <c r="A133" s="106"/>
      <c r="B133" s="106"/>
      <c r="C133" s="106"/>
      <c r="D133" s="106"/>
      <c r="E133" s="105"/>
      <c r="F133" s="105"/>
      <c r="G133" s="105"/>
      <c r="H133" s="105"/>
      <c r="I133" s="105"/>
      <c r="J133" s="105"/>
      <c r="K133" s="105"/>
      <c r="L133" s="105"/>
      <c r="M133" s="106"/>
      <c r="N133" s="105"/>
      <c r="O133" s="106"/>
      <c r="P133" s="106"/>
      <c r="Q133" s="106"/>
      <c r="R133" s="106"/>
      <c r="S133" s="106"/>
      <c r="T133" s="106"/>
      <c r="U133" s="106"/>
    </row>
    <row r="134" spans="1:26">
      <c r="A134" s="106"/>
      <c r="B134" s="106"/>
      <c r="C134" s="106"/>
      <c r="D134" s="106"/>
      <c r="E134" s="105"/>
      <c r="F134" s="105"/>
      <c r="G134" s="105"/>
      <c r="H134" s="105"/>
      <c r="I134" s="105"/>
      <c r="J134" s="107"/>
      <c r="K134" s="108"/>
      <c r="L134" s="107"/>
      <c r="M134" s="105"/>
      <c r="N134" s="106"/>
      <c r="O134" s="106"/>
      <c r="P134" s="106"/>
      <c r="Q134" s="106"/>
      <c r="R134" s="106"/>
      <c r="S134" s="106"/>
      <c r="T134" s="106"/>
      <c r="U134" s="106"/>
    </row>
    <row r="135" spans="1:26" ht="45">
      <c r="A135" s="106"/>
      <c r="B135" s="113" t="s">
        <v>185</v>
      </c>
      <c r="C135" s="173">
        <v>770757.57</v>
      </c>
      <c r="D135" s="174"/>
      <c r="E135" s="174"/>
      <c r="F135" s="175"/>
      <c r="G135" s="105"/>
      <c r="H135" s="105"/>
      <c r="I135" s="105"/>
      <c r="J135" s="107"/>
      <c r="K135" s="108"/>
      <c r="L135" s="107"/>
      <c r="M135" s="105"/>
      <c r="N135" s="106"/>
      <c r="O135" s="106"/>
      <c r="P135" s="106"/>
      <c r="Q135" s="106"/>
      <c r="R135" s="106"/>
      <c r="S135" s="106"/>
      <c r="T135" s="106"/>
      <c r="U135" s="106"/>
    </row>
    <row r="136" spans="1:26" ht="30">
      <c r="A136" s="106"/>
      <c r="B136" s="113" t="s">
        <v>262</v>
      </c>
      <c r="C136" s="173">
        <f>(96652.7*10)+(131639.43*2)</f>
        <v>1229805.8599999999</v>
      </c>
      <c r="D136" s="174"/>
      <c r="E136" s="174"/>
      <c r="F136" s="175"/>
      <c r="G136" s="105"/>
      <c r="H136" s="105"/>
      <c r="I136" s="105"/>
      <c r="J136" s="107"/>
      <c r="K136" s="108"/>
      <c r="L136" s="107"/>
      <c r="M136" s="105"/>
      <c r="N136" s="106"/>
      <c r="O136" s="106"/>
      <c r="P136" s="106"/>
      <c r="Q136" s="106"/>
      <c r="R136" s="106"/>
      <c r="S136" s="106"/>
      <c r="T136" s="106"/>
      <c r="U136" s="106"/>
    </row>
    <row r="137" spans="1:26" ht="30" customHeight="1">
      <c r="A137" s="106"/>
      <c r="B137" s="113" t="s">
        <v>265</v>
      </c>
      <c r="C137" s="173">
        <f>SUM(U132-U129)+892234.52</f>
        <v>1094444.7425530001</v>
      </c>
      <c r="D137" s="174"/>
      <c r="E137" s="174"/>
      <c r="F137" s="175"/>
      <c r="G137" s="105"/>
      <c r="H137" s="105"/>
      <c r="I137" s="105"/>
      <c r="J137" s="107"/>
      <c r="K137" s="108"/>
      <c r="L137" s="107"/>
      <c r="M137" s="105"/>
      <c r="N137" s="106"/>
      <c r="O137" s="106"/>
      <c r="P137" s="106"/>
      <c r="Q137" s="106"/>
      <c r="R137" s="106"/>
      <c r="S137" s="106"/>
      <c r="T137" s="106"/>
      <c r="U137" s="106"/>
    </row>
    <row r="138" spans="1:26" ht="30" customHeight="1">
      <c r="A138" s="106"/>
      <c r="B138" s="113" t="s">
        <v>266</v>
      </c>
      <c r="C138" s="173">
        <f>SUM(U129)+150711.22</f>
        <v>248076.74226500001</v>
      </c>
      <c r="D138" s="174"/>
      <c r="E138" s="174"/>
      <c r="F138" s="175"/>
      <c r="G138" s="105"/>
      <c r="H138" s="105"/>
      <c r="I138" s="105"/>
      <c r="J138" s="107"/>
      <c r="K138" s="108"/>
      <c r="L138" s="107"/>
      <c r="M138" s="105"/>
      <c r="N138" s="106"/>
      <c r="O138" s="106"/>
      <c r="P138" s="106"/>
      <c r="Q138" s="106"/>
      <c r="R138" s="106"/>
      <c r="S138" s="106"/>
      <c r="T138" s="106"/>
      <c r="U138" s="106"/>
    </row>
    <row r="139" spans="1:26" ht="18" customHeight="1">
      <c r="A139" s="106"/>
      <c r="B139" s="117" t="s">
        <v>267</v>
      </c>
      <c r="C139" s="173">
        <f>(97879.25+80685.71+138700.65+76389.42+95269.34+75466.47+102758.35+78167.61+109549.24+93567.29)+93918.17+115386.02</f>
        <v>1157737.52</v>
      </c>
      <c r="D139" s="174"/>
      <c r="E139" s="174"/>
      <c r="F139" s="175"/>
      <c r="G139" s="106"/>
      <c r="H139" s="109" t="s">
        <v>106</v>
      </c>
      <c r="J139" s="110"/>
      <c r="K139" s="111"/>
      <c r="L139" s="112"/>
      <c r="M139" s="109"/>
      <c r="N139" s="109"/>
      <c r="O139" s="106"/>
      <c r="P139" s="106"/>
      <c r="Q139" s="106"/>
      <c r="R139" s="106"/>
      <c r="S139" s="106"/>
      <c r="T139" s="106"/>
      <c r="U139" s="106"/>
    </row>
    <row r="140" spans="1:26" ht="78.75">
      <c r="A140" s="106"/>
      <c r="B140" s="137" t="s">
        <v>263</v>
      </c>
      <c r="C140" s="179">
        <v>258926.83</v>
      </c>
      <c r="D140" s="180"/>
      <c r="E140" s="180"/>
      <c r="F140" s="181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</row>
    <row r="141" spans="1:26" ht="45">
      <c r="A141" s="106"/>
      <c r="B141" s="113" t="s">
        <v>264</v>
      </c>
      <c r="C141" s="176">
        <f>SUM(C137+C138-C136)+C135</f>
        <v>883473.19481800019</v>
      </c>
      <c r="D141" s="177"/>
      <c r="E141" s="177"/>
      <c r="F141" s="178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</row>
    <row r="143" spans="1:26">
      <c r="J143" s="5"/>
      <c r="K143" s="6"/>
      <c r="L143" s="6"/>
      <c r="M143" s="4"/>
    </row>
    <row r="144" spans="1:26">
      <c r="G144" s="7"/>
      <c r="H144" s="7"/>
    </row>
    <row r="145" spans="7:7">
      <c r="G145" s="8"/>
    </row>
  </sheetData>
  <mergeCells count="12">
    <mergeCell ref="W87:Z87"/>
    <mergeCell ref="B3:L3"/>
    <mergeCell ref="B4:L4"/>
    <mergeCell ref="B5:L5"/>
    <mergeCell ref="B6:L6"/>
    <mergeCell ref="C135:F135"/>
    <mergeCell ref="C141:F141"/>
    <mergeCell ref="C136:F136"/>
    <mergeCell ref="C137:F137"/>
    <mergeCell ref="C138:F138"/>
    <mergeCell ref="C139:F139"/>
    <mergeCell ref="C140:F140"/>
  </mergeCells>
  <pageMargins left="0.51181102362204722" right="0.31496062992125984" top="0.15748031496062992" bottom="0.19685039370078741" header="0.15748031496062992" footer="0.15748031496062992"/>
  <pageSetup paperSize="9" scale="5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Сов.,16</vt:lpstr>
      <vt:lpstr>'Сов.,16'!Область_печати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2018-09-04T06:28:06Z</cp:lastPrinted>
  <dcterms:created xsi:type="dcterms:W3CDTF">2014-02-05T12:20:20Z</dcterms:created>
  <dcterms:modified xsi:type="dcterms:W3CDTF">2018-09-04T06:28:35Z</dcterms:modified>
</cp:coreProperties>
</file>