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890" yWindow="390" windowWidth="15480" windowHeight="7830"/>
  </bookViews>
  <sheets>
    <sheet name="Нефт.,8" sheetId="1" r:id="rId1"/>
  </sheets>
  <definedNames>
    <definedName name="_xlnm.Print_Area" localSheetId="0">'Нефт.,8'!$A$1:$U$140</definedName>
  </definedNames>
  <calcPr calcId="124519"/>
</workbook>
</file>

<file path=xl/calcChain.xml><?xml version="1.0" encoding="utf-8"?>
<calcChain xmlns="http://schemas.openxmlformats.org/spreadsheetml/2006/main">
  <c r="L40" i="1"/>
  <c r="K40"/>
  <c r="F40"/>
  <c r="S62"/>
  <c r="C138"/>
  <c r="C135"/>
  <c r="R123"/>
  <c r="G123"/>
  <c r="H123" s="1"/>
  <c r="U123" l="1"/>
  <c r="H92" l="1"/>
  <c r="H95"/>
  <c r="H96"/>
  <c r="H97"/>
  <c r="H98"/>
  <c r="H99"/>
  <c r="H100"/>
  <c r="H101"/>
  <c r="H102"/>
  <c r="H103"/>
  <c r="H104"/>
  <c r="H105"/>
  <c r="H106"/>
  <c r="H107"/>
  <c r="T127"/>
  <c r="U127" s="1"/>
  <c r="H127"/>
  <c r="T118"/>
  <c r="S126"/>
  <c r="U126" s="1"/>
  <c r="H126"/>
  <c r="R121"/>
  <c r="T111"/>
  <c r="T94"/>
  <c r="T71"/>
  <c r="U125"/>
  <c r="S125"/>
  <c r="H125"/>
  <c r="S111"/>
  <c r="S94"/>
  <c r="R122"/>
  <c r="U122" s="1"/>
  <c r="H122"/>
  <c r="U121"/>
  <c r="H121"/>
  <c r="T62" l="1"/>
  <c r="T88"/>
  <c r="F88"/>
  <c r="S124"/>
  <c r="U124" s="1"/>
  <c r="S88"/>
  <c r="R62"/>
  <c r="S99"/>
  <c r="R99"/>
  <c r="R89"/>
  <c r="R120"/>
  <c r="R98"/>
  <c r="U120"/>
  <c r="U57"/>
  <c r="U60"/>
  <c r="U63"/>
  <c r="U75"/>
  <c r="U30"/>
  <c r="U31"/>
  <c r="P114"/>
  <c r="U114" s="1"/>
  <c r="H114"/>
  <c r="P105"/>
  <c r="P103"/>
  <c r="P113"/>
  <c r="U113" s="1"/>
  <c r="H113"/>
  <c r="P101"/>
  <c r="Q62"/>
  <c r="P62"/>
  <c r="O88"/>
  <c r="Q94"/>
  <c r="Q111"/>
  <c r="Q73"/>
  <c r="U73" s="1"/>
  <c r="Q99"/>
  <c r="Q92"/>
  <c r="Q119"/>
  <c r="U119" s="1"/>
  <c r="H119"/>
  <c r="P118"/>
  <c r="U118" s="1"/>
  <c r="H118"/>
  <c r="I89"/>
  <c r="I88"/>
  <c r="P116"/>
  <c r="U116" s="1"/>
  <c r="F116"/>
  <c r="H116" s="1"/>
  <c r="P117"/>
  <c r="U117" s="1"/>
  <c r="H117"/>
  <c r="P71"/>
  <c r="P115"/>
  <c r="U115" s="1"/>
  <c r="P90"/>
  <c r="H112"/>
  <c r="H115"/>
  <c r="P98"/>
  <c r="N111" l="1"/>
  <c r="O62"/>
  <c r="O107"/>
  <c r="O90"/>
  <c r="N90"/>
  <c r="N99"/>
  <c r="N88"/>
  <c r="N62"/>
  <c r="R52"/>
  <c r="N52"/>
  <c r="I52"/>
  <c r="M112"/>
  <c r="U112" s="1"/>
  <c r="M110"/>
  <c r="U110" s="1"/>
  <c r="H110"/>
  <c r="M111"/>
  <c r="U111" s="1"/>
  <c r="M90"/>
  <c r="L108"/>
  <c r="K90"/>
  <c r="K108"/>
  <c r="U108" s="1"/>
  <c r="K94"/>
  <c r="M109"/>
  <c r="U109" s="1"/>
  <c r="H109"/>
  <c r="M88"/>
  <c r="M89"/>
  <c r="U89" s="1"/>
  <c r="L88"/>
  <c r="L92"/>
  <c r="L62"/>
  <c r="K88"/>
  <c r="K92"/>
  <c r="K107"/>
  <c r="U107" s="1"/>
  <c r="K106"/>
  <c r="U106" s="1"/>
  <c r="K102"/>
  <c r="U102" s="1"/>
  <c r="U52" l="1"/>
  <c r="K105"/>
  <c r="U105" s="1"/>
  <c r="K104"/>
  <c r="U104" s="1"/>
  <c r="K103"/>
  <c r="U103" s="1"/>
  <c r="K101"/>
  <c r="U101" s="1"/>
  <c r="K62" l="1"/>
  <c r="K100"/>
  <c r="U100" s="1"/>
  <c r="K96"/>
  <c r="U96" s="1"/>
  <c r="K97"/>
  <c r="U97" s="1"/>
  <c r="K99"/>
  <c r="U99" s="1"/>
  <c r="K98"/>
  <c r="U98" s="1"/>
  <c r="J95" l="1"/>
  <c r="U95" s="1"/>
  <c r="J72"/>
  <c r="U72" s="1"/>
  <c r="J94"/>
  <c r="U94" s="1"/>
  <c r="J71"/>
  <c r="J62"/>
  <c r="J93"/>
  <c r="U93" s="1"/>
  <c r="H93"/>
  <c r="J92"/>
  <c r="U92" s="1"/>
  <c r="J88"/>
  <c r="U88" s="1"/>
  <c r="J77"/>
  <c r="U77" s="1"/>
  <c r="I91" l="1"/>
  <c r="U91" s="1"/>
  <c r="F91"/>
  <c r="H91" s="1"/>
  <c r="I90"/>
  <c r="H90"/>
  <c r="I71"/>
  <c r="U71" s="1"/>
  <c r="I62"/>
  <c r="U62" s="1"/>
  <c r="U90" l="1"/>
  <c r="U128" s="1"/>
  <c r="H94" l="1"/>
  <c r="T41"/>
  <c r="T35"/>
  <c r="S35"/>
  <c r="Q69" l="1"/>
  <c r="U69" s="1"/>
  <c r="R51"/>
  <c r="S41"/>
  <c r="L35"/>
  <c r="Q27" l="1"/>
  <c r="R27"/>
  <c r="Q28"/>
  <c r="R28"/>
  <c r="H111"/>
  <c r="H88" l="1"/>
  <c r="P27"/>
  <c r="P28"/>
  <c r="H72"/>
  <c r="O27" l="1"/>
  <c r="O28"/>
  <c r="H89" l="1"/>
  <c r="N27" l="1"/>
  <c r="N28"/>
  <c r="L51" l="1"/>
  <c r="U51" s="1"/>
  <c r="M27"/>
  <c r="U27" s="1"/>
  <c r="M28"/>
  <c r="U28" s="1"/>
  <c r="H108"/>
  <c r="L41" l="1"/>
  <c r="K35"/>
  <c r="H120" l="1"/>
  <c r="K41" l="1"/>
  <c r="J35"/>
  <c r="H124" l="1"/>
  <c r="H128" s="1"/>
  <c r="H77" l="1"/>
  <c r="F59"/>
  <c r="I59" s="1"/>
  <c r="J41"/>
  <c r="I41"/>
  <c r="I35"/>
  <c r="U35" s="1"/>
  <c r="U41" l="1"/>
  <c r="T59"/>
  <c r="S59"/>
  <c r="Q59"/>
  <c r="R59"/>
  <c r="P59"/>
  <c r="O59"/>
  <c r="N59"/>
  <c r="L59"/>
  <c r="M59"/>
  <c r="K59"/>
  <c r="H59"/>
  <c r="J59"/>
  <c r="F56"/>
  <c r="U59" l="1"/>
  <c r="S56"/>
  <c r="T56"/>
  <c r="K56"/>
  <c r="L56"/>
  <c r="J56"/>
  <c r="I56"/>
  <c r="F39"/>
  <c r="F37"/>
  <c r="F36"/>
  <c r="U56" l="1"/>
  <c r="S39"/>
  <c r="T39"/>
  <c r="S37"/>
  <c r="T37"/>
  <c r="S36"/>
  <c r="T36"/>
  <c r="K37"/>
  <c r="L37"/>
  <c r="K36"/>
  <c r="L36"/>
  <c r="K39"/>
  <c r="L39"/>
  <c r="J37"/>
  <c r="I37"/>
  <c r="H36"/>
  <c r="J36"/>
  <c r="I36"/>
  <c r="J39"/>
  <c r="I39"/>
  <c r="H71"/>
  <c r="U37" l="1"/>
  <c r="U39"/>
  <c r="U36"/>
  <c r="F60"/>
  <c r="H60" s="1"/>
  <c r="H56" l="1"/>
  <c r="F55" l="1"/>
  <c r="H28"/>
  <c r="S55" l="1"/>
  <c r="T55"/>
  <c r="L55"/>
  <c r="K55"/>
  <c r="J55"/>
  <c r="I55"/>
  <c r="U55" s="1"/>
  <c r="F24"/>
  <c r="F21"/>
  <c r="M21" s="1"/>
  <c r="U21" s="1"/>
  <c r="F20"/>
  <c r="M20" s="1"/>
  <c r="U20" s="1"/>
  <c r="F19"/>
  <c r="M19" s="1"/>
  <c r="U19" s="1"/>
  <c r="F17"/>
  <c r="M17" s="1"/>
  <c r="U17" s="1"/>
  <c r="F16"/>
  <c r="M16" s="1"/>
  <c r="U16" s="1"/>
  <c r="F15"/>
  <c r="M15" s="1"/>
  <c r="U15" s="1"/>
  <c r="H57"/>
  <c r="Q24" l="1"/>
  <c r="R24"/>
  <c r="P24"/>
  <c r="O24"/>
  <c r="N24"/>
  <c r="M24"/>
  <c r="U24" s="1"/>
  <c r="F52"/>
  <c r="H20" l="1"/>
  <c r="H19"/>
  <c r="H55"/>
  <c r="H73" l="1"/>
  <c r="C137" l="1"/>
  <c r="H130"/>
  <c r="F131"/>
  <c r="E80"/>
  <c r="H84" s="1"/>
  <c r="F78"/>
  <c r="H75"/>
  <c r="F69"/>
  <c r="H69" s="1"/>
  <c r="F68"/>
  <c r="F67"/>
  <c r="F66"/>
  <c r="F65"/>
  <c r="F64"/>
  <c r="H63"/>
  <c r="H62"/>
  <c r="H52"/>
  <c r="H51"/>
  <c r="F50"/>
  <c r="F49"/>
  <c r="F48"/>
  <c r="F47"/>
  <c r="Q47" s="1"/>
  <c r="F46"/>
  <c r="Q46" s="1"/>
  <c r="F45"/>
  <c r="Q45" s="1"/>
  <c r="F44"/>
  <c r="H41"/>
  <c r="H39"/>
  <c r="F38"/>
  <c r="H37"/>
  <c r="H35"/>
  <c r="F32"/>
  <c r="T32" s="1"/>
  <c r="H31"/>
  <c r="H30"/>
  <c r="F29"/>
  <c r="F26"/>
  <c r="F25"/>
  <c r="H24"/>
  <c r="H21"/>
  <c r="F18"/>
  <c r="H17"/>
  <c r="F14"/>
  <c r="M14" s="1"/>
  <c r="U14" s="1"/>
  <c r="E13"/>
  <c r="F13" s="1"/>
  <c r="T13" s="1"/>
  <c r="F12"/>
  <c r="T12" s="1"/>
  <c r="F11"/>
  <c r="T11" l="1"/>
  <c r="S11"/>
  <c r="T29"/>
  <c r="S29"/>
  <c r="S38"/>
  <c r="T38"/>
  <c r="Q48"/>
  <c r="T48"/>
  <c r="T78"/>
  <c r="S78"/>
  <c r="Q11"/>
  <c r="R11"/>
  <c r="P11"/>
  <c r="O11"/>
  <c r="N11"/>
  <c r="N13"/>
  <c r="R13"/>
  <c r="Q13"/>
  <c r="S13"/>
  <c r="P13"/>
  <c r="O13"/>
  <c r="N25"/>
  <c r="R25"/>
  <c r="Q25"/>
  <c r="P25"/>
  <c r="O25"/>
  <c r="N29"/>
  <c r="Q29"/>
  <c r="R29"/>
  <c r="P29"/>
  <c r="O29"/>
  <c r="M44"/>
  <c r="U44" s="1"/>
  <c r="Q44"/>
  <c r="L50"/>
  <c r="U50" s="1"/>
  <c r="R50"/>
  <c r="R78"/>
  <c r="P78"/>
  <c r="Q78"/>
  <c r="O78"/>
  <c r="N78"/>
  <c r="N12"/>
  <c r="Q12"/>
  <c r="S12"/>
  <c r="R12"/>
  <c r="P12"/>
  <c r="O12"/>
  <c r="N32"/>
  <c r="Q32"/>
  <c r="S32"/>
  <c r="R32"/>
  <c r="P32"/>
  <c r="O32"/>
  <c r="R49"/>
  <c r="L49"/>
  <c r="U49" s="1"/>
  <c r="M78"/>
  <c r="M11"/>
  <c r="K12"/>
  <c r="M12"/>
  <c r="L12"/>
  <c r="H18"/>
  <c r="M18"/>
  <c r="U18" s="1"/>
  <c r="H26"/>
  <c r="M26"/>
  <c r="U26" s="1"/>
  <c r="L11"/>
  <c r="K11"/>
  <c r="K13"/>
  <c r="M13"/>
  <c r="L13"/>
  <c r="H25"/>
  <c r="M25"/>
  <c r="U25" s="1"/>
  <c r="M29"/>
  <c r="L29"/>
  <c r="K29"/>
  <c r="K38"/>
  <c r="L38"/>
  <c r="H44"/>
  <c r="H46"/>
  <c r="M46"/>
  <c r="U46" s="1"/>
  <c r="M48"/>
  <c r="J48"/>
  <c r="H65"/>
  <c r="M65"/>
  <c r="U65" s="1"/>
  <c r="H67"/>
  <c r="M67"/>
  <c r="U67" s="1"/>
  <c r="L78"/>
  <c r="K78"/>
  <c r="H14"/>
  <c r="M32"/>
  <c r="L32"/>
  <c r="K32"/>
  <c r="H45"/>
  <c r="M45"/>
  <c r="U45" s="1"/>
  <c r="H47"/>
  <c r="M47"/>
  <c r="U47" s="1"/>
  <c r="H64"/>
  <c r="M64"/>
  <c r="U64" s="1"/>
  <c r="H66"/>
  <c r="M66"/>
  <c r="U66" s="1"/>
  <c r="H68"/>
  <c r="M68"/>
  <c r="U68" s="1"/>
  <c r="J11"/>
  <c r="J29"/>
  <c r="J78"/>
  <c r="J32"/>
  <c r="J12"/>
  <c r="I12"/>
  <c r="U12" s="1"/>
  <c r="I11"/>
  <c r="U11" s="1"/>
  <c r="J13"/>
  <c r="I13"/>
  <c r="I29"/>
  <c r="U29" s="1"/>
  <c r="H38"/>
  <c r="J38"/>
  <c r="I38"/>
  <c r="H40"/>
  <c r="U40"/>
  <c r="I48"/>
  <c r="U48" s="1"/>
  <c r="H50"/>
  <c r="I78"/>
  <c r="U78" s="1"/>
  <c r="H32"/>
  <c r="I32"/>
  <c r="H49"/>
  <c r="H78"/>
  <c r="H79" s="1"/>
  <c r="H29"/>
  <c r="H48"/>
  <c r="H11"/>
  <c r="H12"/>
  <c r="H16"/>
  <c r="H13"/>
  <c r="H15"/>
  <c r="F80"/>
  <c r="T80" s="1"/>
  <c r="H42"/>
  <c r="U32" l="1"/>
  <c r="U38"/>
  <c r="U13"/>
  <c r="U53"/>
  <c r="T131"/>
  <c r="H76"/>
  <c r="R80"/>
  <c r="R131" s="1"/>
  <c r="P80"/>
  <c r="P131" s="1"/>
  <c r="S80"/>
  <c r="S131" s="1"/>
  <c r="Q80"/>
  <c r="Q131" s="1"/>
  <c r="O80"/>
  <c r="O131" s="1"/>
  <c r="N80"/>
  <c r="N131" s="1"/>
  <c r="M80"/>
  <c r="M131" s="1"/>
  <c r="L80"/>
  <c r="K80"/>
  <c r="K131" s="1"/>
  <c r="L131"/>
  <c r="U76"/>
  <c r="H33"/>
  <c r="H22"/>
  <c r="H53"/>
  <c r="J80"/>
  <c r="J131" s="1"/>
  <c r="I80"/>
  <c r="U79"/>
  <c r="H80"/>
  <c r="H81" s="1"/>
  <c r="U80" l="1"/>
  <c r="H82"/>
  <c r="H85" s="1"/>
  <c r="G131" s="1"/>
  <c r="H131" s="1"/>
  <c r="U33"/>
  <c r="U22"/>
  <c r="U42"/>
  <c r="U81"/>
  <c r="I131"/>
  <c r="U82" l="1"/>
  <c r="U131" s="1"/>
  <c r="C140" s="1"/>
  <c r="C136" l="1"/>
</calcChain>
</file>

<file path=xl/sharedStrings.xml><?xml version="1.0" encoding="utf-8"?>
<sst xmlns="http://schemas.openxmlformats.org/spreadsheetml/2006/main" count="388" uniqueCount="270">
  <si>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</si>
  <si>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</si>
  <si>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</si>
  <si>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</si>
  <si>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</si>
  <si>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</si>
  <si>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</si>
  <si>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</si>
  <si>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</si>
  <si>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</si>
  <si>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</si>
  <si>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</si>
  <si>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</si>
  <si>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</si>
  <si>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</si>
  <si>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</si>
  <si>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</si>
  <si>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</si>
  <si>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</si>
  <si>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</si>
  <si>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</si>
  <si>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</si>
  <si>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</si>
  <si>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</si>
  <si>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</si>
  <si>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</si>
  <si>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</si>
  <si>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</si>
  <si>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</si>
  <si>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</si>
  <si>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</si>
  <si>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</si>
  <si>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</si>
  <si>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</si>
  <si>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</si>
  <si>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</si>
  <si>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</si>
  <si>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</si>
  <si>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</si>
  <si>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</si>
  <si>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</si>
  <si>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</si>
  <si>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</si>
  <si>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</si>
  <si>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</si>
  <si>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</si>
  <si>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</si>
  <si>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</si>
  <si>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</si>
  <si>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</si>
  <si>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</si>
  <si>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</si>
  <si>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</si>
  <si>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</si>
  <si>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</si>
  <si>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</si>
  <si>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</si>
  <si>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</si>
  <si>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</si>
  <si>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</si>
  <si>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</si>
  <si>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</si>
  <si>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</si>
  <si>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</si>
  <si>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</si>
  <si>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м2</t>
  </si>
  <si>
    <t>12 раз в год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</si>
  <si>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</si>
  <si>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</si>
  <si>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</si>
  <si>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</si>
  <si>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</si>
  <si>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</si>
  <si>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</si>
  <si>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</si>
  <si>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</si>
  <si>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</si>
  <si>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</si>
  <si>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</si>
  <si>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</si>
  <si>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</si>
  <si>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</si>
  <si>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</si>
  <si>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</si>
  <si>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</si>
  <si>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</si>
  <si>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</si>
  <si>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</si>
  <si>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</si>
  <si>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</si>
  <si>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</si>
  <si>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</si>
  <si>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</si>
  <si>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</si>
  <si>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1 раз в год     </t>
  </si>
  <si>
    <t>3 раза в год</t>
  </si>
  <si>
    <t>Вода для промывки СО</t>
  </si>
  <si>
    <t>Спуск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</si>
  <si>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</si>
  <si>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</si>
  <si>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Очистка внутреннего водостока</t>
  </si>
  <si>
    <t>водосток</t>
  </si>
  <si>
    <t>Дератизация</t>
  </si>
  <si>
    <t>Влажная протирка подоконников</t>
  </si>
  <si>
    <t xml:space="preserve">6 раз за сезон </t>
  </si>
  <si>
    <t>Очистка водостоков от наледи</t>
  </si>
  <si>
    <t>Очистка от мусора</t>
  </si>
  <si>
    <t>Влажная протирка шкафов для щитов и слаботочн.устройств</t>
  </si>
  <si>
    <t>2 раза в неделю 52 раза в сезон</t>
  </si>
  <si>
    <t>Очистка урн от мусора</t>
  </si>
  <si>
    <t>155 раз в год</t>
  </si>
  <si>
    <t>Смена ламп накаливания</t>
  </si>
  <si>
    <t>10 шт.</t>
  </si>
  <si>
    <t>12 раз за сезон</t>
  </si>
  <si>
    <t>30 раз за сезон</t>
  </si>
  <si>
    <t>24 раза за сезон</t>
  </si>
  <si>
    <t xml:space="preserve">Выполнение    январь  </t>
  </si>
  <si>
    <t>Выполнение   март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</si>
  <si>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</si>
  <si>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</si>
  <si>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</si>
  <si>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</si>
  <si>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</si>
  <si>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</si>
  <si>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</si>
  <si>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5 этажей, 8 подъездов</t>
  </si>
  <si>
    <t>Стоимость (руб.)</t>
  </si>
  <si>
    <t>договор</t>
  </si>
  <si>
    <t>ТО внутридомового газ.оборудования</t>
  </si>
  <si>
    <t>Выполне  ние       май</t>
  </si>
  <si>
    <t>Выполне ние   февраль</t>
  </si>
  <si>
    <t>Выполне ние    апрель</t>
  </si>
  <si>
    <t>калькуляция</t>
  </si>
  <si>
    <t>1шт.</t>
  </si>
  <si>
    <t>1 шт</t>
  </si>
  <si>
    <t>1 м</t>
  </si>
  <si>
    <t>1 сгон</t>
  </si>
  <si>
    <t>Смена арматуры - вентилей и клапанов обратных муфтовых диаметром до 20 мм</t>
  </si>
  <si>
    <t>Смена сгонов у трубопроводов диаметром до 32 мм</t>
  </si>
  <si>
    <t>Подключение и отключение сварочного аппарата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</si>
  <si>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</si>
  <si>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</si>
  <si>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</si>
  <si>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</si>
  <si>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>Сдвигание снега в дни снегопада (проезды)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</si>
  <si>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</si>
  <si>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</si>
  <si>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</si>
  <si>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</si>
  <si>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</si>
  <si>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</si>
  <si>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Осмотр рулонной кровли</t>
  </si>
  <si>
    <t>смета</t>
  </si>
  <si>
    <t>счёт</t>
  </si>
  <si>
    <t xml:space="preserve">Затраты в рублях по плану   </t>
  </si>
  <si>
    <t>Устройство хомута диаметром до 50 мм</t>
  </si>
  <si>
    <t>место</t>
  </si>
  <si>
    <t>10 м2</t>
  </si>
  <si>
    <t>Работа автовышки</t>
  </si>
  <si>
    <t>маш/ч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</si>
  <si>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</si>
  <si>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</si>
  <si>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</si>
  <si>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</si>
  <si>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</si>
  <si>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</si>
  <si>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</si>
  <si>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</si>
  <si>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</si>
  <si>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</si>
  <si>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</si>
  <si>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</si>
  <si>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</si>
  <si>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</si>
  <si>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</si>
  <si>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</si>
  <si>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</si>
  <si>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</si>
  <si>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</si>
  <si>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</si>
  <si>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</si>
  <si>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</si>
  <si>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</si>
  <si>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</si>
  <si>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</si>
  <si>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</si>
  <si>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</si>
  <si>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</si>
  <si>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</si>
  <si>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>ТЕР 54-041 и 42</t>
  </si>
  <si>
    <t>пр.ТЕР 54-041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</si>
  <si>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</si>
  <si>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</si>
  <si>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</si>
  <si>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</si>
  <si>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</si>
  <si>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</si>
  <si>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</si>
  <si>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</si>
  <si>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</si>
  <si>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33-049</t>
  </si>
  <si>
    <t>ТЕР 33-043</t>
  </si>
  <si>
    <t>пр.ТЕР 32-027</t>
  </si>
  <si>
    <t>ТЕР 32-027</t>
  </si>
  <si>
    <t xml:space="preserve">ТЕР 31-010 </t>
  </si>
  <si>
    <t>ТЕР 33-060</t>
  </si>
  <si>
    <t>пр.ТЕР 33-023</t>
  </si>
  <si>
    <t>пр.ТЕР 31-009</t>
  </si>
  <si>
    <t>пр.ТЕР 32-098</t>
  </si>
  <si>
    <t>3м</t>
  </si>
  <si>
    <t>Внеплановый осмотр электросетей, армазуры и электрооборудования на лестничных клетках</t>
  </si>
  <si>
    <t>ТЭР 33-030</t>
  </si>
  <si>
    <t>Ремонт групповых щитков на лестничной клетке без ремонта автоматов</t>
  </si>
  <si>
    <t>пр.ТЕР 16-005</t>
  </si>
  <si>
    <t>Баланс выполненных работ на 01.01.2017 г. ( -долг за предприятием, +долг за населением)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</si>
  <si>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8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</si>
  <si>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С учетом показателя инфляции (К=1,054)</t>
  </si>
  <si>
    <t>Внеплановый осмотр элекгросетей, арматуры и электрооборудования на чердаках и подвалах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</si>
  <si>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</si>
  <si>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</si>
  <si>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</si>
  <si>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</si>
  <si>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ТЕР 32-028</t>
  </si>
  <si>
    <t>пр.ТЕР 32-035</t>
  </si>
  <si>
    <t>Смена арматуры - задвижек диаметром 80 мм</t>
  </si>
  <si>
    <t>Смена вентилей диаметром до 20 мм ПП</t>
  </si>
  <si>
    <t>Смена арматуры - вентилей и клапанов обратных муфтовых диаметром до 32 мм</t>
  </si>
  <si>
    <r>
      <t>Смена тройника 32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20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32 мм</t>
    </r>
  </si>
  <si>
    <t>Прочистка засоров канализации</t>
  </si>
  <si>
    <t>пр.ТЕР 32-101</t>
  </si>
  <si>
    <t>Смена трубопроводов на полипропиленовые трубы PN25 диаметром 20 мм</t>
  </si>
  <si>
    <t>пр.ТЕР 32-082</t>
  </si>
  <si>
    <r>
      <t>Смена полипропиленовых труб 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 xml:space="preserve">2000 мм </t>
    </r>
  </si>
  <si>
    <r>
      <t>Отвод 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90°</t>
    </r>
  </si>
  <si>
    <t>Тройник Ду-50*90°</t>
  </si>
  <si>
    <t>Переход чугун-пластик Ду 50 с манжетой</t>
  </si>
  <si>
    <r>
      <t>Патрубок компенсационный ПП Д</t>
    </r>
    <r>
      <rPr>
        <sz val="8"/>
        <rFont val="Arial"/>
        <family val="2"/>
        <charset val="204"/>
      </rPr>
      <t>у</t>
    </r>
    <r>
      <rPr>
        <sz val="10"/>
        <rFont val="Arial"/>
        <family val="2"/>
        <charset val="204"/>
      </rPr>
      <t xml:space="preserve"> 50</t>
    </r>
  </si>
  <si>
    <t>Смена трубопроводов на полипропиленовые трубы PN20 диаметром 25 мм</t>
  </si>
  <si>
    <t>Смена трубопроводов на полипропиленовые трубы PN20 диаметром 20 мм</t>
  </si>
  <si>
    <t>Смена вентилей диаметром до 32 мм (без учёта материалов)</t>
  </si>
  <si>
    <t>Замена кран-буксы</t>
  </si>
  <si>
    <t>Смена светодиодных светильников в.о.</t>
  </si>
  <si>
    <t>ТЕР 32-075</t>
  </si>
  <si>
    <t>Смена плавкой вставки</t>
  </si>
  <si>
    <t>ТЕР 33-041</t>
  </si>
  <si>
    <t>Смена дощатого настила (II под.)</t>
  </si>
  <si>
    <t>пр.ТЕР 22-038</t>
  </si>
  <si>
    <t>Простая масляная окраска ранее окрашенных входных металлических дверей (I-VIII под.)</t>
  </si>
  <si>
    <t>ТЕР 2-1-1б</t>
  </si>
  <si>
    <t>Внеплановая проверка вентканалов</t>
  </si>
  <si>
    <t>Смена вентилей диаметром до 20 мм (без учета материала)</t>
  </si>
  <si>
    <t>руб.</t>
  </si>
  <si>
    <t>Ремонт кровли и примыканий к фановой трубе</t>
  </si>
  <si>
    <r>
      <t>Отвод 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45°</t>
    </r>
  </si>
  <si>
    <t>Муфта ремонтная 50</t>
  </si>
  <si>
    <t>Ремонт и регулировка доводчика (без стоимости доводчика)</t>
  </si>
  <si>
    <t>пр.ТЕР 33-048</t>
  </si>
  <si>
    <t>Смена светодиодных светильников н.о.</t>
  </si>
  <si>
    <t>Мелкий ремонт электропроводки</t>
  </si>
  <si>
    <t>ТЕР Q2-2-1-3-3</t>
  </si>
  <si>
    <t>1 мЗ</t>
  </si>
  <si>
    <t>пр.ТЕР 11-01-002-1</t>
  </si>
  <si>
    <t>Засыпка выбоин в отмостке</t>
  </si>
  <si>
    <t>Укрепление оконных и дверных приборов - пружин, ручек, петель, шпингалетов</t>
  </si>
  <si>
    <t>ТЕР 15-046</t>
  </si>
  <si>
    <t>п.м.</t>
  </si>
  <si>
    <t>Герметизация межпанельных швов (кв.22,23,41,44)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</si>
  <si>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</si>
  <si>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</si>
  <si>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15 раз за сезон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</si>
</sst>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alibri"/>
      <family val="2"/>
      <charset val="204"/>
    </font>
    <font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 wrapText="1"/>
    </xf>
    <xf numFmtId="4" fontId="1" fillId="4" borderId="1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6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0" fontId="7" fillId="0" borderId="12" xfId="0" applyFont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/>
    <xf numFmtId="0" fontId="12" fillId="4" borderId="17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vertical="center"/>
    </xf>
    <xf numFmtId="4" fontId="1" fillId="2" borderId="16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21" xfId="0" applyFont="1" applyBorder="1"/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165" fontId="1" fillId="4" borderId="3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4" fontId="1" fillId="8" borderId="12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0" fillId="13" borderId="0" xfId="0" applyFill="1"/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44"/>
  <sheetViews>
    <sheetView tabSelected="1" view="pageBreakPreview" zoomScaleNormal="75" zoomScaleSheetLayoutView="100" workbookViewId="0">
      <pane ySplit="7" topLeftCell="A86" activePane="bottomLeft" state="frozen"/>
      <selection activeCell="B1" sqref="B1"/>
      <selection pane="bottomLeft" activeCell="B117" sqref="B117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13" width="10.28515625" customWidth="1"/>
    <col min="14" max="17" width="9.85546875" customWidth="1"/>
    <col min="18" max="18" width="10.28515625" customWidth="1"/>
    <col min="19" max="20" width="9.85546875" customWidth="1"/>
    <col min="21" max="21" width="12.28515625" customWidth="1"/>
    <col min="22" max="27" width="9.140625" style="141"/>
  </cols>
  <sheetData>
    <row r="1" spans="1:21" ht="14.25" customHeight="1"/>
    <row r="3" spans="1:21" ht="18">
      <c r="A3" s="129"/>
      <c r="B3" s="183" t="s">
        <v>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13"/>
      <c r="N3" s="113"/>
      <c r="O3" s="113"/>
      <c r="P3" s="113"/>
      <c r="Q3" s="113"/>
      <c r="R3" s="113"/>
      <c r="S3" s="113"/>
      <c r="T3" s="113"/>
      <c r="U3" s="113"/>
    </row>
    <row r="4" spans="1:21" ht="36" customHeight="1">
      <c r="A4" s="113"/>
      <c r="B4" s="184" t="s">
        <v>1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13"/>
      <c r="N4" s="113"/>
      <c r="O4" s="113"/>
      <c r="P4" s="113"/>
      <c r="Q4" s="113"/>
      <c r="R4" s="113"/>
      <c r="S4" s="113"/>
      <c r="T4" s="113"/>
      <c r="U4" s="113"/>
    </row>
    <row r="5" spans="1:21" ht="18">
      <c r="A5" s="113"/>
      <c r="B5" s="184" t="s">
        <v>215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13"/>
      <c r="N5" s="113"/>
      <c r="O5" s="113"/>
      <c r="P5" s="113"/>
      <c r="Q5" s="113"/>
      <c r="R5" s="113"/>
      <c r="S5" s="113"/>
      <c r="T5" s="113"/>
      <c r="U5" s="113"/>
    </row>
    <row r="6" spans="1:21" ht="14.25">
      <c r="A6" s="113"/>
      <c r="B6" s="185" t="s">
        <v>125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13"/>
      <c r="N6" s="113"/>
      <c r="O6" s="113"/>
      <c r="P6" s="113"/>
      <c r="Q6" s="113"/>
      <c r="R6" s="113"/>
      <c r="S6" s="113"/>
      <c r="T6" s="113"/>
      <c r="U6" s="113"/>
    </row>
    <row r="7" spans="1:21" ht="46.5" customHeight="1">
      <c r="A7" s="143" t="s">
        <v>2</v>
      </c>
      <c r="B7" s="144" t="s">
        <v>3</v>
      </c>
      <c r="C7" s="144" t="s">
        <v>4</v>
      </c>
      <c r="D7" s="144" t="s">
        <v>5</v>
      </c>
      <c r="E7" s="144" t="s">
        <v>6</v>
      </c>
      <c r="F7" s="144" t="s">
        <v>7</v>
      </c>
      <c r="G7" s="144" t="s">
        <v>8</v>
      </c>
      <c r="H7" s="145" t="s">
        <v>9</v>
      </c>
      <c r="I7" s="26" t="s">
        <v>116</v>
      </c>
      <c r="J7" s="26" t="s">
        <v>130</v>
      </c>
      <c r="K7" s="26" t="s">
        <v>117</v>
      </c>
      <c r="L7" s="26" t="s">
        <v>131</v>
      </c>
      <c r="M7" s="26" t="s">
        <v>129</v>
      </c>
      <c r="N7" s="26" t="s">
        <v>118</v>
      </c>
      <c r="O7" s="26" t="s">
        <v>119</v>
      </c>
      <c r="P7" s="26" t="s">
        <v>120</v>
      </c>
      <c r="Q7" s="26" t="s">
        <v>121</v>
      </c>
      <c r="R7" s="26" t="s">
        <v>122</v>
      </c>
      <c r="S7" s="26" t="s">
        <v>123</v>
      </c>
      <c r="T7" s="26" t="s">
        <v>124</v>
      </c>
      <c r="U7" s="26" t="s">
        <v>126</v>
      </c>
    </row>
    <row r="8" spans="1:21">
      <c r="A8" s="146">
        <v>1</v>
      </c>
      <c r="B8" s="8">
        <v>2</v>
      </c>
      <c r="C8" s="27">
        <v>3</v>
      </c>
      <c r="D8" s="8">
        <v>4</v>
      </c>
      <c r="E8" s="8">
        <v>5</v>
      </c>
      <c r="F8" s="27">
        <v>6</v>
      </c>
      <c r="G8" s="27">
        <v>7</v>
      </c>
      <c r="H8" s="28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</row>
    <row r="9" spans="1:21" ht="38.25">
      <c r="A9" s="146"/>
      <c r="B9" s="10" t="s">
        <v>10</v>
      </c>
      <c r="C9" s="27"/>
      <c r="D9" s="11"/>
      <c r="E9" s="11"/>
      <c r="F9" s="27"/>
      <c r="G9" s="27"/>
      <c r="H9" s="30"/>
      <c r="I9" s="31"/>
      <c r="J9" s="31"/>
      <c r="K9" s="31"/>
      <c r="L9" s="31"/>
      <c r="M9" s="32"/>
      <c r="N9" s="33"/>
      <c r="O9" s="33"/>
      <c r="P9" s="33"/>
      <c r="Q9" s="33"/>
      <c r="R9" s="33"/>
      <c r="S9" s="33"/>
      <c r="T9" s="33"/>
      <c r="U9" s="33"/>
    </row>
    <row r="10" spans="1:21">
      <c r="A10" s="146"/>
      <c r="B10" s="10" t="s">
        <v>11</v>
      </c>
      <c r="C10" s="27"/>
      <c r="D10" s="11"/>
      <c r="E10" s="11"/>
      <c r="F10" s="27"/>
      <c r="G10" s="27"/>
      <c r="H10" s="30"/>
      <c r="I10" s="31"/>
      <c r="J10" s="31"/>
      <c r="K10" s="31"/>
      <c r="L10" s="31"/>
      <c r="M10" s="32"/>
      <c r="N10" s="33"/>
      <c r="O10" s="33"/>
      <c r="P10" s="33"/>
      <c r="Q10" s="33"/>
      <c r="R10" s="33"/>
      <c r="S10" s="33"/>
      <c r="T10" s="33"/>
      <c r="U10" s="33"/>
    </row>
    <row r="11" spans="1:21" ht="25.5">
      <c r="A11" s="146" t="s">
        <v>160</v>
      </c>
      <c r="B11" s="11" t="s">
        <v>12</v>
      </c>
      <c r="C11" s="27" t="s">
        <v>13</v>
      </c>
      <c r="D11" s="11" t="s">
        <v>14</v>
      </c>
      <c r="E11" s="34">
        <v>169.2</v>
      </c>
      <c r="F11" s="35">
        <f>SUM(E11*156/100)</f>
        <v>263.952</v>
      </c>
      <c r="G11" s="35">
        <v>175.38</v>
      </c>
      <c r="H11" s="36">
        <f t="shared" ref="H11:H21" si="0">SUM(F11*G11/1000)</f>
        <v>46.291901760000002</v>
      </c>
      <c r="I11" s="37">
        <f>F11/12*G11</f>
        <v>3857.6584799999996</v>
      </c>
      <c r="J11" s="37">
        <f>F11/12*G11</f>
        <v>3857.6584799999996</v>
      </c>
      <c r="K11" s="37">
        <f>F11/12*G11</f>
        <v>3857.6584799999996</v>
      </c>
      <c r="L11" s="37">
        <f>F11/12*G11</f>
        <v>3857.6584799999996</v>
      </c>
      <c r="M11" s="37">
        <f>F11/12*G11</f>
        <v>3857.6584799999996</v>
      </c>
      <c r="N11" s="37">
        <f>F11/12*G11</f>
        <v>3857.6584799999996</v>
      </c>
      <c r="O11" s="37">
        <f>F11/12*G11</f>
        <v>3857.6584799999996</v>
      </c>
      <c r="P11" s="37">
        <f>F11/12*G11</f>
        <v>3857.6584799999996</v>
      </c>
      <c r="Q11" s="37">
        <f>F11/12*G11</f>
        <v>3857.6584799999996</v>
      </c>
      <c r="R11" s="37">
        <f>F11/12*G11</f>
        <v>3857.6584799999996</v>
      </c>
      <c r="S11" s="37">
        <f>F11/12*G11</f>
        <v>3857.6584799999996</v>
      </c>
      <c r="T11" s="37">
        <f>F11/12*G11</f>
        <v>3857.6584799999996</v>
      </c>
      <c r="U11" s="37">
        <f>SUM(I11:T11)</f>
        <v>46291.901759999986</v>
      </c>
    </row>
    <row r="12" spans="1:21" ht="25.5">
      <c r="A12" s="146" t="s">
        <v>160</v>
      </c>
      <c r="B12" s="11" t="s">
        <v>15</v>
      </c>
      <c r="C12" s="27" t="s">
        <v>13</v>
      </c>
      <c r="D12" s="11" t="s">
        <v>16</v>
      </c>
      <c r="E12" s="34">
        <v>676.6</v>
      </c>
      <c r="F12" s="35">
        <f>SUM(E12*104/100)</f>
        <v>703.6640000000001</v>
      </c>
      <c r="G12" s="35">
        <v>175.38</v>
      </c>
      <c r="H12" s="36">
        <f t="shared" si="0"/>
        <v>123.40859232000001</v>
      </c>
      <c r="I12" s="37">
        <f>F12/12*G12</f>
        <v>10284.049360000001</v>
      </c>
      <c r="J12" s="37">
        <f>F12/12*G12</f>
        <v>10284.049360000001</v>
      </c>
      <c r="K12" s="37">
        <f t="shared" ref="K12:K13" si="1">F12/12*G12</f>
        <v>10284.049360000001</v>
      </c>
      <c r="L12" s="37">
        <f t="shared" ref="L12:L13" si="2">F12/12*G12</f>
        <v>10284.049360000001</v>
      </c>
      <c r="M12" s="37">
        <f t="shared" ref="M12:M13" si="3">F12/12*G12</f>
        <v>10284.049360000001</v>
      </c>
      <c r="N12" s="37">
        <f t="shared" ref="N12:N13" si="4">F12/12*G12</f>
        <v>10284.049360000001</v>
      </c>
      <c r="O12" s="37">
        <f t="shared" ref="O12:O13" si="5">F12/12*G12</f>
        <v>10284.049360000001</v>
      </c>
      <c r="P12" s="37">
        <f t="shared" ref="P12:P13" si="6">F12/12*G12</f>
        <v>10284.049360000001</v>
      </c>
      <c r="Q12" s="37">
        <f t="shared" ref="Q12:Q13" si="7">F12/12*G12</f>
        <v>10284.049360000001</v>
      </c>
      <c r="R12" s="37">
        <f t="shared" ref="R12:R13" si="8">F12/12*G12</f>
        <v>10284.049360000001</v>
      </c>
      <c r="S12" s="37">
        <f t="shared" ref="S12:S13" si="9">F12/12*G12</f>
        <v>10284.049360000001</v>
      </c>
      <c r="T12" s="37">
        <f t="shared" ref="T12:T13" si="10">F12/12*G12</f>
        <v>10284.049360000001</v>
      </c>
      <c r="U12" s="37">
        <f t="shared" ref="U12:U21" si="11">SUM(I12:T12)</f>
        <v>123408.59232000004</v>
      </c>
    </row>
    <row r="13" spans="1:21" ht="25.5">
      <c r="A13" s="146" t="s">
        <v>161</v>
      </c>
      <c r="B13" s="11" t="s">
        <v>17</v>
      </c>
      <c r="C13" s="27" t="s">
        <v>13</v>
      </c>
      <c r="D13" s="11" t="s">
        <v>18</v>
      </c>
      <c r="E13" s="34">
        <f>SUM(E11+E12)</f>
        <v>845.8</v>
      </c>
      <c r="F13" s="35">
        <f>SUM(E13*24/100)</f>
        <v>202.99199999999996</v>
      </c>
      <c r="G13" s="35">
        <v>504.5</v>
      </c>
      <c r="H13" s="36">
        <f t="shared" si="0"/>
        <v>102.40946399999997</v>
      </c>
      <c r="I13" s="37">
        <f>F13/12*G13</f>
        <v>8534.1219999999976</v>
      </c>
      <c r="J13" s="37">
        <f>F13/12*G13</f>
        <v>8534.1219999999976</v>
      </c>
      <c r="K13" s="37">
        <f t="shared" si="1"/>
        <v>8534.1219999999976</v>
      </c>
      <c r="L13" s="37">
        <f t="shared" si="2"/>
        <v>8534.1219999999976</v>
      </c>
      <c r="M13" s="37">
        <f t="shared" si="3"/>
        <v>8534.1219999999976</v>
      </c>
      <c r="N13" s="37">
        <f t="shared" si="4"/>
        <v>8534.1219999999976</v>
      </c>
      <c r="O13" s="37">
        <f t="shared" si="5"/>
        <v>8534.1219999999976</v>
      </c>
      <c r="P13" s="37">
        <f t="shared" si="6"/>
        <v>8534.1219999999976</v>
      </c>
      <c r="Q13" s="37">
        <f t="shared" si="7"/>
        <v>8534.1219999999976</v>
      </c>
      <c r="R13" s="37">
        <f t="shared" si="8"/>
        <v>8534.1219999999976</v>
      </c>
      <c r="S13" s="37">
        <f t="shared" si="9"/>
        <v>8534.1219999999976</v>
      </c>
      <c r="T13" s="37">
        <f t="shared" si="10"/>
        <v>8534.1219999999976</v>
      </c>
      <c r="U13" s="37">
        <f t="shared" si="11"/>
        <v>102409.46399999999</v>
      </c>
    </row>
    <row r="14" spans="1:21">
      <c r="A14" s="146" t="s">
        <v>162</v>
      </c>
      <c r="B14" s="11" t="s">
        <v>19</v>
      </c>
      <c r="C14" s="27" t="s">
        <v>20</v>
      </c>
      <c r="D14" s="11" t="s">
        <v>94</v>
      </c>
      <c r="E14" s="34">
        <v>51.2</v>
      </c>
      <c r="F14" s="35">
        <f>SUM(E14/10)</f>
        <v>5.12</v>
      </c>
      <c r="G14" s="35">
        <v>170.16</v>
      </c>
      <c r="H14" s="36">
        <f t="shared" si="0"/>
        <v>0.87121919999999997</v>
      </c>
      <c r="I14" s="37">
        <v>0</v>
      </c>
      <c r="J14" s="37">
        <v>0</v>
      </c>
      <c r="K14" s="37">
        <v>0</v>
      </c>
      <c r="L14" s="37">
        <v>0</v>
      </c>
      <c r="M14" s="37">
        <f>F14/2*G14</f>
        <v>435.6096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f t="shared" si="11"/>
        <v>435.6096</v>
      </c>
    </row>
    <row r="15" spans="1:21">
      <c r="A15" s="146" t="s">
        <v>163</v>
      </c>
      <c r="B15" s="11" t="s">
        <v>21</v>
      </c>
      <c r="C15" s="27" t="s">
        <v>13</v>
      </c>
      <c r="D15" s="11" t="s">
        <v>32</v>
      </c>
      <c r="E15" s="34">
        <v>57.5</v>
      </c>
      <c r="F15" s="35">
        <f>SUM(E15/100)</f>
        <v>0.57499999999999996</v>
      </c>
      <c r="G15" s="35">
        <v>217.88</v>
      </c>
      <c r="H15" s="36">
        <f t="shared" si="0"/>
        <v>0.125281</v>
      </c>
      <c r="I15" s="37">
        <v>0</v>
      </c>
      <c r="J15" s="37">
        <v>0</v>
      </c>
      <c r="K15" s="37">
        <v>0</v>
      </c>
      <c r="L15" s="37">
        <v>0</v>
      </c>
      <c r="M15" s="37">
        <f t="shared" ref="M15:M21" si="12">F15*G15</f>
        <v>125.28099999999999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f t="shared" si="11"/>
        <v>125.28099999999999</v>
      </c>
    </row>
    <row r="16" spans="1:21">
      <c r="A16" s="146" t="s">
        <v>164</v>
      </c>
      <c r="B16" s="11" t="s">
        <v>22</v>
      </c>
      <c r="C16" s="27" t="s">
        <v>13</v>
      </c>
      <c r="D16" s="11" t="s">
        <v>32</v>
      </c>
      <c r="E16" s="34">
        <v>13.41</v>
      </c>
      <c r="F16" s="35">
        <f>SUM(E16/100)</f>
        <v>0.1341</v>
      </c>
      <c r="G16" s="35">
        <v>216.12</v>
      </c>
      <c r="H16" s="36">
        <f t="shared" si="0"/>
        <v>2.8981692E-2</v>
      </c>
      <c r="I16" s="37">
        <v>0</v>
      </c>
      <c r="J16" s="37">
        <v>0</v>
      </c>
      <c r="K16" s="37">
        <v>0</v>
      </c>
      <c r="L16" s="37">
        <v>0</v>
      </c>
      <c r="M16" s="37">
        <f t="shared" si="12"/>
        <v>28.981691999999999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f t="shared" si="11"/>
        <v>28.981691999999999</v>
      </c>
    </row>
    <row r="17" spans="1:27">
      <c r="A17" s="146" t="s">
        <v>165</v>
      </c>
      <c r="B17" s="11" t="s">
        <v>23</v>
      </c>
      <c r="C17" s="27" t="s">
        <v>24</v>
      </c>
      <c r="D17" s="11" t="s">
        <v>94</v>
      </c>
      <c r="E17" s="34">
        <v>1025.5999999999999</v>
      </c>
      <c r="F17" s="35">
        <f>SUM(E17/100)</f>
        <v>10.255999999999998</v>
      </c>
      <c r="G17" s="35">
        <v>269.26</v>
      </c>
      <c r="H17" s="36">
        <f t="shared" si="0"/>
        <v>2.7615305599999997</v>
      </c>
      <c r="I17" s="37">
        <v>0</v>
      </c>
      <c r="J17" s="37">
        <v>0</v>
      </c>
      <c r="K17" s="37">
        <v>0</v>
      </c>
      <c r="L17" s="37">
        <v>0</v>
      </c>
      <c r="M17" s="37">
        <f t="shared" si="12"/>
        <v>2761.5305599999997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f t="shared" si="11"/>
        <v>2761.5305599999997</v>
      </c>
    </row>
    <row r="18" spans="1:27">
      <c r="A18" s="146" t="s">
        <v>166</v>
      </c>
      <c r="B18" s="11" t="s">
        <v>25</v>
      </c>
      <c r="C18" s="27" t="s">
        <v>24</v>
      </c>
      <c r="D18" s="11" t="s">
        <v>94</v>
      </c>
      <c r="E18" s="39">
        <v>60.5</v>
      </c>
      <c r="F18" s="35">
        <f>SUM(E18/100)</f>
        <v>0.60499999999999998</v>
      </c>
      <c r="G18" s="35">
        <v>44.29</v>
      </c>
      <c r="H18" s="36">
        <f t="shared" si="0"/>
        <v>2.6795449999999998E-2</v>
      </c>
      <c r="I18" s="37">
        <v>0</v>
      </c>
      <c r="J18" s="37">
        <v>0</v>
      </c>
      <c r="K18" s="37">
        <v>0</v>
      </c>
      <c r="L18" s="37">
        <v>0</v>
      </c>
      <c r="M18" s="37">
        <f t="shared" si="12"/>
        <v>26.795449999999999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f t="shared" si="11"/>
        <v>26.795449999999999</v>
      </c>
    </row>
    <row r="19" spans="1:27">
      <c r="A19" s="146" t="s">
        <v>167</v>
      </c>
      <c r="B19" s="11" t="s">
        <v>103</v>
      </c>
      <c r="C19" s="27" t="s">
        <v>24</v>
      </c>
      <c r="D19" s="11" t="s">
        <v>32</v>
      </c>
      <c r="E19" s="40">
        <v>19.149999999999999</v>
      </c>
      <c r="F19" s="35">
        <f>E19/100</f>
        <v>0.19149999999999998</v>
      </c>
      <c r="G19" s="35">
        <v>389.42</v>
      </c>
      <c r="H19" s="36">
        <f>G19*F19/100</f>
        <v>0.74573929999999988</v>
      </c>
      <c r="I19" s="37">
        <v>0</v>
      </c>
      <c r="J19" s="37">
        <v>0</v>
      </c>
      <c r="K19" s="37">
        <v>0</v>
      </c>
      <c r="L19" s="37">
        <v>0</v>
      </c>
      <c r="M19" s="37">
        <f t="shared" si="12"/>
        <v>74.57392999999999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f t="shared" si="11"/>
        <v>74.57392999999999</v>
      </c>
    </row>
    <row r="20" spans="1:27" ht="25.5">
      <c r="A20" s="146" t="s">
        <v>168</v>
      </c>
      <c r="B20" s="11" t="s">
        <v>107</v>
      </c>
      <c r="C20" s="27" t="s">
        <v>24</v>
      </c>
      <c r="D20" s="11" t="s">
        <v>32</v>
      </c>
      <c r="E20" s="41">
        <v>31.5</v>
      </c>
      <c r="F20" s="35">
        <f>E20/100</f>
        <v>0.315</v>
      </c>
      <c r="G20" s="35">
        <v>216.12</v>
      </c>
      <c r="H20" s="36">
        <f>G20*F20/1000</f>
        <v>6.8077799999999994E-2</v>
      </c>
      <c r="I20" s="37">
        <v>0</v>
      </c>
      <c r="J20" s="37">
        <v>0</v>
      </c>
      <c r="K20" s="37">
        <v>0</v>
      </c>
      <c r="L20" s="37">
        <v>0</v>
      </c>
      <c r="M20" s="37">
        <f t="shared" si="12"/>
        <v>68.077799999999996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f t="shared" si="11"/>
        <v>68.077799999999996</v>
      </c>
    </row>
    <row r="21" spans="1:27">
      <c r="A21" s="146" t="s">
        <v>169</v>
      </c>
      <c r="B21" s="11" t="s">
        <v>26</v>
      </c>
      <c r="C21" s="27" t="s">
        <v>24</v>
      </c>
      <c r="D21" s="11" t="s">
        <v>32</v>
      </c>
      <c r="E21" s="34">
        <v>37.5</v>
      </c>
      <c r="F21" s="35">
        <f>SUM(E21/100)</f>
        <v>0.375</v>
      </c>
      <c r="G21" s="35">
        <v>520.79999999999995</v>
      </c>
      <c r="H21" s="36">
        <f t="shared" si="0"/>
        <v>0.19529999999999997</v>
      </c>
      <c r="I21" s="37">
        <v>0</v>
      </c>
      <c r="J21" s="37">
        <v>0</v>
      </c>
      <c r="K21" s="37">
        <v>0</v>
      </c>
      <c r="L21" s="37">
        <v>0</v>
      </c>
      <c r="M21" s="37">
        <f t="shared" si="12"/>
        <v>195.29999999999998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f t="shared" si="11"/>
        <v>195.29999999999998</v>
      </c>
    </row>
    <row r="22" spans="1:27" s="19" customFormat="1">
      <c r="A22" s="147"/>
      <c r="B22" s="20" t="s">
        <v>27</v>
      </c>
      <c r="C22" s="42"/>
      <c r="D22" s="20"/>
      <c r="E22" s="43"/>
      <c r="F22" s="44"/>
      <c r="G22" s="44"/>
      <c r="H22" s="45">
        <f>SUM(H11:H21)</f>
        <v>276.93288308199993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>
        <f>SUM(U11:U21)</f>
        <v>275826.10811200005</v>
      </c>
      <c r="V22" s="141"/>
      <c r="W22" s="141"/>
      <c r="X22" s="141"/>
      <c r="Y22" s="141"/>
      <c r="Z22" s="141"/>
      <c r="AA22" s="141"/>
    </row>
    <row r="23" spans="1:27">
      <c r="A23" s="146"/>
      <c r="B23" s="12" t="s">
        <v>28</v>
      </c>
      <c r="C23" s="27"/>
      <c r="D23" s="11"/>
      <c r="E23" s="34"/>
      <c r="F23" s="35"/>
      <c r="G23" s="35"/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spans="1:27" ht="25.5" customHeight="1">
      <c r="A24" s="146" t="s">
        <v>170</v>
      </c>
      <c r="B24" s="11" t="s">
        <v>140</v>
      </c>
      <c r="C24" s="27" t="s">
        <v>29</v>
      </c>
      <c r="D24" s="11" t="s">
        <v>108</v>
      </c>
      <c r="E24" s="35">
        <v>900.1</v>
      </c>
      <c r="F24" s="35">
        <f>SUM(E24*52/1000)</f>
        <v>46.805200000000006</v>
      </c>
      <c r="G24" s="35">
        <v>155.88999999999999</v>
      </c>
      <c r="H24" s="36">
        <f t="shared" ref="H24:H32" si="13">SUM(F24*G24/1000)</f>
        <v>7.2964626280000004</v>
      </c>
      <c r="I24" s="37">
        <v>0</v>
      </c>
      <c r="J24" s="37">
        <v>0</v>
      </c>
      <c r="K24" s="37">
        <v>0</v>
      </c>
      <c r="L24" s="37">
        <v>0</v>
      </c>
      <c r="M24" s="37">
        <f>F24/6*G24</f>
        <v>1216.0771046666666</v>
      </c>
      <c r="N24" s="37">
        <f>F24/6*G24</f>
        <v>1216.0771046666666</v>
      </c>
      <c r="O24" s="37">
        <f>F24/6*G24</f>
        <v>1216.0771046666666</v>
      </c>
      <c r="P24" s="37">
        <f>F24/6*G24</f>
        <v>1216.0771046666666</v>
      </c>
      <c r="Q24" s="37">
        <f>F24/6*G24</f>
        <v>1216.0771046666666</v>
      </c>
      <c r="R24" s="37">
        <f>F24/6*G24</f>
        <v>1216.0771046666666</v>
      </c>
      <c r="S24" s="37">
        <v>0</v>
      </c>
      <c r="T24" s="37">
        <v>0</v>
      </c>
      <c r="U24" s="37">
        <f t="shared" ref="U24:U32" si="14">SUM(I24:T24)</f>
        <v>7296.4626280000002</v>
      </c>
    </row>
    <row r="25" spans="1:27" ht="38.25" customHeight="1">
      <c r="A25" s="146" t="s">
        <v>171</v>
      </c>
      <c r="B25" s="11" t="s">
        <v>141</v>
      </c>
      <c r="C25" s="27" t="s">
        <v>29</v>
      </c>
      <c r="D25" s="11" t="s">
        <v>30</v>
      </c>
      <c r="E25" s="35">
        <v>289.39999999999998</v>
      </c>
      <c r="F25" s="35">
        <f>SUM(E25*78/1000)</f>
        <v>22.573199999999996</v>
      </c>
      <c r="G25" s="35">
        <v>258.63</v>
      </c>
      <c r="H25" s="36">
        <f t="shared" si="13"/>
        <v>5.8381067159999995</v>
      </c>
      <c r="I25" s="37">
        <v>0</v>
      </c>
      <c r="J25" s="37">
        <v>0</v>
      </c>
      <c r="K25" s="37">
        <v>0</v>
      </c>
      <c r="L25" s="37">
        <v>0</v>
      </c>
      <c r="M25" s="37">
        <f>F25/6*G25</f>
        <v>973.01778599999989</v>
      </c>
      <c r="N25" s="37">
        <f t="shared" ref="N25:N28" si="15">F25/6*G25</f>
        <v>973.01778599999989</v>
      </c>
      <c r="O25" s="37">
        <f t="shared" ref="O25:O28" si="16">F25/6*G25</f>
        <v>973.01778599999989</v>
      </c>
      <c r="P25" s="37">
        <f t="shared" ref="P25:P28" si="17">F25/6*G25</f>
        <v>973.01778599999989</v>
      </c>
      <c r="Q25" s="37">
        <f t="shared" ref="Q25:Q28" si="18">F25/6*G25</f>
        <v>973.01778599999989</v>
      </c>
      <c r="R25" s="37">
        <f t="shared" ref="R25:R28" si="19">F25/6*G25</f>
        <v>973.01778599999989</v>
      </c>
      <c r="S25" s="37">
        <v>0</v>
      </c>
      <c r="T25" s="37">
        <v>0</v>
      </c>
      <c r="U25" s="37">
        <f t="shared" si="14"/>
        <v>5838.1067160000002</v>
      </c>
    </row>
    <row r="26" spans="1:27">
      <c r="A26" s="146" t="s">
        <v>172</v>
      </c>
      <c r="B26" s="11" t="s">
        <v>31</v>
      </c>
      <c r="C26" s="27" t="s">
        <v>29</v>
      </c>
      <c r="D26" s="11" t="s">
        <v>32</v>
      </c>
      <c r="E26" s="35">
        <v>900.1</v>
      </c>
      <c r="F26" s="35">
        <f>SUM(E26/1000)</f>
        <v>0.90010000000000001</v>
      </c>
      <c r="G26" s="35">
        <v>3020.33</v>
      </c>
      <c r="H26" s="36">
        <f t="shared" si="13"/>
        <v>2.7185990329999998</v>
      </c>
      <c r="I26" s="37">
        <v>0</v>
      </c>
      <c r="J26" s="37">
        <v>0</v>
      </c>
      <c r="K26" s="37">
        <v>0</v>
      </c>
      <c r="L26" s="37">
        <v>0</v>
      </c>
      <c r="M26" s="37">
        <f>F26*G26</f>
        <v>2718.599033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f t="shared" si="14"/>
        <v>2718.599033</v>
      </c>
    </row>
    <row r="27" spans="1:27">
      <c r="A27" s="146" t="s">
        <v>173</v>
      </c>
      <c r="B27" s="11" t="s">
        <v>109</v>
      </c>
      <c r="C27" s="27" t="s">
        <v>59</v>
      </c>
      <c r="D27" s="11" t="s">
        <v>110</v>
      </c>
      <c r="E27" s="35">
        <v>8</v>
      </c>
      <c r="F27" s="35">
        <v>12.4</v>
      </c>
      <c r="G27" s="35">
        <v>1302.02</v>
      </c>
      <c r="H27" s="36">
        <v>16.145</v>
      </c>
      <c r="I27" s="37">
        <v>0</v>
      </c>
      <c r="J27" s="37">
        <v>0</v>
      </c>
      <c r="K27" s="37">
        <v>0</v>
      </c>
      <c r="L27" s="37">
        <v>0</v>
      </c>
      <c r="M27" s="37">
        <f t="shared" ref="M27:M28" si="20">F27/6*G27</f>
        <v>2690.8413333333338</v>
      </c>
      <c r="N27" s="37">
        <f t="shared" si="15"/>
        <v>2690.8413333333338</v>
      </c>
      <c r="O27" s="37">
        <f t="shared" si="16"/>
        <v>2690.8413333333338</v>
      </c>
      <c r="P27" s="37">
        <f t="shared" si="17"/>
        <v>2690.8413333333338</v>
      </c>
      <c r="Q27" s="37">
        <f t="shared" si="18"/>
        <v>2690.8413333333338</v>
      </c>
      <c r="R27" s="37">
        <f t="shared" si="19"/>
        <v>2690.8413333333338</v>
      </c>
      <c r="S27" s="37">
        <v>0</v>
      </c>
      <c r="T27" s="37">
        <v>0</v>
      </c>
      <c r="U27" s="37">
        <f t="shared" si="14"/>
        <v>16145.048000000003</v>
      </c>
    </row>
    <row r="28" spans="1:27">
      <c r="A28" s="146" t="s">
        <v>174</v>
      </c>
      <c r="B28" s="11" t="s">
        <v>33</v>
      </c>
      <c r="C28" s="27" t="s">
        <v>34</v>
      </c>
      <c r="D28" s="11" t="s">
        <v>35</v>
      </c>
      <c r="E28" s="48">
        <v>0.33</v>
      </c>
      <c r="F28" s="35">
        <v>51.666666666666664</v>
      </c>
      <c r="G28" s="35">
        <v>56.69</v>
      </c>
      <c r="H28" s="36">
        <f>SUM(G28*155/3/1000)</f>
        <v>2.9289833333333331</v>
      </c>
      <c r="I28" s="37">
        <v>0</v>
      </c>
      <c r="J28" s="37">
        <v>0</v>
      </c>
      <c r="K28" s="37">
        <v>0</v>
      </c>
      <c r="L28" s="37">
        <v>0</v>
      </c>
      <c r="M28" s="37">
        <f t="shared" si="20"/>
        <v>488.16388888888883</v>
      </c>
      <c r="N28" s="37">
        <f t="shared" si="15"/>
        <v>488.16388888888883</v>
      </c>
      <c r="O28" s="37">
        <f t="shared" si="16"/>
        <v>488.16388888888883</v>
      </c>
      <c r="P28" s="37">
        <f t="shared" si="17"/>
        <v>488.16388888888883</v>
      </c>
      <c r="Q28" s="37">
        <f t="shared" si="18"/>
        <v>488.16388888888883</v>
      </c>
      <c r="R28" s="37">
        <f t="shared" si="19"/>
        <v>488.16388888888883</v>
      </c>
      <c r="S28" s="37">
        <v>0</v>
      </c>
      <c r="T28" s="37">
        <v>0</v>
      </c>
      <c r="U28" s="37">
        <f t="shared" si="14"/>
        <v>2928.9833333333331</v>
      </c>
    </row>
    <row r="29" spans="1:27" ht="12.75" customHeight="1">
      <c r="A29" s="146" t="s">
        <v>175</v>
      </c>
      <c r="B29" s="11" t="s">
        <v>36</v>
      </c>
      <c r="C29" s="27" t="s">
        <v>37</v>
      </c>
      <c r="D29" s="11" t="s">
        <v>38</v>
      </c>
      <c r="E29" s="49">
        <v>0.1</v>
      </c>
      <c r="F29" s="35">
        <f>SUM(E29*365)</f>
        <v>36.5</v>
      </c>
      <c r="G29" s="35">
        <v>147.03</v>
      </c>
      <c r="H29" s="36">
        <f t="shared" si="13"/>
        <v>5.3665950000000002</v>
      </c>
      <c r="I29" s="37">
        <f>F29/12*G29</f>
        <v>447.21625</v>
      </c>
      <c r="J29" s="37">
        <f>F29/12*G29</f>
        <v>447.21625</v>
      </c>
      <c r="K29" s="37">
        <f>F29/12*G29</f>
        <v>447.21625</v>
      </c>
      <c r="L29" s="37">
        <f>F29/12*G29</f>
        <v>447.21625</v>
      </c>
      <c r="M29" s="37">
        <f>F29/12*G29</f>
        <v>447.21625</v>
      </c>
      <c r="N29" s="37">
        <f>F29/12*G29</f>
        <v>447.21625</v>
      </c>
      <c r="O29" s="37">
        <f>F29/12*G29</f>
        <v>447.21625</v>
      </c>
      <c r="P29" s="37">
        <f>F29/12*G29</f>
        <v>447.21625</v>
      </c>
      <c r="Q29" s="37">
        <f>F29/12*G29</f>
        <v>447.21625</v>
      </c>
      <c r="R29" s="37">
        <f>F29/12*G29</f>
        <v>447.21625</v>
      </c>
      <c r="S29" s="37">
        <f>F29/12*G29</f>
        <v>447.21625</v>
      </c>
      <c r="T29" s="37">
        <f>F29/12*G29</f>
        <v>447.21625</v>
      </c>
      <c r="U29" s="37">
        <f t="shared" si="14"/>
        <v>5366.5950000000012</v>
      </c>
    </row>
    <row r="30" spans="1:27" ht="12.75" customHeight="1">
      <c r="A30" s="146" t="s">
        <v>176</v>
      </c>
      <c r="B30" s="11" t="s">
        <v>142</v>
      </c>
      <c r="C30" s="27" t="s">
        <v>37</v>
      </c>
      <c r="D30" s="11" t="s">
        <v>39</v>
      </c>
      <c r="E30" s="34"/>
      <c r="F30" s="35">
        <v>3</v>
      </c>
      <c r="G30" s="35">
        <v>191.32</v>
      </c>
      <c r="H30" s="36">
        <f t="shared" si="13"/>
        <v>0.57396000000000003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f t="shared" si="14"/>
        <v>0</v>
      </c>
    </row>
    <row r="31" spans="1:27" ht="13.5" customHeight="1">
      <c r="A31" s="146" t="s">
        <v>132</v>
      </c>
      <c r="B31" s="11" t="s">
        <v>143</v>
      </c>
      <c r="C31" s="27" t="s">
        <v>40</v>
      </c>
      <c r="D31" s="11" t="s">
        <v>39</v>
      </c>
      <c r="E31" s="34"/>
      <c r="F31" s="35">
        <v>2</v>
      </c>
      <c r="G31" s="35">
        <v>1136.32</v>
      </c>
      <c r="H31" s="36">
        <f t="shared" si="13"/>
        <v>2.27264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f t="shared" si="14"/>
        <v>0</v>
      </c>
    </row>
    <row r="32" spans="1:27">
      <c r="A32" s="146"/>
      <c r="B32" s="50" t="s">
        <v>41</v>
      </c>
      <c r="C32" s="27" t="s">
        <v>42</v>
      </c>
      <c r="D32" s="50" t="s">
        <v>38</v>
      </c>
      <c r="E32" s="34">
        <v>5916.3</v>
      </c>
      <c r="F32" s="35">
        <f>SUM(E32*12)</f>
        <v>70995.600000000006</v>
      </c>
      <c r="G32" s="35">
        <v>3.33</v>
      </c>
      <c r="H32" s="36">
        <f t="shared" si="13"/>
        <v>236.41534800000002</v>
      </c>
      <c r="I32" s="37">
        <f>F32/12*G32</f>
        <v>19701.279000000002</v>
      </c>
      <c r="J32" s="37">
        <f>F32/12*G32</f>
        <v>19701.279000000002</v>
      </c>
      <c r="K32" s="37">
        <f>F32/12*G32</f>
        <v>19701.279000000002</v>
      </c>
      <c r="L32" s="37">
        <f>F32/12*G32</f>
        <v>19701.279000000002</v>
      </c>
      <c r="M32" s="37">
        <f>F32/12*G32</f>
        <v>19701.279000000002</v>
      </c>
      <c r="N32" s="37">
        <f>F32/12*G32</f>
        <v>19701.279000000002</v>
      </c>
      <c r="O32" s="37">
        <f>F32/12*G32</f>
        <v>19701.279000000002</v>
      </c>
      <c r="P32" s="37">
        <f>F32/12*G32</f>
        <v>19701.279000000002</v>
      </c>
      <c r="Q32" s="37">
        <f t="shared" ref="Q32" si="21">F32/12*G32</f>
        <v>19701.279000000002</v>
      </c>
      <c r="R32" s="37">
        <f t="shared" ref="R32" si="22">F32/12*G32</f>
        <v>19701.279000000002</v>
      </c>
      <c r="S32" s="37">
        <f t="shared" ref="S32" si="23">F32/12*G32</f>
        <v>19701.279000000002</v>
      </c>
      <c r="T32" s="37">
        <f t="shared" ref="T32" si="24">F32/12*G32</f>
        <v>19701.279000000002</v>
      </c>
      <c r="U32" s="37">
        <f t="shared" si="14"/>
        <v>236415.34800000009</v>
      </c>
    </row>
    <row r="33" spans="1:27" s="19" customFormat="1">
      <c r="A33" s="147"/>
      <c r="B33" s="20" t="s">
        <v>27</v>
      </c>
      <c r="C33" s="42"/>
      <c r="D33" s="20"/>
      <c r="E33" s="43"/>
      <c r="F33" s="44"/>
      <c r="G33" s="44"/>
      <c r="H33" s="51">
        <f>SUM(H24:H32)</f>
        <v>279.55569471033334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>
        <f>SUM(U24:U32)</f>
        <v>276709.1427103334</v>
      </c>
      <c r="V33" s="141"/>
      <c r="W33" s="141"/>
      <c r="X33" s="141"/>
      <c r="Y33" s="141"/>
      <c r="Z33" s="141"/>
      <c r="AA33" s="141"/>
    </row>
    <row r="34" spans="1:27">
      <c r="A34" s="146"/>
      <c r="B34" s="12" t="s">
        <v>44</v>
      </c>
      <c r="C34" s="27"/>
      <c r="D34" s="11"/>
      <c r="E34" s="34"/>
      <c r="F34" s="35"/>
      <c r="G34" s="35"/>
      <c r="H34" s="36" t="s">
        <v>43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</row>
    <row r="35" spans="1:27" ht="12.75" customHeight="1">
      <c r="A35" s="146" t="s">
        <v>132</v>
      </c>
      <c r="B35" s="13" t="s">
        <v>45</v>
      </c>
      <c r="C35" s="27" t="s">
        <v>40</v>
      </c>
      <c r="D35" s="11"/>
      <c r="E35" s="34"/>
      <c r="F35" s="35">
        <v>10</v>
      </c>
      <c r="G35" s="35">
        <v>1527.22</v>
      </c>
      <c r="H35" s="36">
        <f t="shared" ref="H35:H41" si="25">SUM(F35*G35/1000)</f>
        <v>15.272200000000002</v>
      </c>
      <c r="I35" s="37">
        <f t="shared" ref="I35:I41" si="26">F35/6*G35</f>
        <v>2545.3666666666668</v>
      </c>
      <c r="J35" s="37">
        <f>F35/6*G35</f>
        <v>2545.3666666666668</v>
      </c>
      <c r="K35" s="37">
        <f>F35/6*G35</f>
        <v>2545.3666666666668</v>
      </c>
      <c r="L35" s="37">
        <f>F35/6*G35</f>
        <v>2545.3666666666668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f>F35/6*G35</f>
        <v>2545.3666666666668</v>
      </c>
      <c r="T35" s="37">
        <f>F35/6*G35</f>
        <v>2545.3666666666668</v>
      </c>
      <c r="U35" s="37">
        <f t="shared" ref="U35:U41" si="27">SUM(I35:T35)</f>
        <v>15272.2</v>
      </c>
    </row>
    <row r="36" spans="1:27">
      <c r="A36" s="148" t="s">
        <v>177</v>
      </c>
      <c r="B36" s="13" t="s">
        <v>144</v>
      </c>
      <c r="C36" s="52" t="s">
        <v>46</v>
      </c>
      <c r="D36" s="13" t="s">
        <v>113</v>
      </c>
      <c r="E36" s="53">
        <v>634</v>
      </c>
      <c r="F36" s="53">
        <f>SUM(E36*12/1000)</f>
        <v>7.6079999999999997</v>
      </c>
      <c r="G36" s="53">
        <v>2102.71</v>
      </c>
      <c r="H36" s="36">
        <f t="shared" ref="H36" si="28">SUM(F36*G36/1000)</f>
        <v>15.997417679999998</v>
      </c>
      <c r="I36" s="54">
        <f t="shared" si="26"/>
        <v>2666.2362800000001</v>
      </c>
      <c r="J36" s="54">
        <f t="shared" ref="J36:J41" si="29">F36/6*G36</f>
        <v>2666.2362800000001</v>
      </c>
      <c r="K36" s="37">
        <f t="shared" ref="K36:K41" si="30">F36/6*G36</f>
        <v>2666.2362800000001</v>
      </c>
      <c r="L36" s="37">
        <f t="shared" ref="L36:L39" si="31">F36/6*G36</f>
        <v>2666.2362800000001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f t="shared" ref="S36:S41" si="32">F36/6*G36</f>
        <v>2666.2362800000001</v>
      </c>
      <c r="T36" s="37">
        <f t="shared" ref="T36:T41" si="33">F36/6*G36</f>
        <v>2666.2362800000001</v>
      </c>
      <c r="U36" s="37">
        <f t="shared" si="27"/>
        <v>15997.417680000002</v>
      </c>
    </row>
    <row r="37" spans="1:27" s="1" customFormat="1" ht="25.5">
      <c r="A37" s="148" t="s">
        <v>177</v>
      </c>
      <c r="B37" s="13" t="s">
        <v>145</v>
      </c>
      <c r="C37" s="52" t="s">
        <v>46</v>
      </c>
      <c r="D37" s="13" t="s">
        <v>114</v>
      </c>
      <c r="E37" s="53">
        <v>289.39999999999998</v>
      </c>
      <c r="F37" s="53">
        <f>SUM(E37*30/1000)</f>
        <v>8.6820000000000004</v>
      </c>
      <c r="G37" s="53">
        <v>2102.71</v>
      </c>
      <c r="H37" s="36">
        <f t="shared" si="25"/>
        <v>18.255728220000002</v>
      </c>
      <c r="I37" s="54">
        <f t="shared" si="26"/>
        <v>3042.6213700000003</v>
      </c>
      <c r="J37" s="54">
        <f t="shared" si="29"/>
        <v>3042.6213700000003</v>
      </c>
      <c r="K37" s="37">
        <f t="shared" si="30"/>
        <v>3042.6213700000003</v>
      </c>
      <c r="L37" s="37">
        <f t="shared" si="31"/>
        <v>3042.6213700000003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f t="shared" si="32"/>
        <v>3042.6213700000003</v>
      </c>
      <c r="T37" s="37">
        <f t="shared" si="33"/>
        <v>3042.6213700000003</v>
      </c>
      <c r="U37" s="37">
        <f t="shared" si="27"/>
        <v>18255.728220000001</v>
      </c>
      <c r="V37" s="142"/>
      <c r="W37" s="142"/>
      <c r="X37" s="142"/>
      <c r="Y37" s="142"/>
      <c r="Z37" s="142"/>
      <c r="AA37" s="142"/>
    </row>
    <row r="38" spans="1:27" ht="25.5" customHeight="1">
      <c r="A38" s="146" t="s">
        <v>178</v>
      </c>
      <c r="B38" s="11" t="s">
        <v>146</v>
      </c>
      <c r="C38" s="27" t="s">
        <v>46</v>
      </c>
      <c r="D38" s="11" t="s">
        <v>47</v>
      </c>
      <c r="E38" s="35">
        <v>289.39999999999998</v>
      </c>
      <c r="F38" s="53">
        <f>SUM(E38*155/1000)</f>
        <v>44.856999999999999</v>
      </c>
      <c r="G38" s="35">
        <v>350.75</v>
      </c>
      <c r="H38" s="36">
        <f t="shared" si="25"/>
        <v>15.73359275</v>
      </c>
      <c r="I38" s="37">
        <f t="shared" si="26"/>
        <v>2622.2654583333333</v>
      </c>
      <c r="J38" s="37">
        <f t="shared" si="29"/>
        <v>2622.2654583333333</v>
      </c>
      <c r="K38" s="37">
        <f t="shared" si="30"/>
        <v>2622.2654583333333</v>
      </c>
      <c r="L38" s="37">
        <f t="shared" si="31"/>
        <v>2622.2654583333333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f t="shared" si="32"/>
        <v>2622.2654583333333</v>
      </c>
      <c r="T38" s="37">
        <f t="shared" si="33"/>
        <v>2622.2654583333333</v>
      </c>
      <c r="U38" s="37">
        <f t="shared" si="27"/>
        <v>15733.59275</v>
      </c>
    </row>
    <row r="39" spans="1:27" ht="51" customHeight="1">
      <c r="A39" s="146" t="s">
        <v>179</v>
      </c>
      <c r="B39" s="11" t="s">
        <v>147</v>
      </c>
      <c r="C39" s="27" t="s">
        <v>29</v>
      </c>
      <c r="D39" s="11" t="s">
        <v>115</v>
      </c>
      <c r="E39" s="35">
        <v>108</v>
      </c>
      <c r="F39" s="53">
        <f>SUM(E39*24/1000)</f>
        <v>2.5920000000000001</v>
      </c>
      <c r="G39" s="35">
        <v>5803.28</v>
      </c>
      <c r="H39" s="36">
        <f t="shared" si="25"/>
        <v>15.04210176</v>
      </c>
      <c r="I39" s="37">
        <f t="shared" si="26"/>
        <v>2507.0169599999999</v>
      </c>
      <c r="J39" s="37">
        <f t="shared" si="29"/>
        <v>2507.0169599999999</v>
      </c>
      <c r="K39" s="37">
        <f t="shared" si="30"/>
        <v>2507.0169599999999</v>
      </c>
      <c r="L39" s="37">
        <f t="shared" si="31"/>
        <v>2507.0169599999999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f t="shared" si="32"/>
        <v>2507.0169599999999</v>
      </c>
      <c r="T39" s="37">
        <f t="shared" si="33"/>
        <v>2507.0169599999999</v>
      </c>
      <c r="U39" s="37">
        <f t="shared" si="27"/>
        <v>15042.101760000001</v>
      </c>
    </row>
    <row r="40" spans="1:27" ht="12.75" customHeight="1">
      <c r="A40" s="146" t="s">
        <v>180</v>
      </c>
      <c r="B40" s="11" t="s">
        <v>148</v>
      </c>
      <c r="C40" s="27" t="s">
        <v>29</v>
      </c>
      <c r="D40" s="11" t="s">
        <v>269</v>
      </c>
      <c r="E40" s="35">
        <v>134.4</v>
      </c>
      <c r="F40" s="53">
        <f>SUM(E40*15/1000)</f>
        <v>2.016</v>
      </c>
      <c r="G40" s="35">
        <v>428.7</v>
      </c>
      <c r="H40" s="36">
        <f t="shared" si="25"/>
        <v>0.86425920000000001</v>
      </c>
      <c r="I40" s="37">
        <v>0</v>
      </c>
      <c r="J40" s="37">
        <v>0</v>
      </c>
      <c r="K40" s="37">
        <f>F40/2*G40</f>
        <v>432.12959999999998</v>
      </c>
      <c r="L40" s="37">
        <f>F40/2*G40</f>
        <v>432.12959999999998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f t="shared" si="27"/>
        <v>864.25919999999996</v>
      </c>
    </row>
    <row r="41" spans="1:27" s="2" customFormat="1">
      <c r="A41" s="148"/>
      <c r="B41" s="13" t="s">
        <v>149</v>
      </c>
      <c r="C41" s="52" t="s">
        <v>37</v>
      </c>
      <c r="D41" s="13"/>
      <c r="E41" s="49"/>
      <c r="F41" s="53">
        <v>0.9</v>
      </c>
      <c r="G41" s="53">
        <v>798</v>
      </c>
      <c r="H41" s="36">
        <f t="shared" si="25"/>
        <v>0.71820000000000006</v>
      </c>
      <c r="I41" s="54">
        <f t="shared" si="26"/>
        <v>119.69999999999999</v>
      </c>
      <c r="J41" s="54">
        <f t="shared" si="29"/>
        <v>119.69999999999999</v>
      </c>
      <c r="K41" s="37">
        <f t="shared" si="30"/>
        <v>119.69999999999999</v>
      </c>
      <c r="L41" s="37">
        <f>F41/6*G41</f>
        <v>119.69999999999999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f t="shared" si="32"/>
        <v>119.69999999999999</v>
      </c>
      <c r="T41" s="37">
        <f t="shared" si="33"/>
        <v>119.69999999999999</v>
      </c>
      <c r="U41" s="37">
        <f t="shared" si="27"/>
        <v>718.2</v>
      </c>
      <c r="V41" s="141"/>
      <c r="W41" s="141"/>
      <c r="X41" s="141"/>
      <c r="Y41" s="141"/>
      <c r="Z41" s="141"/>
      <c r="AA41" s="141"/>
    </row>
    <row r="42" spans="1:27" s="19" customFormat="1">
      <c r="A42" s="147"/>
      <c r="B42" s="20" t="s">
        <v>27</v>
      </c>
      <c r="C42" s="42"/>
      <c r="D42" s="20"/>
      <c r="E42" s="43"/>
      <c r="F42" s="44" t="s">
        <v>43</v>
      </c>
      <c r="G42" s="44"/>
      <c r="H42" s="51">
        <f>SUM(H35:H41)</f>
        <v>81.883499610000001</v>
      </c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>
        <f>SUM(U35:U41)</f>
        <v>81883.499609999999</v>
      </c>
      <c r="V42" s="141"/>
      <c r="W42" s="141"/>
      <c r="X42" s="141"/>
      <c r="Y42" s="141"/>
      <c r="Z42" s="141"/>
      <c r="AA42" s="141"/>
    </row>
    <row r="43" spans="1:27">
      <c r="A43" s="146"/>
      <c r="B43" s="14" t="s">
        <v>48</v>
      </c>
      <c r="C43" s="27"/>
      <c r="D43" s="11"/>
      <c r="E43" s="34"/>
      <c r="F43" s="35"/>
      <c r="G43" s="35"/>
      <c r="H43" s="36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</row>
    <row r="44" spans="1:27">
      <c r="A44" s="146" t="s">
        <v>181</v>
      </c>
      <c r="B44" s="11" t="s">
        <v>151</v>
      </c>
      <c r="C44" s="27" t="s">
        <v>29</v>
      </c>
      <c r="D44" s="11" t="s">
        <v>49</v>
      </c>
      <c r="E44" s="34">
        <v>1662.5</v>
      </c>
      <c r="F44" s="35">
        <f>SUM(E44*2/1000)</f>
        <v>3.3250000000000002</v>
      </c>
      <c r="G44" s="55">
        <v>849.49</v>
      </c>
      <c r="H44" s="36">
        <f t="shared" ref="H44:H52" si="34">SUM(F44*G44/1000)</f>
        <v>2.8245542500000003</v>
      </c>
      <c r="I44" s="37">
        <v>0</v>
      </c>
      <c r="J44" s="37">
        <v>0</v>
      </c>
      <c r="K44" s="37">
        <v>0</v>
      </c>
      <c r="L44" s="37">
        <v>0</v>
      </c>
      <c r="M44" s="37">
        <f>F44/2*G44</f>
        <v>1412.2771250000001</v>
      </c>
      <c r="N44" s="37">
        <v>0</v>
      </c>
      <c r="O44" s="37">
        <v>0</v>
      </c>
      <c r="P44" s="37">
        <v>0</v>
      </c>
      <c r="Q44" s="37">
        <f>F44/2*G44</f>
        <v>1412.2771250000001</v>
      </c>
      <c r="R44" s="37">
        <v>0</v>
      </c>
      <c r="S44" s="37">
        <v>0</v>
      </c>
      <c r="T44" s="37">
        <v>0</v>
      </c>
      <c r="U44" s="37">
        <f t="shared" ref="U44:U52" si="35">SUM(I44:T44)</f>
        <v>2824.5542500000001</v>
      </c>
    </row>
    <row r="45" spans="1:27">
      <c r="A45" s="146" t="s">
        <v>182</v>
      </c>
      <c r="B45" s="11" t="s">
        <v>50</v>
      </c>
      <c r="C45" s="27" t="s">
        <v>29</v>
      </c>
      <c r="D45" s="11" t="s">
        <v>49</v>
      </c>
      <c r="E45" s="34">
        <v>92.8</v>
      </c>
      <c r="F45" s="35">
        <f>SUM(E45*2/1000)</f>
        <v>0.18559999999999999</v>
      </c>
      <c r="G45" s="55">
        <v>579.48</v>
      </c>
      <c r="H45" s="36">
        <f t="shared" si="34"/>
        <v>0.10755148799999999</v>
      </c>
      <c r="I45" s="37">
        <v>0</v>
      </c>
      <c r="J45" s="37">
        <v>0</v>
      </c>
      <c r="K45" s="37">
        <v>0</v>
      </c>
      <c r="L45" s="37">
        <v>0</v>
      </c>
      <c r="M45" s="37">
        <f t="shared" ref="M45:M47" si="36">F45/2*G45</f>
        <v>53.775743999999996</v>
      </c>
      <c r="N45" s="37">
        <v>0</v>
      </c>
      <c r="O45" s="37">
        <v>0</v>
      </c>
      <c r="P45" s="37">
        <v>0</v>
      </c>
      <c r="Q45" s="37">
        <f t="shared" ref="Q45:Q47" si="37">F45/2*G45</f>
        <v>53.775743999999996</v>
      </c>
      <c r="R45" s="37">
        <v>0</v>
      </c>
      <c r="S45" s="37">
        <v>0</v>
      </c>
      <c r="T45" s="37">
        <v>0</v>
      </c>
      <c r="U45" s="37">
        <f t="shared" si="35"/>
        <v>107.55148799999999</v>
      </c>
    </row>
    <row r="46" spans="1:27" ht="12.75" customHeight="1">
      <c r="A46" s="146" t="s">
        <v>183</v>
      </c>
      <c r="B46" s="11" t="s">
        <v>51</v>
      </c>
      <c r="C46" s="27" t="s">
        <v>29</v>
      </c>
      <c r="D46" s="11" t="s">
        <v>49</v>
      </c>
      <c r="E46" s="34">
        <v>4750.7</v>
      </c>
      <c r="F46" s="35">
        <f>SUM(E46*2/1000)</f>
        <v>9.5014000000000003</v>
      </c>
      <c r="G46" s="55">
        <v>579.48</v>
      </c>
      <c r="H46" s="36">
        <f t="shared" si="34"/>
        <v>5.5058712720000003</v>
      </c>
      <c r="I46" s="37">
        <v>0</v>
      </c>
      <c r="J46" s="37">
        <v>0</v>
      </c>
      <c r="K46" s="37">
        <v>0</v>
      </c>
      <c r="L46" s="37">
        <v>0</v>
      </c>
      <c r="M46" s="37">
        <f t="shared" si="36"/>
        <v>2752.9356360000002</v>
      </c>
      <c r="N46" s="37">
        <v>0</v>
      </c>
      <c r="O46" s="37">
        <v>0</v>
      </c>
      <c r="P46" s="37">
        <v>0</v>
      </c>
      <c r="Q46" s="37">
        <f t="shared" si="37"/>
        <v>2752.9356360000002</v>
      </c>
      <c r="R46" s="37">
        <v>0</v>
      </c>
      <c r="S46" s="37">
        <v>0</v>
      </c>
      <c r="T46" s="37">
        <v>0</v>
      </c>
      <c r="U46" s="37">
        <f t="shared" si="35"/>
        <v>5505.8712720000003</v>
      </c>
    </row>
    <row r="47" spans="1:27">
      <c r="A47" s="146" t="s">
        <v>184</v>
      </c>
      <c r="B47" s="11" t="s">
        <v>52</v>
      </c>
      <c r="C47" s="27" t="s">
        <v>29</v>
      </c>
      <c r="D47" s="11" t="s">
        <v>49</v>
      </c>
      <c r="E47" s="34">
        <v>2840.99</v>
      </c>
      <c r="F47" s="35">
        <f>SUM(E47*2/1000)</f>
        <v>5.6819799999999994</v>
      </c>
      <c r="G47" s="55">
        <v>606.77</v>
      </c>
      <c r="H47" s="36">
        <f t="shared" si="34"/>
        <v>3.4476550045999992</v>
      </c>
      <c r="I47" s="37">
        <v>0</v>
      </c>
      <c r="J47" s="37">
        <v>0</v>
      </c>
      <c r="K47" s="37">
        <v>0</v>
      </c>
      <c r="L47" s="37">
        <v>0</v>
      </c>
      <c r="M47" s="37">
        <f t="shared" si="36"/>
        <v>1723.8275022999997</v>
      </c>
      <c r="N47" s="37">
        <v>0</v>
      </c>
      <c r="O47" s="37">
        <v>0</v>
      </c>
      <c r="P47" s="37">
        <v>0</v>
      </c>
      <c r="Q47" s="37">
        <f t="shared" si="37"/>
        <v>1723.8275022999997</v>
      </c>
      <c r="R47" s="37">
        <v>0</v>
      </c>
      <c r="S47" s="37">
        <v>0</v>
      </c>
      <c r="T47" s="37">
        <v>0</v>
      </c>
      <c r="U47" s="37">
        <f t="shared" si="35"/>
        <v>3447.6550045999993</v>
      </c>
    </row>
    <row r="48" spans="1:27" ht="25.5">
      <c r="A48" s="146" t="s">
        <v>185</v>
      </c>
      <c r="B48" s="11" t="s">
        <v>53</v>
      </c>
      <c r="C48" s="27" t="s">
        <v>29</v>
      </c>
      <c r="D48" s="11" t="s">
        <v>54</v>
      </c>
      <c r="E48" s="34">
        <v>1652.5</v>
      </c>
      <c r="F48" s="35">
        <f>SUM(E48*5/1000)</f>
        <v>8.2624999999999993</v>
      </c>
      <c r="G48" s="55">
        <v>1213.55</v>
      </c>
      <c r="H48" s="36">
        <f t="shared" si="34"/>
        <v>10.026956874999998</v>
      </c>
      <c r="I48" s="37">
        <f>F48/5*G48</f>
        <v>2005.3913749999997</v>
      </c>
      <c r="J48" s="37">
        <f>F48/5*G48</f>
        <v>2005.3913749999997</v>
      </c>
      <c r="K48" s="37">
        <v>0</v>
      </c>
      <c r="L48" s="37">
        <v>0</v>
      </c>
      <c r="M48" s="37">
        <f>F48/5*G48</f>
        <v>2005.3913749999997</v>
      </c>
      <c r="N48" s="37">
        <v>0</v>
      </c>
      <c r="O48" s="37">
        <v>0</v>
      </c>
      <c r="P48" s="37">
        <v>0</v>
      </c>
      <c r="Q48" s="37">
        <f>F48/5*G48</f>
        <v>2005.3913749999997</v>
      </c>
      <c r="R48" s="37">
        <v>0</v>
      </c>
      <c r="S48" s="37">
        <v>0</v>
      </c>
      <c r="T48" s="37">
        <f>F48/5*G48</f>
        <v>2005.3913749999997</v>
      </c>
      <c r="U48" s="37">
        <f t="shared" si="35"/>
        <v>10026.956874999998</v>
      </c>
    </row>
    <row r="49" spans="1:27" ht="38.25" customHeight="1">
      <c r="A49" s="146" t="s">
        <v>186</v>
      </c>
      <c r="B49" s="11" t="s">
        <v>55</v>
      </c>
      <c r="C49" s="27" t="s">
        <v>29</v>
      </c>
      <c r="D49" s="11" t="s">
        <v>49</v>
      </c>
      <c r="E49" s="34">
        <v>1652.5</v>
      </c>
      <c r="F49" s="35">
        <f>SUM(E49*2/1000)</f>
        <v>3.3050000000000002</v>
      </c>
      <c r="G49" s="55">
        <v>1213.55</v>
      </c>
      <c r="H49" s="36">
        <f t="shared" si="34"/>
        <v>4.0107827499999997</v>
      </c>
      <c r="I49" s="37">
        <v>0</v>
      </c>
      <c r="J49" s="37">
        <v>0</v>
      </c>
      <c r="K49" s="37">
        <v>0</v>
      </c>
      <c r="L49" s="37">
        <f>F49/2*G49</f>
        <v>2005.3913749999999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f>F49/2*G49</f>
        <v>2005.3913749999999</v>
      </c>
      <c r="S49" s="37">
        <v>0</v>
      </c>
      <c r="T49" s="37">
        <v>0</v>
      </c>
      <c r="U49" s="37">
        <f t="shared" si="35"/>
        <v>4010.7827499999999</v>
      </c>
    </row>
    <row r="50" spans="1:27" ht="25.5" customHeight="1">
      <c r="A50" s="146" t="s">
        <v>187</v>
      </c>
      <c r="B50" s="11" t="s">
        <v>56</v>
      </c>
      <c r="C50" s="27" t="s">
        <v>57</v>
      </c>
      <c r="D50" s="11" t="s">
        <v>49</v>
      </c>
      <c r="E50" s="34">
        <v>40</v>
      </c>
      <c r="F50" s="35">
        <f>SUM(E50*2/100)</f>
        <v>0.8</v>
      </c>
      <c r="G50" s="55">
        <v>2730.49</v>
      </c>
      <c r="H50" s="36">
        <f t="shared" si="34"/>
        <v>2.1843919999999999</v>
      </c>
      <c r="I50" s="37">
        <v>0</v>
      </c>
      <c r="J50" s="37">
        <v>0</v>
      </c>
      <c r="K50" s="37">
        <v>0</v>
      </c>
      <c r="L50" s="37">
        <f>F50/2*G50</f>
        <v>1092.1959999999999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f t="shared" ref="R50:R51" si="38">F50/2*G50</f>
        <v>1092.1959999999999</v>
      </c>
      <c r="S50" s="37">
        <v>0</v>
      </c>
      <c r="T50" s="37">
        <v>0</v>
      </c>
      <c r="U50" s="37">
        <f t="shared" si="35"/>
        <v>2184.3919999999998</v>
      </c>
    </row>
    <row r="51" spans="1:27">
      <c r="A51" s="146" t="s">
        <v>188</v>
      </c>
      <c r="B51" s="11" t="s">
        <v>58</v>
      </c>
      <c r="C51" s="27" t="s">
        <v>59</v>
      </c>
      <c r="D51" s="11" t="s">
        <v>49</v>
      </c>
      <c r="E51" s="34">
        <v>1</v>
      </c>
      <c r="F51" s="35">
        <v>0.02</v>
      </c>
      <c r="G51" s="55">
        <v>5652.13</v>
      </c>
      <c r="H51" s="36">
        <f t="shared" si="34"/>
        <v>0.11304260000000001</v>
      </c>
      <c r="I51" s="37">
        <v>0</v>
      </c>
      <c r="J51" s="37">
        <v>0</v>
      </c>
      <c r="K51" s="37">
        <v>0</v>
      </c>
      <c r="L51" s="37">
        <f>F51/2*G51</f>
        <v>56.521300000000004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f t="shared" si="38"/>
        <v>56.521300000000004</v>
      </c>
      <c r="S51" s="37">
        <v>0</v>
      </c>
      <c r="T51" s="37">
        <v>0</v>
      </c>
      <c r="U51" s="37">
        <f t="shared" si="35"/>
        <v>113.04260000000001</v>
      </c>
    </row>
    <row r="52" spans="1:27" ht="13.5" customHeight="1">
      <c r="A52" s="146" t="s">
        <v>61</v>
      </c>
      <c r="B52" s="11" t="s">
        <v>62</v>
      </c>
      <c r="C52" s="27" t="s">
        <v>60</v>
      </c>
      <c r="D52" s="11" t="s">
        <v>95</v>
      </c>
      <c r="E52" s="34">
        <v>236</v>
      </c>
      <c r="F52" s="35">
        <f>SUM(E52)*3</f>
        <v>708</v>
      </c>
      <c r="G52" s="56">
        <v>65.67</v>
      </c>
      <c r="H52" s="36">
        <f t="shared" si="34"/>
        <v>46.49436</v>
      </c>
      <c r="I52" s="37">
        <f>E52*G52</f>
        <v>15498.12</v>
      </c>
      <c r="J52" s="37">
        <v>0</v>
      </c>
      <c r="K52" s="37">
        <v>0</v>
      </c>
      <c r="L52" s="37">
        <v>0</v>
      </c>
      <c r="M52" s="37">
        <v>0</v>
      </c>
      <c r="N52" s="37">
        <f>E52*G52</f>
        <v>15498.12</v>
      </c>
      <c r="O52" s="37">
        <v>0</v>
      </c>
      <c r="P52" s="37">
        <v>0</v>
      </c>
      <c r="Q52" s="37">
        <v>0</v>
      </c>
      <c r="R52" s="37">
        <f>E52*G52</f>
        <v>15498.12</v>
      </c>
      <c r="S52" s="37">
        <v>0</v>
      </c>
      <c r="T52" s="37">
        <v>0</v>
      </c>
      <c r="U52" s="37">
        <f t="shared" si="35"/>
        <v>46494.36</v>
      </c>
    </row>
    <row r="53" spans="1:27" s="21" customFormat="1">
      <c r="A53" s="149"/>
      <c r="B53" s="20" t="s">
        <v>27</v>
      </c>
      <c r="C53" s="57"/>
      <c r="D53" s="20"/>
      <c r="E53" s="58"/>
      <c r="F53" s="59"/>
      <c r="G53" s="59"/>
      <c r="H53" s="51">
        <f>SUM(H44:H52)</f>
        <v>74.715166239599995</v>
      </c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>
        <f>SUM(U44:U52)</f>
        <v>74715.166239599988</v>
      </c>
      <c r="V53" s="141"/>
      <c r="W53" s="141"/>
      <c r="X53" s="141"/>
      <c r="Y53" s="141"/>
      <c r="Z53" s="141"/>
      <c r="AA53" s="141"/>
    </row>
    <row r="54" spans="1:27">
      <c r="A54" s="146"/>
      <c r="B54" s="12" t="s">
        <v>63</v>
      </c>
      <c r="C54" s="27"/>
      <c r="D54" s="11"/>
      <c r="E54" s="34"/>
      <c r="F54" s="35"/>
      <c r="G54" s="35"/>
      <c r="H54" s="36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</row>
    <row r="55" spans="1:27" ht="38.25">
      <c r="A55" s="150" t="s">
        <v>189</v>
      </c>
      <c r="B55" s="11" t="s">
        <v>150</v>
      </c>
      <c r="C55" s="27" t="s">
        <v>13</v>
      </c>
      <c r="D55" s="11" t="s">
        <v>104</v>
      </c>
      <c r="E55" s="34">
        <v>166.25</v>
      </c>
      <c r="F55" s="35">
        <f>E55*6/100</f>
        <v>9.9749999999999996</v>
      </c>
      <c r="G55" s="61">
        <v>1547.28</v>
      </c>
      <c r="H55" s="36">
        <f>F55*G55/1000</f>
        <v>15.434117999999998</v>
      </c>
      <c r="I55" s="37">
        <f>F55/6*G55</f>
        <v>2572.3529999999996</v>
      </c>
      <c r="J55" s="37">
        <f>F55/6*G55</f>
        <v>2572.3529999999996</v>
      </c>
      <c r="K55" s="37">
        <f>F55/6*G55</f>
        <v>2572.3529999999996</v>
      </c>
      <c r="L55" s="37">
        <f>F55/6*G55</f>
        <v>2572.3529999999996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f>F55/6*G55</f>
        <v>2572.3529999999996</v>
      </c>
      <c r="T55" s="37">
        <f>F55/6*G55</f>
        <v>2572.3529999999996</v>
      </c>
      <c r="U55" s="37">
        <f t="shared" ref="U55:U80" si="39">SUM(I55:T55)</f>
        <v>15434.117999999997</v>
      </c>
    </row>
    <row r="56" spans="1:27" ht="12.75" customHeight="1">
      <c r="A56" s="150" t="s">
        <v>190</v>
      </c>
      <c r="B56" s="22" t="s">
        <v>105</v>
      </c>
      <c r="C56" s="62" t="s">
        <v>13</v>
      </c>
      <c r="D56" s="22" t="s">
        <v>104</v>
      </c>
      <c r="E56" s="63">
        <v>56</v>
      </c>
      <c r="F56" s="64">
        <f>E56*6/100</f>
        <v>3.36</v>
      </c>
      <c r="G56" s="61">
        <v>1547.28</v>
      </c>
      <c r="H56" s="65">
        <f>F56*G56/1000</f>
        <v>5.1988607999999994</v>
      </c>
      <c r="I56" s="37">
        <f>F56/6*G56</f>
        <v>866.47679999999991</v>
      </c>
      <c r="J56" s="37">
        <f>F56/6*G56</f>
        <v>866.47679999999991</v>
      </c>
      <c r="K56" s="37">
        <f>F56/6*G56</f>
        <v>866.47679999999991</v>
      </c>
      <c r="L56" s="37">
        <f>F56/6*G56</f>
        <v>866.47679999999991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f>F56/6*G56</f>
        <v>866.47679999999991</v>
      </c>
      <c r="T56" s="37">
        <f>F56/6*G56</f>
        <v>866.47679999999991</v>
      </c>
      <c r="U56" s="37">
        <f t="shared" si="39"/>
        <v>5198.8608000000004</v>
      </c>
    </row>
    <row r="57" spans="1:27" ht="12.75" customHeight="1">
      <c r="A57" s="146" t="s">
        <v>191</v>
      </c>
      <c r="B57" s="22" t="s">
        <v>100</v>
      </c>
      <c r="C57" s="62" t="s">
        <v>101</v>
      </c>
      <c r="D57" s="22" t="s">
        <v>49</v>
      </c>
      <c r="E57" s="63">
        <v>8</v>
      </c>
      <c r="F57" s="64">
        <v>16</v>
      </c>
      <c r="G57" s="66">
        <v>180.78</v>
      </c>
      <c r="H57" s="65">
        <f>F57*G57/1000</f>
        <v>2.8924799999999999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f t="shared" si="39"/>
        <v>0</v>
      </c>
    </row>
    <row r="58" spans="1:27" ht="12.75" customHeight="1">
      <c r="A58" s="151"/>
      <c r="B58" s="23" t="s">
        <v>64</v>
      </c>
      <c r="C58" s="62"/>
      <c r="D58" s="22"/>
      <c r="E58" s="63"/>
      <c r="F58" s="64"/>
      <c r="G58" s="67"/>
      <c r="H58" s="65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</row>
    <row r="59" spans="1:27" ht="12.75" customHeight="1">
      <c r="A59" s="151"/>
      <c r="B59" s="22" t="s">
        <v>102</v>
      </c>
      <c r="C59" s="62" t="s">
        <v>65</v>
      </c>
      <c r="D59" s="22" t="s">
        <v>66</v>
      </c>
      <c r="E59" s="63">
        <v>330.5</v>
      </c>
      <c r="F59" s="64">
        <f>E59*12</f>
        <v>3966</v>
      </c>
      <c r="G59" s="68">
        <v>2.5960000000000001</v>
      </c>
      <c r="H59" s="65">
        <f>G59*F59/1000</f>
        <v>10.295736000000002</v>
      </c>
      <c r="I59" s="37">
        <f>F59/12*G59</f>
        <v>857.97800000000007</v>
      </c>
      <c r="J59" s="37">
        <f>F59/12*G59</f>
        <v>857.97800000000007</v>
      </c>
      <c r="K59" s="37">
        <f>F59/12*G59</f>
        <v>857.97800000000007</v>
      </c>
      <c r="L59" s="37">
        <f>F59/12*G59</f>
        <v>857.97800000000007</v>
      </c>
      <c r="M59" s="37">
        <f>F59/12*G59</f>
        <v>857.97800000000007</v>
      </c>
      <c r="N59" s="37">
        <f>F59/12*G59</f>
        <v>857.97800000000007</v>
      </c>
      <c r="O59" s="37">
        <f>F59/12*G59</f>
        <v>857.97800000000007</v>
      </c>
      <c r="P59" s="37">
        <f>F59/12*G59</f>
        <v>857.97800000000007</v>
      </c>
      <c r="Q59" s="37">
        <f>F59/12*G59</f>
        <v>857.97800000000007</v>
      </c>
      <c r="R59" s="37">
        <f>F59/12*G59</f>
        <v>857.97800000000007</v>
      </c>
      <c r="S59" s="37">
        <f>F59/12*G59</f>
        <v>857.97800000000007</v>
      </c>
      <c r="T59" s="37">
        <f>F59/12*G59</f>
        <v>857.97800000000007</v>
      </c>
      <c r="U59" s="37">
        <f t="shared" si="39"/>
        <v>10295.736000000001</v>
      </c>
    </row>
    <row r="60" spans="1:27" ht="12.75" customHeight="1">
      <c r="A60" s="151" t="s">
        <v>192</v>
      </c>
      <c r="B60" s="22" t="s">
        <v>106</v>
      </c>
      <c r="C60" s="62" t="s">
        <v>65</v>
      </c>
      <c r="D60" s="22" t="s">
        <v>32</v>
      </c>
      <c r="E60" s="63">
        <v>1652.5</v>
      </c>
      <c r="F60" s="64">
        <f>E60/100</f>
        <v>16.524999999999999</v>
      </c>
      <c r="G60" s="69">
        <v>793.61</v>
      </c>
      <c r="H60" s="65">
        <f>G60*F60/1000</f>
        <v>13.114405249999999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f t="shared" si="39"/>
        <v>0</v>
      </c>
    </row>
    <row r="61" spans="1:27">
      <c r="A61" s="151"/>
      <c r="B61" s="15" t="s">
        <v>67</v>
      </c>
      <c r="C61" s="62"/>
      <c r="D61" s="22"/>
      <c r="E61" s="63"/>
      <c r="F61" s="64"/>
      <c r="G61" s="64"/>
      <c r="H61" s="65" t="s">
        <v>43</v>
      </c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</row>
    <row r="62" spans="1:27" ht="12.75" customHeight="1">
      <c r="A62" s="70" t="s">
        <v>193</v>
      </c>
      <c r="B62" s="16" t="s">
        <v>68</v>
      </c>
      <c r="C62" s="70" t="s">
        <v>60</v>
      </c>
      <c r="D62" s="9" t="s">
        <v>39</v>
      </c>
      <c r="E62" s="71">
        <v>10</v>
      </c>
      <c r="F62" s="35">
        <v>10</v>
      </c>
      <c r="G62" s="55">
        <v>222.4</v>
      </c>
      <c r="H62" s="131">
        <f t="shared" ref="H62:H75" si="40">SUM(F62*G62/1000)</f>
        <v>2.2240000000000002</v>
      </c>
      <c r="I62" s="37">
        <f>G62*2</f>
        <v>444.8</v>
      </c>
      <c r="J62" s="54">
        <f>G62*10</f>
        <v>2224</v>
      </c>
      <c r="K62" s="37">
        <f>G62*4</f>
        <v>889.6</v>
      </c>
      <c r="L62" s="37">
        <f>G62</f>
        <v>222.4</v>
      </c>
      <c r="M62" s="37">
        <v>0</v>
      </c>
      <c r="N62" s="37">
        <f>G62*2</f>
        <v>444.8</v>
      </c>
      <c r="O62" s="37">
        <f>G62*7</f>
        <v>1556.8</v>
      </c>
      <c r="P62" s="37">
        <f>G62*4</f>
        <v>889.6</v>
      </c>
      <c r="Q62" s="37">
        <f>G62*8</f>
        <v>1779.2</v>
      </c>
      <c r="R62" s="37">
        <f>G62*6</f>
        <v>1334.4</v>
      </c>
      <c r="S62" s="37">
        <f>G62*3</f>
        <v>667.2</v>
      </c>
      <c r="T62" s="37">
        <f>G62</f>
        <v>222.4</v>
      </c>
      <c r="U62" s="37">
        <f t="shared" si="39"/>
        <v>10675.2</v>
      </c>
    </row>
    <row r="63" spans="1:27" ht="12.75" customHeight="1">
      <c r="A63" s="70" t="s">
        <v>194</v>
      </c>
      <c r="B63" s="16" t="s">
        <v>69</v>
      </c>
      <c r="C63" s="70" t="s">
        <v>60</v>
      </c>
      <c r="D63" s="9" t="s">
        <v>39</v>
      </c>
      <c r="E63" s="71">
        <v>8</v>
      </c>
      <c r="F63" s="35">
        <v>8</v>
      </c>
      <c r="G63" s="55">
        <v>76.25</v>
      </c>
      <c r="H63" s="131">
        <f t="shared" si="40"/>
        <v>0.61</v>
      </c>
      <c r="I63" s="37">
        <v>0</v>
      </c>
      <c r="J63" s="54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f t="shared" si="39"/>
        <v>0</v>
      </c>
    </row>
    <row r="64" spans="1:27" s="2" customFormat="1">
      <c r="A64" s="72" t="s">
        <v>195</v>
      </c>
      <c r="B64" s="16" t="s">
        <v>70</v>
      </c>
      <c r="C64" s="72" t="s">
        <v>71</v>
      </c>
      <c r="D64" s="9" t="s">
        <v>32</v>
      </c>
      <c r="E64" s="34">
        <v>23267</v>
      </c>
      <c r="F64" s="56">
        <f>SUM(E64/100)</f>
        <v>232.67</v>
      </c>
      <c r="G64" s="55">
        <v>212.15</v>
      </c>
      <c r="H64" s="131">
        <f t="shared" si="40"/>
        <v>49.360940499999998</v>
      </c>
      <c r="I64" s="54">
        <v>0</v>
      </c>
      <c r="J64" s="54">
        <v>0</v>
      </c>
      <c r="K64" s="37">
        <v>0</v>
      </c>
      <c r="L64" s="37">
        <v>0</v>
      </c>
      <c r="M64" s="37">
        <f>F64*G64</f>
        <v>49360.940499999997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f t="shared" si="39"/>
        <v>49360.940499999997</v>
      </c>
      <c r="V64" s="141"/>
      <c r="W64" s="141"/>
      <c r="X64" s="141"/>
      <c r="Y64" s="141"/>
      <c r="Z64" s="141"/>
      <c r="AA64" s="141"/>
    </row>
    <row r="65" spans="1:27" ht="12.75" customHeight="1">
      <c r="A65" s="70" t="s">
        <v>196</v>
      </c>
      <c r="B65" s="16" t="s">
        <v>72</v>
      </c>
      <c r="C65" s="70" t="s">
        <v>73</v>
      </c>
      <c r="D65" s="9"/>
      <c r="E65" s="34">
        <v>23267</v>
      </c>
      <c r="F65" s="55">
        <f>SUM(E65/1000)</f>
        <v>23.266999999999999</v>
      </c>
      <c r="G65" s="55">
        <v>165.21</v>
      </c>
      <c r="H65" s="131">
        <f t="shared" si="40"/>
        <v>3.8439410700000005</v>
      </c>
      <c r="I65" s="37">
        <v>0</v>
      </c>
      <c r="J65" s="37">
        <v>0</v>
      </c>
      <c r="K65" s="37">
        <v>0</v>
      </c>
      <c r="L65" s="37">
        <v>0</v>
      </c>
      <c r="M65" s="37">
        <f t="shared" ref="M65:M68" si="41">F65*G65</f>
        <v>3843.9410700000003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f t="shared" si="39"/>
        <v>3843.9410700000003</v>
      </c>
    </row>
    <row r="66" spans="1:27">
      <c r="A66" s="70" t="s">
        <v>197</v>
      </c>
      <c r="B66" s="16" t="s">
        <v>74</v>
      </c>
      <c r="C66" s="70" t="s">
        <v>75</v>
      </c>
      <c r="D66" s="9" t="s">
        <v>32</v>
      </c>
      <c r="E66" s="34">
        <v>3145</v>
      </c>
      <c r="F66" s="55">
        <f>SUM(E66/100)</f>
        <v>31.45</v>
      </c>
      <c r="G66" s="55">
        <v>2074.63</v>
      </c>
      <c r="H66" s="131">
        <f t="shared" si="40"/>
        <v>65.247113499999998</v>
      </c>
      <c r="I66" s="37">
        <v>0</v>
      </c>
      <c r="J66" s="37">
        <v>0</v>
      </c>
      <c r="K66" s="37">
        <v>0</v>
      </c>
      <c r="L66" s="37">
        <v>0</v>
      </c>
      <c r="M66" s="37">
        <f>F66*G66</f>
        <v>65247.113499999999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f t="shared" si="39"/>
        <v>65247.113499999999</v>
      </c>
    </row>
    <row r="67" spans="1:27">
      <c r="A67" s="70"/>
      <c r="B67" s="17" t="s">
        <v>96</v>
      </c>
      <c r="C67" s="70" t="s">
        <v>37</v>
      </c>
      <c r="D67" s="9"/>
      <c r="E67" s="34">
        <v>20.66</v>
      </c>
      <c r="F67" s="55">
        <f>SUM(E67)</f>
        <v>20.66</v>
      </c>
      <c r="G67" s="55">
        <v>42.67</v>
      </c>
      <c r="H67" s="131">
        <f t="shared" si="40"/>
        <v>0.88156220000000007</v>
      </c>
      <c r="I67" s="37">
        <v>0</v>
      </c>
      <c r="J67" s="37">
        <v>0</v>
      </c>
      <c r="K67" s="37">
        <v>0</v>
      </c>
      <c r="L67" s="37">
        <v>0</v>
      </c>
      <c r="M67" s="37">
        <f t="shared" si="41"/>
        <v>881.56220000000008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f t="shared" si="39"/>
        <v>881.56220000000008</v>
      </c>
    </row>
    <row r="68" spans="1:27" ht="12.75" customHeight="1">
      <c r="A68" s="156"/>
      <c r="B68" s="17" t="s">
        <v>97</v>
      </c>
      <c r="C68" s="70" t="s">
        <v>37</v>
      </c>
      <c r="D68" s="9"/>
      <c r="E68" s="34">
        <v>20.66</v>
      </c>
      <c r="F68" s="55">
        <f>SUM(E68)</f>
        <v>20.66</v>
      </c>
      <c r="G68" s="55">
        <v>39.81</v>
      </c>
      <c r="H68" s="131">
        <f t="shared" si="40"/>
        <v>0.82247460000000006</v>
      </c>
      <c r="I68" s="37">
        <v>0</v>
      </c>
      <c r="J68" s="37">
        <v>0</v>
      </c>
      <c r="K68" s="37">
        <v>0</v>
      </c>
      <c r="L68" s="37">
        <v>0</v>
      </c>
      <c r="M68" s="37">
        <f t="shared" si="41"/>
        <v>822.47460000000001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f t="shared" si="39"/>
        <v>822.47460000000001</v>
      </c>
    </row>
    <row r="69" spans="1:27">
      <c r="A69" s="70" t="s">
        <v>198</v>
      </c>
      <c r="B69" s="9" t="s">
        <v>76</v>
      </c>
      <c r="C69" s="70" t="s">
        <v>77</v>
      </c>
      <c r="D69" s="9" t="s">
        <v>32</v>
      </c>
      <c r="E69" s="71">
        <v>5</v>
      </c>
      <c r="F69" s="35">
        <f>SUM(E69)</f>
        <v>5</v>
      </c>
      <c r="G69" s="55">
        <v>49.88</v>
      </c>
      <c r="H69" s="131">
        <f t="shared" si="40"/>
        <v>0.24940000000000001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f>G69*5</f>
        <v>249.4</v>
      </c>
      <c r="R69" s="37">
        <v>0</v>
      </c>
      <c r="S69" s="37">
        <v>0</v>
      </c>
      <c r="T69" s="37">
        <v>0</v>
      </c>
      <c r="U69" s="37">
        <f t="shared" si="39"/>
        <v>249.4</v>
      </c>
    </row>
    <row r="70" spans="1:27">
      <c r="A70" s="70"/>
      <c r="B70" s="18" t="s">
        <v>78</v>
      </c>
      <c r="C70" s="70"/>
      <c r="D70" s="9"/>
      <c r="E70" s="71"/>
      <c r="F70" s="55"/>
      <c r="G70" s="55"/>
      <c r="H70" s="131" t="s">
        <v>43</v>
      </c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</row>
    <row r="71" spans="1:27">
      <c r="A71" s="70" t="s">
        <v>199</v>
      </c>
      <c r="B71" s="9" t="s">
        <v>111</v>
      </c>
      <c r="C71" s="70" t="s">
        <v>112</v>
      </c>
      <c r="D71" s="9"/>
      <c r="E71" s="71">
        <v>10</v>
      </c>
      <c r="F71" s="67">
        <v>1</v>
      </c>
      <c r="G71" s="55">
        <v>501.62</v>
      </c>
      <c r="H71" s="131">
        <f>F71*G71/1000</f>
        <v>0.50161999999999995</v>
      </c>
      <c r="I71" s="37">
        <f>G71*0.2</f>
        <v>100.32400000000001</v>
      </c>
      <c r="J71" s="37">
        <f>G71*0.2</f>
        <v>100.32400000000001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f>G71*0.1</f>
        <v>50.162000000000006</v>
      </c>
      <c r="Q71" s="37">
        <v>0</v>
      </c>
      <c r="R71" s="37">
        <v>0</v>
      </c>
      <c r="S71" s="37">
        <v>0</v>
      </c>
      <c r="T71" s="37">
        <f>G71*0.3</f>
        <v>150.48599999999999</v>
      </c>
      <c r="U71" s="37">
        <f t="shared" si="39"/>
        <v>401.29600000000005</v>
      </c>
    </row>
    <row r="72" spans="1:27">
      <c r="A72" s="70" t="s">
        <v>200</v>
      </c>
      <c r="B72" s="9" t="s">
        <v>79</v>
      </c>
      <c r="C72" s="70" t="s">
        <v>34</v>
      </c>
      <c r="D72" s="9"/>
      <c r="E72" s="71">
        <v>1</v>
      </c>
      <c r="F72" s="35">
        <v>1</v>
      </c>
      <c r="G72" s="55">
        <v>358.51</v>
      </c>
      <c r="H72" s="131">
        <f>F72*G72/1000</f>
        <v>0.35851</v>
      </c>
      <c r="I72" s="37">
        <v>0</v>
      </c>
      <c r="J72" s="37">
        <f>G72</f>
        <v>358.51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f t="shared" si="39"/>
        <v>358.51</v>
      </c>
    </row>
    <row r="73" spans="1:27">
      <c r="A73" s="70" t="s">
        <v>201</v>
      </c>
      <c r="B73" s="9" t="s">
        <v>98</v>
      </c>
      <c r="C73" s="70" t="s">
        <v>34</v>
      </c>
      <c r="D73" s="9"/>
      <c r="E73" s="71">
        <v>1</v>
      </c>
      <c r="F73" s="55">
        <v>1</v>
      </c>
      <c r="G73" s="55">
        <v>852.99</v>
      </c>
      <c r="H73" s="131">
        <f>F73*G73/1000</f>
        <v>0.85299000000000003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f>G73</f>
        <v>852.99</v>
      </c>
      <c r="R73" s="37">
        <v>0</v>
      </c>
      <c r="S73" s="37">
        <v>0</v>
      </c>
      <c r="T73" s="37">
        <v>0</v>
      </c>
      <c r="U73" s="37">
        <f t="shared" si="39"/>
        <v>852.99</v>
      </c>
    </row>
    <row r="74" spans="1:27">
      <c r="A74" s="70"/>
      <c r="B74" s="73" t="s">
        <v>80</v>
      </c>
      <c r="C74" s="70"/>
      <c r="D74" s="9"/>
      <c r="E74" s="71"/>
      <c r="F74" s="55"/>
      <c r="G74" s="55" t="s">
        <v>43</v>
      </c>
      <c r="H74" s="131" t="s">
        <v>43</v>
      </c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</row>
    <row r="75" spans="1:27" s="2" customFormat="1">
      <c r="A75" s="72" t="s">
        <v>81</v>
      </c>
      <c r="B75" s="74" t="s">
        <v>82</v>
      </c>
      <c r="C75" s="72" t="s">
        <v>75</v>
      </c>
      <c r="D75" s="16"/>
      <c r="E75" s="75"/>
      <c r="F75" s="56">
        <v>1.35</v>
      </c>
      <c r="G75" s="56">
        <v>2759.44</v>
      </c>
      <c r="H75" s="131">
        <f t="shared" si="40"/>
        <v>3.725244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37">
        <f t="shared" si="39"/>
        <v>0</v>
      </c>
      <c r="V75" s="141"/>
      <c r="W75" s="141"/>
      <c r="X75" s="141"/>
      <c r="Y75" s="141"/>
      <c r="Z75" s="141"/>
      <c r="AA75" s="141"/>
    </row>
    <row r="76" spans="1:27" s="21" customFormat="1">
      <c r="A76" s="76"/>
      <c r="B76" s="20" t="s">
        <v>27</v>
      </c>
      <c r="C76" s="77"/>
      <c r="D76" s="78"/>
      <c r="E76" s="79"/>
      <c r="F76" s="60"/>
      <c r="G76" s="60"/>
      <c r="H76" s="80">
        <f>SUM(H55:H75)</f>
        <v>175.61339591999999</v>
      </c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>
        <f>SUM(U55:U75)</f>
        <v>163622.14266999997</v>
      </c>
      <c r="V76" s="141"/>
      <c r="W76" s="141"/>
      <c r="X76" s="141"/>
      <c r="Y76" s="141"/>
      <c r="Z76" s="141"/>
      <c r="AA76" s="141"/>
    </row>
    <row r="77" spans="1:27">
      <c r="A77" s="152" t="s">
        <v>127</v>
      </c>
      <c r="B77" s="11" t="s">
        <v>128</v>
      </c>
      <c r="C77" s="81"/>
      <c r="D77" s="82"/>
      <c r="E77" s="128"/>
      <c r="F77" s="83">
        <v>1</v>
      </c>
      <c r="G77" s="84">
        <v>27750</v>
      </c>
      <c r="H77" s="131">
        <f>G77*F77/1000</f>
        <v>27.75</v>
      </c>
      <c r="I77" s="37">
        <v>0</v>
      </c>
      <c r="J77" s="37">
        <f>G77</f>
        <v>27750</v>
      </c>
      <c r="K77" s="37">
        <v>0</v>
      </c>
      <c r="L77" s="37">
        <v>0</v>
      </c>
      <c r="M77" s="38">
        <v>0</v>
      </c>
      <c r="N77" s="38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f t="shared" si="39"/>
        <v>27750</v>
      </c>
    </row>
    <row r="78" spans="1:27" ht="12.75" customHeight="1">
      <c r="A78" s="153"/>
      <c r="B78" s="24" t="s">
        <v>83</v>
      </c>
      <c r="C78" s="70" t="s">
        <v>84</v>
      </c>
      <c r="D78" s="85"/>
      <c r="E78" s="55">
        <v>5916.3</v>
      </c>
      <c r="F78" s="55">
        <f>SUM(E78*12)</f>
        <v>70995.600000000006</v>
      </c>
      <c r="G78" s="86">
        <v>2.1</v>
      </c>
      <c r="H78" s="131">
        <f>SUM(F78*G78/1000)</f>
        <v>149.09076000000002</v>
      </c>
      <c r="I78" s="37">
        <f>F78/12*G78</f>
        <v>12424.230000000001</v>
      </c>
      <c r="J78" s="37">
        <f>F78/12*G78</f>
        <v>12424.230000000001</v>
      </c>
      <c r="K78" s="37">
        <f>F78/12*G78</f>
        <v>12424.230000000001</v>
      </c>
      <c r="L78" s="37">
        <f>F78/12*G78</f>
        <v>12424.230000000001</v>
      </c>
      <c r="M78" s="38">
        <f>F78/12*G78</f>
        <v>12424.230000000001</v>
      </c>
      <c r="N78" s="38">
        <f>F78/12*G78</f>
        <v>12424.230000000001</v>
      </c>
      <c r="O78" s="37">
        <f>F78/12*G78</f>
        <v>12424.230000000001</v>
      </c>
      <c r="P78" s="37">
        <f>F78/12*G78</f>
        <v>12424.230000000001</v>
      </c>
      <c r="Q78" s="37">
        <f>F78/12*G78</f>
        <v>12424.230000000001</v>
      </c>
      <c r="R78" s="37">
        <f>F78/12*G78</f>
        <v>12424.230000000001</v>
      </c>
      <c r="S78" s="37">
        <f>F78/12*G78</f>
        <v>12424.230000000001</v>
      </c>
      <c r="T78" s="37">
        <f>F78/12*G78</f>
        <v>12424.230000000001</v>
      </c>
      <c r="U78" s="37">
        <f t="shared" si="39"/>
        <v>149090.76</v>
      </c>
    </row>
    <row r="79" spans="1:27" s="19" customFormat="1">
      <c r="A79" s="87"/>
      <c r="B79" s="20" t="s">
        <v>27</v>
      </c>
      <c r="C79" s="88"/>
      <c r="D79" s="89"/>
      <c r="E79" s="90"/>
      <c r="F79" s="46"/>
      <c r="G79" s="91"/>
      <c r="H79" s="47">
        <f>SUM(H77:H78)</f>
        <v>176.84076000000002</v>
      </c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>
        <f>SUM(U77:U78)</f>
        <v>176840.76</v>
      </c>
      <c r="V79" s="141"/>
      <c r="W79" s="141"/>
      <c r="X79" s="141"/>
      <c r="Y79" s="141"/>
      <c r="Z79" s="141"/>
      <c r="AA79" s="141"/>
    </row>
    <row r="80" spans="1:27" ht="25.5" customHeight="1">
      <c r="A80" s="92"/>
      <c r="B80" s="9" t="s">
        <v>85</v>
      </c>
      <c r="C80" s="70"/>
      <c r="D80" s="25"/>
      <c r="E80" s="34">
        <f>E78</f>
        <v>5916.3</v>
      </c>
      <c r="F80" s="55">
        <f>E80*12</f>
        <v>70995.600000000006</v>
      </c>
      <c r="G80" s="55">
        <v>1.63</v>
      </c>
      <c r="H80" s="131">
        <f>F80*G80/1000</f>
        <v>115.72282800000001</v>
      </c>
      <c r="I80" s="37">
        <f>F80/12*G80</f>
        <v>9643.5689999999995</v>
      </c>
      <c r="J80" s="37">
        <f>F80/12*G80</f>
        <v>9643.5689999999995</v>
      </c>
      <c r="K80" s="37">
        <f>F80/12*G80</f>
        <v>9643.5689999999995</v>
      </c>
      <c r="L80" s="37">
        <f>F80/12*G80</f>
        <v>9643.5689999999995</v>
      </c>
      <c r="M80" s="37">
        <f>F80/12*G80</f>
        <v>9643.5689999999995</v>
      </c>
      <c r="N80" s="37">
        <f>F80/12*G80</f>
        <v>9643.5689999999995</v>
      </c>
      <c r="O80" s="37">
        <f>F80/12*G80</f>
        <v>9643.5689999999995</v>
      </c>
      <c r="P80" s="37">
        <f>F80/12*G80</f>
        <v>9643.5689999999995</v>
      </c>
      <c r="Q80" s="37">
        <f>F80/12*G80</f>
        <v>9643.5689999999995</v>
      </c>
      <c r="R80" s="37">
        <f>F80/12*G80</f>
        <v>9643.5689999999995</v>
      </c>
      <c r="S80" s="37">
        <f>F80/12*G80</f>
        <v>9643.5689999999995</v>
      </c>
      <c r="T80" s="37">
        <f t="shared" ref="T80" si="42">F80/12*G80</f>
        <v>9643.5689999999995</v>
      </c>
      <c r="U80" s="37">
        <f t="shared" si="39"/>
        <v>115722.82800000002</v>
      </c>
      <c r="W80" s="182"/>
      <c r="X80" s="182"/>
      <c r="Y80" s="182"/>
      <c r="Z80" s="182"/>
      <c r="AA80" s="182"/>
    </row>
    <row r="81" spans="1:27" s="19" customFormat="1">
      <c r="A81" s="87"/>
      <c r="B81" s="93" t="s">
        <v>86</v>
      </c>
      <c r="C81" s="94"/>
      <c r="D81" s="93"/>
      <c r="E81" s="46"/>
      <c r="F81" s="46"/>
      <c r="G81" s="46"/>
      <c r="H81" s="80">
        <f>H80</f>
        <v>115.72282800000001</v>
      </c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124">
        <f>U80</f>
        <v>115722.82800000002</v>
      </c>
      <c r="V81" s="141"/>
      <c r="W81" s="141"/>
      <c r="X81" s="141"/>
      <c r="Y81" s="141"/>
      <c r="Z81" s="141"/>
      <c r="AA81" s="141"/>
    </row>
    <row r="82" spans="1:27" s="19" customFormat="1">
      <c r="A82" s="87"/>
      <c r="B82" s="93" t="s">
        <v>87</v>
      </c>
      <c r="C82" s="95"/>
      <c r="D82" s="96"/>
      <c r="E82" s="97"/>
      <c r="F82" s="97"/>
      <c r="G82" s="97"/>
      <c r="H82" s="80">
        <f>SUM(H81+H79+H76+H53+H42+H33+H22)</f>
        <v>1181.2642275619332</v>
      </c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124">
        <f>SUM(U81+U79+U76+U53+U42+U33+U22)*1.054</f>
        <v>1228246.9082983981</v>
      </c>
      <c r="V82" s="141"/>
      <c r="W82" s="141"/>
      <c r="X82" s="141"/>
      <c r="Y82" s="141"/>
      <c r="Z82" s="141"/>
      <c r="AA82" s="141"/>
    </row>
    <row r="83" spans="1:27" s="123" customFormat="1" ht="51" customHeight="1">
      <c r="A83" s="92"/>
      <c r="B83" s="73"/>
      <c r="C83" s="70"/>
      <c r="D83" s="25"/>
      <c r="E83" s="55"/>
      <c r="F83" s="55"/>
      <c r="G83" s="55"/>
      <c r="H83" s="122"/>
      <c r="I83" s="55"/>
      <c r="J83" s="55"/>
      <c r="K83" s="55"/>
      <c r="L83" s="55"/>
      <c r="M83" s="55"/>
      <c r="N83" s="55"/>
      <c r="O83" s="55"/>
      <c r="P83" s="55"/>
      <c r="Q83" s="55"/>
      <c r="R83" s="133"/>
      <c r="S83" s="133"/>
      <c r="T83" s="133"/>
      <c r="U83" s="132" t="s">
        <v>216</v>
      </c>
      <c r="V83" s="141"/>
      <c r="W83" s="141"/>
      <c r="X83" s="141"/>
      <c r="Y83" s="141"/>
      <c r="Z83" s="141"/>
      <c r="AA83" s="141"/>
    </row>
    <row r="84" spans="1:27">
      <c r="A84" s="92"/>
      <c r="B84" s="25" t="s">
        <v>88</v>
      </c>
      <c r="C84" s="70"/>
      <c r="D84" s="25"/>
      <c r="E84" s="55"/>
      <c r="F84" s="55"/>
      <c r="G84" s="55" t="s">
        <v>89</v>
      </c>
      <c r="H84" s="98">
        <f>E80</f>
        <v>5916.3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</row>
    <row r="85" spans="1:27" s="19" customFormat="1">
      <c r="A85" s="87"/>
      <c r="B85" s="96" t="s">
        <v>90</v>
      </c>
      <c r="C85" s="95"/>
      <c r="D85" s="96"/>
      <c r="E85" s="97"/>
      <c r="F85" s="97"/>
      <c r="G85" s="97"/>
      <c r="H85" s="99">
        <f>SUM(H82/H84/12*1000)</f>
        <v>16.638555453604635</v>
      </c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125"/>
      <c r="V85" s="141"/>
      <c r="W85" s="141"/>
      <c r="X85" s="141"/>
      <c r="Y85" s="141"/>
      <c r="Z85" s="141"/>
      <c r="AA85" s="141"/>
    </row>
    <row r="86" spans="1:27">
      <c r="A86" s="92"/>
      <c r="B86" s="25"/>
      <c r="C86" s="70"/>
      <c r="D86" s="25"/>
      <c r="E86" s="55"/>
      <c r="F86" s="55"/>
      <c r="G86" s="55"/>
      <c r="H86" s="100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126"/>
    </row>
    <row r="87" spans="1:27">
      <c r="A87" s="92"/>
      <c r="B87" s="73" t="s">
        <v>91</v>
      </c>
      <c r="C87" s="70"/>
      <c r="D87" s="25"/>
      <c r="E87" s="55"/>
      <c r="F87" s="55"/>
      <c r="G87" s="55"/>
      <c r="H87" s="55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</row>
    <row r="88" spans="1:27" ht="12.75" customHeight="1">
      <c r="A88" s="157" t="s">
        <v>229</v>
      </c>
      <c r="B88" s="158" t="s">
        <v>228</v>
      </c>
      <c r="C88" s="157" t="s">
        <v>209</v>
      </c>
      <c r="D88" s="9"/>
      <c r="E88" s="71"/>
      <c r="F88" s="55">
        <f>(3+3+3+15+10+10+10+15+10+3+10+10+15+5+10+10+10+15)/3</f>
        <v>55.666666666666664</v>
      </c>
      <c r="G88" s="139">
        <v>1120.8900000000001</v>
      </c>
      <c r="H88" s="131">
        <f t="shared" ref="H88:H107" si="43">G88*F88/1000</f>
        <v>62.396210000000004</v>
      </c>
      <c r="I88" s="37">
        <f>G88*2</f>
        <v>2241.7800000000002</v>
      </c>
      <c r="J88" s="37">
        <f>G88</f>
        <v>1120.8900000000001</v>
      </c>
      <c r="K88" s="37">
        <f>G88*((15+10)/3)</f>
        <v>9340.7500000000018</v>
      </c>
      <c r="L88" s="37">
        <f>G88*((10+10+15)/3)</f>
        <v>13077.050000000001</v>
      </c>
      <c r="M88" s="37">
        <f>G88*((10+3)/3)</f>
        <v>4857.1900000000005</v>
      </c>
      <c r="N88" s="37">
        <f>G88*((10+10)/3)</f>
        <v>7472.6000000000013</v>
      </c>
      <c r="O88" s="37">
        <f>G88*((15+5)/3)</f>
        <v>7472.6000000000013</v>
      </c>
      <c r="P88" s="37">
        <v>0</v>
      </c>
      <c r="Q88" s="37">
        <v>0</v>
      </c>
      <c r="R88" s="37">
        <v>0</v>
      </c>
      <c r="S88" s="37">
        <f>G88*((10+10+10)/3)</f>
        <v>11208.900000000001</v>
      </c>
      <c r="T88" s="37">
        <f>G88*(15/3)</f>
        <v>5604.4500000000007</v>
      </c>
      <c r="U88" s="37">
        <f t="shared" ref="U88:U119" si="44">SUM(I88:T88)</f>
        <v>62396.210000000006</v>
      </c>
    </row>
    <row r="89" spans="1:27" ht="12.75" customHeight="1">
      <c r="A89" s="138" t="s">
        <v>208</v>
      </c>
      <c r="B89" s="137" t="s">
        <v>155</v>
      </c>
      <c r="C89" s="138" t="s">
        <v>156</v>
      </c>
      <c r="D89" s="9"/>
      <c r="E89" s="71"/>
      <c r="F89" s="55">
        <v>5</v>
      </c>
      <c r="G89" s="55">
        <v>195.85</v>
      </c>
      <c r="H89" s="131">
        <f>G89*F89/1000</f>
        <v>0.97924999999999995</v>
      </c>
      <c r="I89" s="37">
        <f>G89</f>
        <v>195.85</v>
      </c>
      <c r="J89" s="37">
        <v>0</v>
      </c>
      <c r="K89" s="37">
        <v>0</v>
      </c>
      <c r="L89" s="37">
        <v>0</v>
      </c>
      <c r="M89" s="37">
        <f>G89</f>
        <v>195.85</v>
      </c>
      <c r="N89" s="37">
        <v>0</v>
      </c>
      <c r="O89" s="37">
        <v>0</v>
      </c>
      <c r="P89" s="37">
        <v>0</v>
      </c>
      <c r="Q89" s="37">
        <v>0</v>
      </c>
      <c r="R89" s="37">
        <f>G89*3</f>
        <v>587.54999999999995</v>
      </c>
      <c r="S89" s="37">
        <v>0</v>
      </c>
      <c r="T89" s="37">
        <v>0</v>
      </c>
      <c r="U89" s="37">
        <f t="shared" si="44"/>
        <v>979.25</v>
      </c>
    </row>
    <row r="90" spans="1:27" ht="25.5" customHeight="1">
      <c r="A90" s="138" t="s">
        <v>205</v>
      </c>
      <c r="B90" s="137" t="s">
        <v>139</v>
      </c>
      <c r="C90" s="138" t="s">
        <v>60</v>
      </c>
      <c r="D90" s="9"/>
      <c r="E90" s="71"/>
      <c r="F90" s="55">
        <v>8</v>
      </c>
      <c r="G90" s="139">
        <v>189.88</v>
      </c>
      <c r="H90" s="131">
        <f t="shared" si="43"/>
        <v>1.5190399999999999</v>
      </c>
      <c r="I90" s="37">
        <f>G90*2</f>
        <v>379.76</v>
      </c>
      <c r="J90" s="37">
        <v>0</v>
      </c>
      <c r="K90" s="37">
        <f>G90</f>
        <v>189.88</v>
      </c>
      <c r="L90" s="37">
        <v>0</v>
      </c>
      <c r="M90" s="37">
        <f>G90</f>
        <v>189.88</v>
      </c>
      <c r="N90" s="37">
        <f>G90</f>
        <v>189.88</v>
      </c>
      <c r="O90" s="37">
        <f>G90</f>
        <v>189.88</v>
      </c>
      <c r="P90" s="37">
        <f>G90*2</f>
        <v>379.76</v>
      </c>
      <c r="Q90" s="37">
        <v>0</v>
      </c>
      <c r="R90" s="37">
        <v>0</v>
      </c>
      <c r="S90" s="37">
        <v>0</v>
      </c>
      <c r="T90" s="37">
        <v>0</v>
      </c>
      <c r="U90" s="37">
        <f t="shared" si="44"/>
        <v>1519.04</v>
      </c>
    </row>
    <row r="91" spans="1:27" ht="25.5" customHeight="1">
      <c r="A91" s="136" t="s">
        <v>186</v>
      </c>
      <c r="B91" s="135" t="s">
        <v>217</v>
      </c>
      <c r="C91" s="136" t="s">
        <v>46</v>
      </c>
      <c r="D91" s="9"/>
      <c r="E91" s="71"/>
      <c r="F91" s="159">
        <f>1/1000</f>
        <v>1E-3</v>
      </c>
      <c r="G91" s="139">
        <v>1591.6</v>
      </c>
      <c r="H91" s="160">
        <f t="shared" si="43"/>
        <v>1.5915999999999999E-3</v>
      </c>
      <c r="I91" s="37">
        <f>G91*0.001</f>
        <v>1.5915999999999999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f t="shared" si="44"/>
        <v>1.5915999999999999</v>
      </c>
    </row>
    <row r="92" spans="1:27" ht="25.5" customHeight="1">
      <c r="A92" s="161" t="s">
        <v>222</v>
      </c>
      <c r="B92" s="137" t="s">
        <v>239</v>
      </c>
      <c r="C92" s="138" t="s">
        <v>134</v>
      </c>
      <c r="D92" s="9"/>
      <c r="E92" s="71"/>
      <c r="F92" s="55">
        <v>6</v>
      </c>
      <c r="G92" s="139">
        <v>666.24</v>
      </c>
      <c r="H92" s="131">
        <f t="shared" si="43"/>
        <v>3.9974400000000001</v>
      </c>
      <c r="I92" s="37">
        <v>0</v>
      </c>
      <c r="J92" s="37">
        <f>G92*2</f>
        <v>1332.48</v>
      </c>
      <c r="K92" s="37">
        <f>G92*2</f>
        <v>1332.48</v>
      </c>
      <c r="L92" s="37">
        <f>G92</f>
        <v>666.24</v>
      </c>
      <c r="M92" s="37">
        <v>0</v>
      </c>
      <c r="N92" s="37">
        <v>0</v>
      </c>
      <c r="O92" s="37">
        <v>0</v>
      </c>
      <c r="P92" s="37">
        <v>0</v>
      </c>
      <c r="Q92" s="37">
        <f>G92</f>
        <v>666.24</v>
      </c>
      <c r="R92" s="37">
        <v>0</v>
      </c>
      <c r="S92" s="37">
        <v>0</v>
      </c>
      <c r="T92" s="37">
        <v>0</v>
      </c>
      <c r="U92" s="37">
        <f t="shared" si="44"/>
        <v>3997.4399999999996</v>
      </c>
    </row>
    <row r="93" spans="1:27" ht="12.75" customHeight="1">
      <c r="A93" s="161" t="s">
        <v>223</v>
      </c>
      <c r="B93" s="137" t="s">
        <v>224</v>
      </c>
      <c r="C93" s="138" t="s">
        <v>134</v>
      </c>
      <c r="D93" s="9"/>
      <c r="E93" s="71"/>
      <c r="F93" s="55">
        <v>1</v>
      </c>
      <c r="G93" s="139">
        <v>5450.56</v>
      </c>
      <c r="H93" s="131">
        <f t="shared" si="43"/>
        <v>5.4505600000000003</v>
      </c>
      <c r="I93" s="37">
        <v>0</v>
      </c>
      <c r="J93" s="37">
        <f>G93</f>
        <v>5450.56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f t="shared" si="44"/>
        <v>5450.56</v>
      </c>
    </row>
    <row r="94" spans="1:27" ht="25.5" customHeight="1">
      <c r="A94" s="161" t="s">
        <v>211</v>
      </c>
      <c r="B94" s="137" t="s">
        <v>212</v>
      </c>
      <c r="C94" s="138" t="s">
        <v>60</v>
      </c>
      <c r="D94" s="25"/>
      <c r="E94" s="55"/>
      <c r="F94" s="55">
        <v>6</v>
      </c>
      <c r="G94" s="55">
        <v>83.36</v>
      </c>
      <c r="H94" s="131">
        <f t="shared" si="43"/>
        <v>0.50015999999999994</v>
      </c>
      <c r="I94" s="37">
        <v>0</v>
      </c>
      <c r="J94" s="37">
        <f>G94</f>
        <v>83.36</v>
      </c>
      <c r="K94" s="37">
        <f>G94</f>
        <v>83.36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f>G94*2</f>
        <v>166.72</v>
      </c>
      <c r="R94" s="37">
        <v>0</v>
      </c>
      <c r="S94" s="37">
        <f>G94</f>
        <v>83.36</v>
      </c>
      <c r="T94" s="37">
        <f>G94</f>
        <v>83.36</v>
      </c>
      <c r="U94" s="37">
        <f t="shared" si="44"/>
        <v>500.16</v>
      </c>
      <c r="V94"/>
      <c r="W94"/>
      <c r="X94"/>
      <c r="Y94"/>
      <c r="Z94"/>
      <c r="AA94"/>
    </row>
    <row r="95" spans="1:27" ht="12.75" customHeight="1">
      <c r="A95" s="138" t="s">
        <v>132</v>
      </c>
      <c r="B95" s="137" t="s">
        <v>158</v>
      </c>
      <c r="C95" s="138" t="s">
        <v>159</v>
      </c>
      <c r="D95" s="9"/>
      <c r="E95" s="71"/>
      <c r="F95" s="55">
        <v>1</v>
      </c>
      <c r="G95" s="139">
        <v>1582</v>
      </c>
      <c r="H95" s="131">
        <f t="shared" si="43"/>
        <v>1.5820000000000001</v>
      </c>
      <c r="I95" s="37">
        <v>0</v>
      </c>
      <c r="J95" s="37">
        <f>G95</f>
        <v>1582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f t="shared" si="44"/>
        <v>1582</v>
      </c>
    </row>
    <row r="96" spans="1:27" ht="12.75" customHeight="1">
      <c r="A96" s="138" t="s">
        <v>207</v>
      </c>
      <c r="B96" s="137" t="s">
        <v>227</v>
      </c>
      <c r="C96" s="138" t="s">
        <v>134</v>
      </c>
      <c r="D96" s="25"/>
      <c r="E96" s="55"/>
      <c r="F96" s="55">
        <v>2</v>
      </c>
      <c r="G96" s="55">
        <v>275.63</v>
      </c>
      <c r="H96" s="131">
        <f t="shared" si="43"/>
        <v>0.55125999999999997</v>
      </c>
      <c r="I96" s="37">
        <v>0</v>
      </c>
      <c r="J96" s="37">
        <v>0</v>
      </c>
      <c r="K96" s="37">
        <f>G96*(1+1)</f>
        <v>551.26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f t="shared" si="44"/>
        <v>551.26</v>
      </c>
    </row>
    <row r="97" spans="1:27">
      <c r="A97" s="161" t="s">
        <v>202</v>
      </c>
      <c r="B97" s="137" t="s">
        <v>225</v>
      </c>
      <c r="C97" s="138" t="s">
        <v>134</v>
      </c>
      <c r="D97" s="25"/>
      <c r="E97" s="55"/>
      <c r="F97" s="55">
        <v>2</v>
      </c>
      <c r="G97" s="55">
        <v>760.76</v>
      </c>
      <c r="H97" s="131">
        <f t="shared" si="43"/>
        <v>1.52152</v>
      </c>
      <c r="I97" s="37">
        <v>0</v>
      </c>
      <c r="J97" s="37">
        <v>0</v>
      </c>
      <c r="K97" s="37">
        <f>G97*(1+1)</f>
        <v>1521.52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f t="shared" si="44"/>
        <v>1521.52</v>
      </c>
    </row>
    <row r="98" spans="1:27" s="141" customFormat="1" ht="25.5">
      <c r="A98" s="161" t="s">
        <v>222</v>
      </c>
      <c r="B98" s="137" t="s">
        <v>226</v>
      </c>
      <c r="C98" s="138" t="s">
        <v>134</v>
      </c>
      <c r="D98" s="134"/>
      <c r="E98" s="139"/>
      <c r="F98" s="139">
        <v>8</v>
      </c>
      <c r="G98" s="139">
        <v>803.54</v>
      </c>
      <c r="H98" s="131">
        <f t="shared" si="43"/>
        <v>6.4283199999999994</v>
      </c>
      <c r="I98" s="37">
        <v>0</v>
      </c>
      <c r="J98" s="37">
        <v>0</v>
      </c>
      <c r="K98" s="37">
        <f>G98*(2+3)</f>
        <v>4017.7</v>
      </c>
      <c r="L98" s="37">
        <v>0</v>
      </c>
      <c r="M98" s="37">
        <v>0</v>
      </c>
      <c r="N98" s="37">
        <v>0</v>
      </c>
      <c r="O98" s="37">
        <v>0</v>
      </c>
      <c r="P98" s="37">
        <f>G98</f>
        <v>803.54</v>
      </c>
      <c r="Q98" s="37">
        <v>0</v>
      </c>
      <c r="R98" s="37">
        <f>G98*2</f>
        <v>1607.08</v>
      </c>
      <c r="S98" s="37">
        <v>0</v>
      </c>
      <c r="T98" s="37">
        <v>0</v>
      </c>
      <c r="U98" s="37">
        <f t="shared" si="44"/>
        <v>6428.32</v>
      </c>
    </row>
    <row r="99" spans="1:27" ht="25.5">
      <c r="A99" s="161" t="s">
        <v>203</v>
      </c>
      <c r="B99" s="137" t="s">
        <v>137</v>
      </c>
      <c r="C99" s="138" t="s">
        <v>134</v>
      </c>
      <c r="D99" s="25"/>
      <c r="E99" s="55"/>
      <c r="F99" s="55">
        <v>9</v>
      </c>
      <c r="G99" s="55">
        <v>589.84</v>
      </c>
      <c r="H99" s="131">
        <f t="shared" si="43"/>
        <v>5.3085600000000008</v>
      </c>
      <c r="I99" s="37">
        <v>0</v>
      </c>
      <c r="J99" s="37">
        <v>0</v>
      </c>
      <c r="K99" s="37">
        <f>G99*2</f>
        <v>1179.68</v>
      </c>
      <c r="L99" s="37">
        <v>0</v>
      </c>
      <c r="M99" s="37">
        <v>0</v>
      </c>
      <c r="N99" s="37">
        <f>G99*2</f>
        <v>1179.68</v>
      </c>
      <c r="O99" s="37">
        <v>0</v>
      </c>
      <c r="P99" s="37">
        <v>0</v>
      </c>
      <c r="Q99" s="37">
        <f>G99*2</f>
        <v>1179.68</v>
      </c>
      <c r="R99" s="37">
        <f>G99*2</f>
        <v>1179.68</v>
      </c>
      <c r="S99" s="37">
        <f>G99</f>
        <v>589.84</v>
      </c>
      <c r="T99" s="37">
        <v>0</v>
      </c>
      <c r="U99" s="37">
        <f t="shared" si="44"/>
        <v>5308.56</v>
      </c>
    </row>
    <row r="100" spans="1:27" ht="25.5" customHeight="1">
      <c r="A100" s="161" t="s">
        <v>152</v>
      </c>
      <c r="B100" s="137" t="s">
        <v>230</v>
      </c>
      <c r="C100" s="138" t="s">
        <v>135</v>
      </c>
      <c r="D100" s="134"/>
      <c r="E100" s="55"/>
      <c r="F100" s="55">
        <v>8</v>
      </c>
      <c r="G100" s="55">
        <v>1187</v>
      </c>
      <c r="H100" s="131">
        <f t="shared" si="43"/>
        <v>9.4960000000000004</v>
      </c>
      <c r="I100" s="37">
        <v>0</v>
      </c>
      <c r="J100" s="37">
        <v>0</v>
      </c>
      <c r="K100" s="37">
        <f>G100*8</f>
        <v>9496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f t="shared" si="44"/>
        <v>9496</v>
      </c>
      <c r="V100"/>
      <c r="W100"/>
      <c r="X100"/>
      <c r="Y100"/>
      <c r="Z100"/>
      <c r="AA100"/>
    </row>
    <row r="101" spans="1:27" ht="12.75" customHeight="1">
      <c r="A101" s="136" t="s">
        <v>231</v>
      </c>
      <c r="B101" s="135" t="s">
        <v>232</v>
      </c>
      <c r="C101" s="136" t="s">
        <v>134</v>
      </c>
      <c r="D101" s="25"/>
      <c r="E101" s="55"/>
      <c r="F101" s="55">
        <v>7</v>
      </c>
      <c r="G101" s="55">
        <v>694.06</v>
      </c>
      <c r="H101" s="131">
        <f t="shared" si="43"/>
        <v>4.8584199999999997</v>
      </c>
      <c r="I101" s="162">
        <v>0</v>
      </c>
      <c r="J101" s="162">
        <v>0</v>
      </c>
      <c r="K101" s="162">
        <f>G101*5</f>
        <v>3470.2999999999997</v>
      </c>
      <c r="L101" s="162">
        <v>0</v>
      </c>
      <c r="M101" s="162">
        <v>0</v>
      </c>
      <c r="N101" s="37">
        <v>0</v>
      </c>
      <c r="O101" s="37">
        <v>0</v>
      </c>
      <c r="P101" s="37">
        <f>G101*2</f>
        <v>1388.12</v>
      </c>
      <c r="Q101" s="37">
        <v>0</v>
      </c>
      <c r="R101" s="37">
        <v>0</v>
      </c>
      <c r="S101" s="37">
        <v>0</v>
      </c>
      <c r="T101" s="37">
        <v>0</v>
      </c>
      <c r="U101" s="37">
        <f t="shared" si="44"/>
        <v>4858.42</v>
      </c>
      <c r="V101"/>
      <c r="W101"/>
      <c r="X101"/>
      <c r="Y101"/>
      <c r="Z101"/>
      <c r="AA101"/>
    </row>
    <row r="102" spans="1:27" ht="12.75" customHeight="1">
      <c r="A102" s="136" t="s">
        <v>153</v>
      </c>
      <c r="B102" s="135" t="s">
        <v>236</v>
      </c>
      <c r="C102" s="136" t="s">
        <v>60</v>
      </c>
      <c r="D102" s="134"/>
      <c r="E102" s="55"/>
      <c r="F102" s="55">
        <v>1</v>
      </c>
      <c r="G102" s="55">
        <v>45</v>
      </c>
      <c r="H102" s="131">
        <f t="shared" si="43"/>
        <v>4.4999999999999998E-2</v>
      </c>
      <c r="I102" s="37">
        <v>0</v>
      </c>
      <c r="J102" s="37">
        <v>0</v>
      </c>
      <c r="K102" s="37">
        <f>G102</f>
        <v>45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f t="shared" si="44"/>
        <v>45</v>
      </c>
      <c r="V102"/>
      <c r="W102"/>
      <c r="X102"/>
      <c r="Y102"/>
      <c r="Z102"/>
      <c r="AA102"/>
    </row>
    <row r="103" spans="1:27" ht="12.75" customHeight="1">
      <c r="A103" s="138" t="s">
        <v>153</v>
      </c>
      <c r="B103" s="137" t="s">
        <v>233</v>
      </c>
      <c r="C103" s="138" t="s">
        <v>60</v>
      </c>
      <c r="D103" s="25"/>
      <c r="E103" s="55"/>
      <c r="F103" s="55">
        <v>5</v>
      </c>
      <c r="G103" s="55">
        <v>22</v>
      </c>
      <c r="H103" s="131">
        <f t="shared" si="43"/>
        <v>0.11</v>
      </c>
      <c r="I103" s="37">
        <v>0</v>
      </c>
      <c r="J103" s="37">
        <v>0</v>
      </c>
      <c r="K103" s="37">
        <f>G103*3</f>
        <v>66</v>
      </c>
      <c r="L103" s="37">
        <v>0</v>
      </c>
      <c r="M103" s="37">
        <v>0</v>
      </c>
      <c r="N103" s="37">
        <v>0</v>
      </c>
      <c r="O103" s="37">
        <v>0</v>
      </c>
      <c r="P103" s="37">
        <f>G103*2</f>
        <v>44</v>
      </c>
      <c r="Q103" s="37">
        <v>0</v>
      </c>
      <c r="R103" s="37">
        <v>0</v>
      </c>
      <c r="S103" s="37">
        <v>0</v>
      </c>
      <c r="T103" s="37">
        <v>0</v>
      </c>
      <c r="U103" s="37">
        <f t="shared" si="44"/>
        <v>110</v>
      </c>
      <c r="V103"/>
      <c r="W103"/>
      <c r="X103"/>
      <c r="Y103"/>
      <c r="Z103"/>
      <c r="AA103"/>
    </row>
    <row r="104" spans="1:27" ht="12.75" customHeight="1">
      <c r="A104" s="138" t="s">
        <v>153</v>
      </c>
      <c r="B104" s="137" t="s">
        <v>234</v>
      </c>
      <c r="C104" s="138" t="s">
        <v>60</v>
      </c>
      <c r="D104" s="25"/>
      <c r="E104" s="55"/>
      <c r="F104" s="55">
        <v>1</v>
      </c>
      <c r="G104" s="55">
        <v>46</v>
      </c>
      <c r="H104" s="131">
        <f t="shared" si="43"/>
        <v>4.5999999999999999E-2</v>
      </c>
      <c r="I104" s="37">
        <v>0</v>
      </c>
      <c r="J104" s="37">
        <v>0</v>
      </c>
      <c r="K104" s="37">
        <f>G104</f>
        <v>46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f t="shared" si="44"/>
        <v>46</v>
      </c>
      <c r="V104"/>
      <c r="W104"/>
      <c r="X104"/>
      <c r="Y104"/>
      <c r="Z104"/>
      <c r="AA104"/>
    </row>
    <row r="105" spans="1:27" ht="12.75" customHeight="1">
      <c r="A105" s="138" t="s">
        <v>153</v>
      </c>
      <c r="B105" s="137" t="s">
        <v>235</v>
      </c>
      <c r="C105" s="138" t="s">
        <v>60</v>
      </c>
      <c r="D105" s="25"/>
      <c r="E105" s="55"/>
      <c r="F105" s="55">
        <v>4</v>
      </c>
      <c r="G105" s="55">
        <v>62</v>
      </c>
      <c r="H105" s="131">
        <f t="shared" si="43"/>
        <v>0.248</v>
      </c>
      <c r="I105" s="37">
        <v>0</v>
      </c>
      <c r="J105" s="37">
        <v>0</v>
      </c>
      <c r="K105" s="37">
        <f>G105*3</f>
        <v>186</v>
      </c>
      <c r="L105" s="37">
        <v>0</v>
      </c>
      <c r="M105" s="37">
        <v>0</v>
      </c>
      <c r="N105" s="37">
        <v>0</v>
      </c>
      <c r="O105" s="37">
        <v>0</v>
      </c>
      <c r="P105" s="37">
        <f>G105</f>
        <v>62</v>
      </c>
      <c r="Q105" s="37">
        <v>0</v>
      </c>
      <c r="R105" s="37">
        <v>0</v>
      </c>
      <c r="S105" s="37">
        <v>0</v>
      </c>
      <c r="T105" s="37">
        <v>0</v>
      </c>
      <c r="U105" s="37">
        <f t="shared" si="44"/>
        <v>248</v>
      </c>
      <c r="V105"/>
      <c r="W105"/>
      <c r="X105"/>
      <c r="Y105"/>
      <c r="Z105"/>
      <c r="AA105"/>
    </row>
    <row r="106" spans="1:27" ht="25.5" customHeight="1">
      <c r="A106" s="161" t="s">
        <v>152</v>
      </c>
      <c r="B106" s="137" t="s">
        <v>237</v>
      </c>
      <c r="C106" s="138" t="s">
        <v>135</v>
      </c>
      <c r="D106" s="134"/>
      <c r="E106" s="55"/>
      <c r="F106" s="55">
        <v>8</v>
      </c>
      <c r="G106" s="55">
        <v>1206</v>
      </c>
      <c r="H106" s="131">
        <f t="shared" si="43"/>
        <v>9.6479999999999997</v>
      </c>
      <c r="I106" s="37">
        <v>0</v>
      </c>
      <c r="J106" s="37">
        <v>0</v>
      </c>
      <c r="K106" s="37">
        <f>G106*8</f>
        <v>9648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f t="shared" si="44"/>
        <v>9648</v>
      </c>
      <c r="V106"/>
      <c r="W106"/>
      <c r="X106"/>
      <c r="Y106"/>
      <c r="Z106"/>
      <c r="AA106"/>
    </row>
    <row r="107" spans="1:27" ht="25.5" customHeight="1">
      <c r="A107" s="161" t="s">
        <v>152</v>
      </c>
      <c r="B107" s="137" t="s">
        <v>238</v>
      </c>
      <c r="C107" s="138" t="s">
        <v>135</v>
      </c>
      <c r="D107" s="134"/>
      <c r="E107" s="55"/>
      <c r="F107" s="55">
        <v>2.5</v>
      </c>
      <c r="G107" s="55">
        <v>1146</v>
      </c>
      <c r="H107" s="131">
        <f t="shared" si="43"/>
        <v>2.8650000000000002</v>
      </c>
      <c r="I107" s="37">
        <v>0</v>
      </c>
      <c r="J107" s="37">
        <v>0</v>
      </c>
      <c r="K107" s="37">
        <f>G107*2</f>
        <v>2292</v>
      </c>
      <c r="L107" s="37">
        <v>0</v>
      </c>
      <c r="M107" s="37">
        <v>0</v>
      </c>
      <c r="N107" s="37">
        <v>0</v>
      </c>
      <c r="O107" s="37">
        <f>G107*0.5</f>
        <v>573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f t="shared" si="44"/>
        <v>2865</v>
      </c>
      <c r="V107"/>
      <c r="W107"/>
      <c r="X107"/>
      <c r="Y107"/>
      <c r="Z107"/>
      <c r="AA107"/>
    </row>
    <row r="108" spans="1:27">
      <c r="A108" s="161" t="s">
        <v>206</v>
      </c>
      <c r="B108" s="137" t="s">
        <v>241</v>
      </c>
      <c r="C108" s="138" t="s">
        <v>60</v>
      </c>
      <c r="D108" s="25"/>
      <c r="E108" s="55"/>
      <c r="F108" s="55">
        <v>2</v>
      </c>
      <c r="G108" s="55">
        <v>1102.53</v>
      </c>
      <c r="H108" s="131">
        <f>G108*F108/1000</f>
        <v>2.20506</v>
      </c>
      <c r="I108" s="37">
        <v>0</v>
      </c>
      <c r="J108" s="37">
        <v>0</v>
      </c>
      <c r="K108" s="37">
        <f>G108</f>
        <v>1102.53</v>
      </c>
      <c r="L108" s="37">
        <f>G108</f>
        <v>1102.53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f t="shared" si="44"/>
        <v>2205.06</v>
      </c>
    </row>
    <row r="109" spans="1:27" ht="12.75" customHeight="1">
      <c r="A109" s="136" t="s">
        <v>242</v>
      </c>
      <c r="B109" s="135" t="s">
        <v>240</v>
      </c>
      <c r="C109" s="136" t="s">
        <v>134</v>
      </c>
      <c r="D109" s="9"/>
      <c r="E109" s="71"/>
      <c r="F109" s="55">
        <v>1</v>
      </c>
      <c r="G109" s="55">
        <v>350.84</v>
      </c>
      <c r="H109" s="131">
        <f>G109*F109/1000</f>
        <v>0.35083999999999999</v>
      </c>
      <c r="I109" s="37">
        <v>0</v>
      </c>
      <c r="J109" s="37">
        <v>0</v>
      </c>
      <c r="K109" s="37">
        <v>0</v>
      </c>
      <c r="L109" s="37">
        <v>0</v>
      </c>
      <c r="M109" s="37">
        <f>G109</f>
        <v>350.84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f t="shared" si="44"/>
        <v>350.84</v>
      </c>
    </row>
    <row r="110" spans="1:27" ht="12.75" customHeight="1">
      <c r="A110" s="136" t="s">
        <v>244</v>
      </c>
      <c r="B110" s="135" t="s">
        <v>243</v>
      </c>
      <c r="C110" s="136" t="s">
        <v>60</v>
      </c>
      <c r="D110" s="9"/>
      <c r="E110" s="71"/>
      <c r="F110" s="55">
        <v>1</v>
      </c>
      <c r="G110" s="55">
        <v>190.86</v>
      </c>
      <c r="H110" s="131">
        <f>G110*F110/1000</f>
        <v>0.19086</v>
      </c>
      <c r="I110" s="37">
        <v>0</v>
      </c>
      <c r="J110" s="37">
        <v>0</v>
      </c>
      <c r="K110" s="37">
        <v>0</v>
      </c>
      <c r="L110" s="37">
        <v>0</v>
      </c>
      <c r="M110" s="37">
        <f>G110</f>
        <v>190.86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f t="shared" si="44"/>
        <v>190.86</v>
      </c>
    </row>
    <row r="111" spans="1:27" ht="25.5" customHeight="1">
      <c r="A111" s="138" t="s">
        <v>187</v>
      </c>
      <c r="B111" s="137" t="s">
        <v>210</v>
      </c>
      <c r="C111" s="138" t="s">
        <v>57</v>
      </c>
      <c r="D111" s="134"/>
      <c r="E111" s="55"/>
      <c r="F111" s="55">
        <v>0.09</v>
      </c>
      <c r="G111" s="55">
        <v>3581.13</v>
      </c>
      <c r="H111" s="131">
        <f>G111*F111/1000</f>
        <v>0.32230169999999997</v>
      </c>
      <c r="I111" s="37">
        <v>0</v>
      </c>
      <c r="J111" s="37">
        <v>0</v>
      </c>
      <c r="K111" s="37">
        <v>0</v>
      </c>
      <c r="L111" s="37">
        <v>0</v>
      </c>
      <c r="M111" s="37">
        <f>G111*0.01</f>
        <v>35.811300000000003</v>
      </c>
      <c r="N111" s="37">
        <f>G111*0.01</f>
        <v>35.811300000000003</v>
      </c>
      <c r="O111" s="37">
        <v>0</v>
      </c>
      <c r="P111" s="37">
        <v>0</v>
      </c>
      <c r="Q111" s="37">
        <f>G111*0.04</f>
        <v>143.24520000000001</v>
      </c>
      <c r="R111" s="37">
        <v>0</v>
      </c>
      <c r="S111" s="37">
        <f>G111*0.02</f>
        <v>71.622600000000006</v>
      </c>
      <c r="T111" s="37">
        <f>G111*0.01</f>
        <v>35.811300000000003</v>
      </c>
      <c r="U111" s="37">
        <f t="shared" si="44"/>
        <v>322.30170000000004</v>
      </c>
      <c r="V111"/>
      <c r="W111"/>
      <c r="X111"/>
      <c r="Y111"/>
      <c r="Z111"/>
      <c r="AA111"/>
    </row>
    <row r="112" spans="1:27" ht="12.75" customHeight="1">
      <c r="A112" s="138" t="s">
        <v>152</v>
      </c>
      <c r="B112" s="137" t="s">
        <v>252</v>
      </c>
      <c r="C112" s="138" t="s">
        <v>251</v>
      </c>
      <c r="D112" s="134"/>
      <c r="E112" s="55"/>
      <c r="F112" s="55">
        <v>1</v>
      </c>
      <c r="G112" s="55">
        <v>32844</v>
      </c>
      <c r="H112" s="131">
        <f t="shared" ref="H112:H118" si="45">G112*F112/1000</f>
        <v>32.844000000000001</v>
      </c>
      <c r="I112" s="37">
        <v>0</v>
      </c>
      <c r="J112" s="37">
        <v>0</v>
      </c>
      <c r="K112" s="37">
        <v>0</v>
      </c>
      <c r="L112" s="37">
        <v>0</v>
      </c>
      <c r="M112" s="37">
        <f>G112</f>
        <v>32844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7">
        <f t="shared" si="44"/>
        <v>32844</v>
      </c>
      <c r="V112"/>
      <c r="W112"/>
      <c r="X112"/>
      <c r="Y112"/>
      <c r="Z112"/>
      <c r="AA112"/>
    </row>
    <row r="113" spans="1:27" ht="12.75" customHeight="1">
      <c r="A113" s="138" t="s">
        <v>153</v>
      </c>
      <c r="B113" s="137" t="s">
        <v>253</v>
      </c>
      <c r="C113" s="138" t="s">
        <v>60</v>
      </c>
      <c r="D113" s="25"/>
      <c r="E113" s="55"/>
      <c r="F113" s="55">
        <v>2</v>
      </c>
      <c r="G113" s="55">
        <v>22</v>
      </c>
      <c r="H113" s="131">
        <f t="shared" si="45"/>
        <v>4.3999999999999997E-2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0</v>
      </c>
      <c r="P113" s="37">
        <f>G113*2</f>
        <v>44</v>
      </c>
      <c r="Q113" s="37">
        <v>0</v>
      </c>
      <c r="R113" s="37">
        <v>0</v>
      </c>
      <c r="S113" s="37">
        <v>0</v>
      </c>
      <c r="T113" s="37">
        <v>0</v>
      </c>
      <c r="U113" s="37">
        <f t="shared" si="44"/>
        <v>44</v>
      </c>
      <c r="V113"/>
      <c r="W113"/>
      <c r="X113"/>
      <c r="Y113"/>
      <c r="Z113"/>
      <c r="AA113"/>
    </row>
    <row r="114" spans="1:27" ht="12.75" customHeight="1">
      <c r="A114" s="138" t="s">
        <v>153</v>
      </c>
      <c r="B114" s="137" t="s">
        <v>254</v>
      </c>
      <c r="C114" s="138" t="s">
        <v>60</v>
      </c>
      <c r="D114" s="25"/>
      <c r="E114" s="55"/>
      <c r="F114" s="55">
        <v>2</v>
      </c>
      <c r="G114" s="55">
        <v>42</v>
      </c>
      <c r="H114" s="131">
        <f t="shared" ref="H114" si="46">G114*F114/1000</f>
        <v>8.4000000000000005E-2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f>G114*2</f>
        <v>84</v>
      </c>
      <c r="Q114" s="37">
        <v>0</v>
      </c>
      <c r="R114" s="37">
        <v>0</v>
      </c>
      <c r="S114" s="37">
        <v>0</v>
      </c>
      <c r="T114" s="37">
        <v>0</v>
      </c>
      <c r="U114" s="37">
        <f t="shared" si="44"/>
        <v>84</v>
      </c>
      <c r="V114"/>
      <c r="W114"/>
      <c r="X114"/>
      <c r="Y114"/>
      <c r="Z114"/>
      <c r="AA114"/>
    </row>
    <row r="115" spans="1:27" ht="25.5" customHeight="1">
      <c r="A115" s="136" t="s">
        <v>186</v>
      </c>
      <c r="B115" s="135" t="s">
        <v>217</v>
      </c>
      <c r="C115" s="136" t="s">
        <v>46</v>
      </c>
      <c r="D115" s="134"/>
      <c r="E115" s="55"/>
      <c r="F115" s="159">
        <v>2E-3</v>
      </c>
      <c r="G115" s="55">
        <v>1591.6</v>
      </c>
      <c r="H115" s="160">
        <f t="shared" si="45"/>
        <v>3.1831999999999997E-3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f>G115*0.002</f>
        <v>3.1831999999999998</v>
      </c>
      <c r="Q115" s="37">
        <v>0</v>
      </c>
      <c r="R115" s="37">
        <v>0</v>
      </c>
      <c r="S115" s="37">
        <v>0</v>
      </c>
      <c r="T115" s="37">
        <v>0</v>
      </c>
      <c r="U115" s="37">
        <f t="shared" si="44"/>
        <v>3.1831999999999998</v>
      </c>
      <c r="V115"/>
      <c r="W115"/>
      <c r="X115"/>
      <c r="Y115"/>
      <c r="Z115"/>
      <c r="AA115"/>
    </row>
    <row r="116" spans="1:27" s="164" customFormat="1" ht="25.5" customHeight="1">
      <c r="A116" s="138" t="s">
        <v>246</v>
      </c>
      <c r="B116" s="137" t="s">
        <v>247</v>
      </c>
      <c r="C116" s="138" t="s">
        <v>157</v>
      </c>
      <c r="D116" s="25"/>
      <c r="E116" s="55"/>
      <c r="F116" s="55">
        <f>32/10</f>
        <v>3.2</v>
      </c>
      <c r="G116" s="55">
        <v>2064.25</v>
      </c>
      <c r="H116" s="140">
        <f t="shared" si="45"/>
        <v>6.6056000000000008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f>G116*3.2</f>
        <v>6605.6</v>
      </c>
      <c r="Q116" s="37">
        <v>0</v>
      </c>
      <c r="R116" s="37">
        <v>0</v>
      </c>
      <c r="S116" s="37">
        <v>0</v>
      </c>
      <c r="T116" s="37">
        <v>0</v>
      </c>
      <c r="U116" s="37">
        <f t="shared" si="44"/>
        <v>6605.6</v>
      </c>
    </row>
    <row r="117" spans="1:27" ht="12.75" customHeight="1">
      <c r="A117" s="163" t="s">
        <v>213</v>
      </c>
      <c r="B117" s="135" t="s">
        <v>245</v>
      </c>
      <c r="C117" s="136" t="s">
        <v>84</v>
      </c>
      <c r="D117" s="134"/>
      <c r="E117" s="55"/>
      <c r="F117" s="55">
        <v>1.6</v>
      </c>
      <c r="G117" s="55">
        <v>645.96</v>
      </c>
      <c r="H117" s="131">
        <f t="shared" si="45"/>
        <v>1.033536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f>G117*1.6</f>
        <v>1033.5360000000001</v>
      </c>
      <c r="Q117" s="37">
        <v>0</v>
      </c>
      <c r="R117" s="37">
        <v>0</v>
      </c>
      <c r="S117" s="37">
        <v>0</v>
      </c>
      <c r="T117" s="37">
        <v>0</v>
      </c>
      <c r="U117" s="37">
        <f t="shared" si="44"/>
        <v>1033.5360000000001</v>
      </c>
      <c r="V117"/>
      <c r="W117"/>
      <c r="X117"/>
      <c r="Y117"/>
      <c r="Z117"/>
      <c r="AA117"/>
    </row>
    <row r="118" spans="1:27" ht="12.75" customHeight="1">
      <c r="A118" s="146" t="s">
        <v>248</v>
      </c>
      <c r="B118" s="11" t="s">
        <v>249</v>
      </c>
      <c r="C118" s="27" t="s">
        <v>60</v>
      </c>
      <c r="D118" s="134"/>
      <c r="E118" s="55"/>
      <c r="F118" s="55">
        <v>3</v>
      </c>
      <c r="G118" s="55">
        <v>86.15</v>
      </c>
      <c r="H118" s="131">
        <f t="shared" si="45"/>
        <v>0.25845000000000007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</v>
      </c>
      <c r="P118" s="37">
        <f>G118</f>
        <v>86.15</v>
      </c>
      <c r="Q118" s="37">
        <v>0</v>
      </c>
      <c r="R118" s="37">
        <v>0</v>
      </c>
      <c r="S118" s="37">
        <v>0</v>
      </c>
      <c r="T118" s="37">
        <f>G118*2</f>
        <v>172.3</v>
      </c>
      <c r="U118" s="37">
        <f t="shared" si="44"/>
        <v>258.45000000000005</v>
      </c>
      <c r="V118"/>
      <c r="W118"/>
      <c r="X118"/>
      <c r="Y118"/>
      <c r="Z118"/>
      <c r="AA118"/>
    </row>
    <row r="119" spans="1:27" ht="25.5">
      <c r="A119" s="161" t="s">
        <v>202</v>
      </c>
      <c r="B119" s="137" t="s">
        <v>250</v>
      </c>
      <c r="C119" s="138" t="s">
        <v>134</v>
      </c>
      <c r="D119" s="25"/>
      <c r="E119" s="55"/>
      <c r="F119" s="55">
        <v>2</v>
      </c>
      <c r="G119" s="55">
        <v>506.98</v>
      </c>
      <c r="H119" s="131">
        <f>G119*F119/1000</f>
        <v>1.01396</v>
      </c>
      <c r="I119" s="37">
        <v>0</v>
      </c>
      <c r="J119" s="37">
        <v>0</v>
      </c>
      <c r="K119" s="37">
        <v>0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f>G119*2</f>
        <v>1013.96</v>
      </c>
      <c r="R119" s="37">
        <v>0</v>
      </c>
      <c r="S119" s="37">
        <v>0</v>
      </c>
      <c r="T119" s="37">
        <v>0</v>
      </c>
      <c r="U119" s="37">
        <f t="shared" si="44"/>
        <v>1013.96</v>
      </c>
    </row>
    <row r="120" spans="1:27" s="141" customFormat="1" ht="25.5">
      <c r="A120" s="138" t="s">
        <v>204</v>
      </c>
      <c r="B120" s="137" t="s">
        <v>138</v>
      </c>
      <c r="C120" s="138" t="s">
        <v>136</v>
      </c>
      <c r="D120" s="134"/>
      <c r="E120" s="139"/>
      <c r="F120" s="139">
        <v>2</v>
      </c>
      <c r="G120" s="139">
        <v>306.37</v>
      </c>
      <c r="H120" s="140">
        <f>G120*F120/1000</f>
        <v>0.61274000000000006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f>G120*2</f>
        <v>612.74</v>
      </c>
      <c r="S120" s="37">
        <v>0</v>
      </c>
      <c r="T120" s="37">
        <v>0</v>
      </c>
      <c r="U120" s="37">
        <f>SUM(I120:T120)</f>
        <v>612.74</v>
      </c>
    </row>
    <row r="121" spans="1:27">
      <c r="A121" s="168" t="s">
        <v>206</v>
      </c>
      <c r="B121" s="135" t="s">
        <v>241</v>
      </c>
      <c r="C121" s="136" t="s">
        <v>60</v>
      </c>
      <c r="D121" s="25"/>
      <c r="E121" s="55"/>
      <c r="F121" s="55">
        <v>2</v>
      </c>
      <c r="G121" s="55">
        <v>1202.53</v>
      </c>
      <c r="H121" s="55">
        <f>G121*F121/1000</f>
        <v>2.4050599999999998</v>
      </c>
      <c r="I121" s="162">
        <v>0</v>
      </c>
      <c r="J121" s="162">
        <v>0</v>
      </c>
      <c r="K121" s="162">
        <v>0</v>
      </c>
      <c r="L121" s="162">
        <v>0</v>
      </c>
      <c r="M121" s="162">
        <v>0</v>
      </c>
      <c r="N121" s="162">
        <v>0</v>
      </c>
      <c r="O121" s="162">
        <v>0</v>
      </c>
      <c r="P121" s="162">
        <v>0</v>
      </c>
      <c r="Q121" s="37">
        <v>0</v>
      </c>
      <c r="R121" s="37">
        <f>G121*2</f>
        <v>2405.06</v>
      </c>
      <c r="S121" s="37">
        <v>0</v>
      </c>
      <c r="T121" s="37">
        <v>0</v>
      </c>
      <c r="U121" s="37">
        <f t="shared" ref="U121:U127" si="47">SUM(I121:T121)</f>
        <v>2405.06</v>
      </c>
      <c r="Z121"/>
      <c r="AA121"/>
    </row>
    <row r="122" spans="1:27">
      <c r="A122" s="136" t="s">
        <v>256</v>
      </c>
      <c r="B122" s="135" t="s">
        <v>257</v>
      </c>
      <c r="C122" s="136" t="s">
        <v>60</v>
      </c>
      <c r="D122" s="134"/>
      <c r="E122" s="55"/>
      <c r="F122" s="55">
        <v>2</v>
      </c>
      <c r="G122" s="55">
        <v>1605.83</v>
      </c>
      <c r="H122" s="131">
        <f>G122*F122/1000</f>
        <v>3.2116599999999997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f>G122*2</f>
        <v>3211.66</v>
      </c>
      <c r="S122" s="37">
        <v>0</v>
      </c>
      <c r="T122" s="37">
        <v>0</v>
      </c>
      <c r="U122" s="37">
        <f>SUM(I122:T122)</f>
        <v>3211.66</v>
      </c>
    </row>
    <row r="123" spans="1:27" ht="25.5" customHeight="1">
      <c r="A123" s="138" t="s">
        <v>127</v>
      </c>
      <c r="B123" s="137" t="s">
        <v>266</v>
      </c>
      <c r="C123" s="138" t="s">
        <v>265</v>
      </c>
      <c r="D123" s="170"/>
      <c r="E123" s="171"/>
      <c r="F123" s="139">
        <v>28</v>
      </c>
      <c r="G123" s="139">
        <f>103656/303</f>
        <v>342.0990099009901</v>
      </c>
      <c r="H123" s="140">
        <f t="shared" ref="H123" si="48">G123*F123/1000</f>
        <v>9.5787722772277224</v>
      </c>
      <c r="I123" s="162">
        <v>0</v>
      </c>
      <c r="J123" s="162">
        <v>0</v>
      </c>
      <c r="K123" s="162">
        <v>0</v>
      </c>
      <c r="L123" s="162">
        <v>0</v>
      </c>
      <c r="M123" s="162">
        <v>0</v>
      </c>
      <c r="N123" s="162">
        <v>0</v>
      </c>
      <c r="O123" s="162">
        <v>0</v>
      </c>
      <c r="P123" s="162">
        <v>0</v>
      </c>
      <c r="Q123" s="162">
        <v>0</v>
      </c>
      <c r="R123" s="162">
        <f>G123*28</f>
        <v>9578.772277227723</v>
      </c>
      <c r="S123" s="162">
        <v>0</v>
      </c>
      <c r="T123" s="162">
        <v>0</v>
      </c>
      <c r="U123" s="37">
        <f t="shared" ref="U123" si="49">SUM(I123:T123)</f>
        <v>9578.772277227723</v>
      </c>
      <c r="V123"/>
      <c r="W123"/>
      <c r="X123"/>
      <c r="Y123"/>
      <c r="Z123"/>
      <c r="AA123"/>
    </row>
    <row r="124" spans="1:27" ht="25.5">
      <c r="A124" s="165" t="s">
        <v>132</v>
      </c>
      <c r="B124" s="166" t="s">
        <v>255</v>
      </c>
      <c r="C124" s="167" t="s">
        <v>133</v>
      </c>
      <c r="D124" s="134"/>
      <c r="E124" s="55"/>
      <c r="F124" s="55">
        <v>1</v>
      </c>
      <c r="G124" s="55">
        <v>403.69</v>
      </c>
      <c r="H124" s="131">
        <f>G124*F124/1000</f>
        <v>0.40368999999999999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f>G124</f>
        <v>403.69</v>
      </c>
      <c r="T124" s="37">
        <v>0</v>
      </c>
      <c r="U124" s="37">
        <f t="shared" si="47"/>
        <v>403.69</v>
      </c>
    </row>
    <row r="125" spans="1:27">
      <c r="A125" s="138" t="s">
        <v>259</v>
      </c>
      <c r="B125" s="137" t="s">
        <v>258</v>
      </c>
      <c r="C125" s="161" t="s">
        <v>135</v>
      </c>
      <c r="D125" s="134"/>
      <c r="E125" s="55"/>
      <c r="F125" s="55">
        <v>1</v>
      </c>
      <c r="G125" s="55">
        <v>18.97</v>
      </c>
      <c r="H125" s="131">
        <f>G125*F125/1000</f>
        <v>1.8969999999999997E-2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f>G125</f>
        <v>18.97</v>
      </c>
      <c r="T125" s="37">
        <v>0</v>
      </c>
      <c r="U125" s="37">
        <f t="shared" si="47"/>
        <v>18.97</v>
      </c>
    </row>
    <row r="126" spans="1:27" ht="25.5">
      <c r="A126" s="138" t="s">
        <v>261</v>
      </c>
      <c r="B126" s="169" t="s">
        <v>262</v>
      </c>
      <c r="C126" s="138" t="s">
        <v>260</v>
      </c>
      <c r="D126" s="134"/>
      <c r="E126" s="55"/>
      <c r="F126" s="55">
        <v>1</v>
      </c>
      <c r="G126" s="55">
        <v>2362.29</v>
      </c>
      <c r="H126" s="131">
        <f>G126*F126/1000</f>
        <v>2.3622899999999998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f>G126</f>
        <v>2362.29</v>
      </c>
      <c r="T126" s="37">
        <v>0</v>
      </c>
      <c r="U126" s="37">
        <f t="shared" si="47"/>
        <v>2362.29</v>
      </c>
    </row>
    <row r="127" spans="1:27" ht="25.5">
      <c r="A127" s="163" t="s">
        <v>264</v>
      </c>
      <c r="B127" s="135" t="s">
        <v>263</v>
      </c>
      <c r="C127" s="136" t="s">
        <v>60</v>
      </c>
      <c r="D127" s="134"/>
      <c r="E127" s="55"/>
      <c r="F127" s="55">
        <v>1</v>
      </c>
      <c r="G127" s="55">
        <v>193.62</v>
      </c>
      <c r="H127" s="131">
        <f>G127*F127/1000</f>
        <v>0.19362000000000001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f>G127</f>
        <v>193.62</v>
      </c>
      <c r="U127" s="37">
        <f t="shared" si="47"/>
        <v>193.62</v>
      </c>
    </row>
    <row r="128" spans="1:27" s="19" customFormat="1">
      <c r="A128" s="101"/>
      <c r="B128" s="102" t="s">
        <v>92</v>
      </c>
      <c r="C128" s="101"/>
      <c r="D128" s="101"/>
      <c r="E128" s="97"/>
      <c r="F128" s="97"/>
      <c r="G128" s="97"/>
      <c r="H128" s="47">
        <f>SUM(H87:H127)</f>
        <v>181.29492477722775</v>
      </c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46">
        <f>SUM(U87:U127)</f>
        <v>181294.92477722772</v>
      </c>
      <c r="V128" s="141"/>
      <c r="W128" s="141"/>
      <c r="X128" s="141"/>
      <c r="Y128" s="141"/>
      <c r="Z128" s="141"/>
      <c r="AA128" s="141"/>
    </row>
    <row r="129" spans="1:21">
      <c r="A129" s="103"/>
      <c r="B129" s="104"/>
      <c r="C129" s="103"/>
      <c r="D129" s="103"/>
      <c r="E129" s="55"/>
      <c r="F129" s="55"/>
      <c r="G129" s="55"/>
      <c r="H129" s="105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127"/>
    </row>
    <row r="130" spans="1:21" ht="25.5">
      <c r="A130" s="92"/>
      <c r="B130" s="18" t="s">
        <v>93</v>
      </c>
      <c r="C130" s="70"/>
      <c r="D130" s="25"/>
      <c r="E130" s="55"/>
      <c r="F130" s="55"/>
      <c r="G130" s="55"/>
      <c r="H130" s="106">
        <f>H128/E131/12*1000</f>
        <v>2.5536078965066529</v>
      </c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127"/>
    </row>
    <row r="131" spans="1:21">
      <c r="A131" s="107"/>
      <c r="B131" s="108" t="s">
        <v>154</v>
      </c>
      <c r="C131" s="109"/>
      <c r="D131" s="108"/>
      <c r="E131" s="154">
        <v>5916.3</v>
      </c>
      <c r="F131" s="110">
        <f>SUM(E131*12)</f>
        <v>70995.600000000006</v>
      </c>
      <c r="G131" s="111">
        <f>H85+H130</f>
        <v>19.192163350111286</v>
      </c>
      <c r="H131" s="112">
        <f>SUM(F131*G131/1000)</f>
        <v>1362.5591523391608</v>
      </c>
      <c r="I131" s="97">
        <f t="shared" ref="I131:S131" si="50">SUM(I11:I130)</f>
        <v>103559.7556</v>
      </c>
      <c r="J131" s="97">
        <f t="shared" si="50"/>
        <v>124699.65399999999</v>
      </c>
      <c r="K131" s="97">
        <f t="shared" si="50"/>
        <v>128582.32822499999</v>
      </c>
      <c r="L131" s="97">
        <f t="shared" si="50"/>
        <v>101346.59690000002</v>
      </c>
      <c r="M131" s="97">
        <f t="shared" si="50"/>
        <v>244321.62182018886</v>
      </c>
      <c r="N131" s="97">
        <f t="shared" si="50"/>
        <v>95939.093502888907</v>
      </c>
      <c r="O131" s="97">
        <f t="shared" si="50"/>
        <v>80910.482202888903</v>
      </c>
      <c r="P131" s="97">
        <f t="shared" si="50"/>
        <v>82591.853402888868</v>
      </c>
      <c r="Q131" s="97">
        <f t="shared" si="50"/>
        <v>85117.844785188907</v>
      </c>
      <c r="R131" s="97">
        <f t="shared" si="50"/>
        <v>110287.37315511661</v>
      </c>
      <c r="S131" s="97">
        <f t="shared" si="50"/>
        <v>98098.011224999995</v>
      </c>
      <c r="T131" s="97">
        <f>SUM(T11:T130)</f>
        <v>91159.957299999995</v>
      </c>
      <c r="U131" s="46">
        <f>U82+U128</f>
        <v>1409541.8330756258</v>
      </c>
    </row>
    <row r="132" spans="1:21" ht="12.75" customHeight="1">
      <c r="A132" s="113"/>
      <c r="B132" s="113"/>
      <c r="C132" s="113"/>
      <c r="D132" s="113"/>
      <c r="E132" s="114"/>
      <c r="F132" s="114"/>
      <c r="G132" s="114"/>
      <c r="H132" s="114"/>
      <c r="I132" s="114"/>
      <c r="J132" s="114"/>
      <c r="K132" s="114"/>
      <c r="L132" s="114"/>
      <c r="M132" s="113"/>
      <c r="N132" s="114"/>
      <c r="O132" s="113"/>
      <c r="P132" s="113"/>
      <c r="Q132" s="113"/>
      <c r="R132" s="113"/>
      <c r="S132" s="113"/>
      <c r="T132" s="113"/>
      <c r="U132" s="113"/>
    </row>
    <row r="133" spans="1:21" ht="12.75" customHeight="1">
      <c r="A133" s="113"/>
      <c r="B133" s="113"/>
      <c r="C133" s="113"/>
      <c r="D133" s="113"/>
      <c r="E133" s="114"/>
      <c r="F133" s="114"/>
      <c r="G133" s="114"/>
      <c r="H133" s="114"/>
      <c r="I133" s="114"/>
      <c r="J133" s="115"/>
      <c r="K133" s="116"/>
      <c r="L133" s="115"/>
      <c r="M133" s="114"/>
      <c r="N133" s="113"/>
      <c r="O133" s="113"/>
      <c r="P133" s="113"/>
      <c r="Q133" s="113"/>
      <c r="R133" s="113"/>
      <c r="S133" s="113"/>
      <c r="T133" s="113"/>
      <c r="U133" s="113"/>
    </row>
    <row r="134" spans="1:21" ht="51.75" customHeight="1">
      <c r="A134" s="113"/>
      <c r="B134" s="121" t="s">
        <v>214</v>
      </c>
      <c r="C134" s="172">
        <v>-513618.59</v>
      </c>
      <c r="D134" s="173"/>
      <c r="E134" s="173"/>
      <c r="F134" s="174"/>
      <c r="G134" s="114"/>
      <c r="H134" s="114"/>
      <c r="I134" s="114"/>
      <c r="J134" s="115"/>
      <c r="K134" s="116"/>
      <c r="L134" s="115"/>
      <c r="M134" s="114"/>
      <c r="N134" s="113"/>
      <c r="O134" s="113"/>
      <c r="P134" s="113"/>
      <c r="Q134" s="113"/>
      <c r="R134" s="113"/>
      <c r="S134" s="113"/>
      <c r="T134" s="113"/>
      <c r="U134" s="113"/>
    </row>
    <row r="135" spans="1:21" ht="30">
      <c r="A135" s="113"/>
      <c r="B135" s="121" t="s">
        <v>218</v>
      </c>
      <c r="C135" s="172">
        <f>(120397.01*2)+(120397.02*10)</f>
        <v>1444764.22</v>
      </c>
      <c r="D135" s="173"/>
      <c r="E135" s="173"/>
      <c r="F135" s="174"/>
      <c r="G135" s="114"/>
      <c r="H135" s="114"/>
      <c r="I135" s="114"/>
      <c r="J135" s="115"/>
      <c r="K135" s="116"/>
      <c r="L135" s="115"/>
      <c r="M135" s="114"/>
      <c r="N135" s="113"/>
      <c r="O135" s="113"/>
      <c r="P135" s="113"/>
      <c r="Q135" s="113"/>
      <c r="R135" s="113"/>
      <c r="S135" s="113"/>
      <c r="T135" s="113"/>
      <c r="U135" s="113"/>
    </row>
    <row r="136" spans="1:21" ht="37.5" customHeight="1">
      <c r="A136" s="113"/>
      <c r="B136" s="121" t="s">
        <v>219</v>
      </c>
      <c r="C136" s="172">
        <f>SUM(U131-U128)</f>
        <v>1228246.9082983981</v>
      </c>
      <c r="D136" s="173"/>
      <c r="E136" s="173"/>
      <c r="F136" s="174"/>
      <c r="G136" s="114"/>
      <c r="H136" s="114"/>
      <c r="I136" s="114"/>
      <c r="J136" s="115"/>
      <c r="K136" s="116"/>
      <c r="L136" s="115"/>
      <c r="M136" s="114"/>
      <c r="N136" s="113"/>
      <c r="O136" s="113"/>
      <c r="P136" s="113"/>
      <c r="Q136" s="113"/>
      <c r="R136" s="113"/>
      <c r="S136" s="113"/>
      <c r="T136" s="113"/>
      <c r="U136" s="113"/>
    </row>
    <row r="137" spans="1:21" ht="30">
      <c r="A137" s="113"/>
      <c r="B137" s="121" t="s">
        <v>220</v>
      </c>
      <c r="C137" s="172">
        <f>SUM(U128)</f>
        <v>181294.92477722772</v>
      </c>
      <c r="D137" s="173"/>
      <c r="E137" s="173"/>
      <c r="F137" s="174"/>
      <c r="G137" s="114"/>
      <c r="H137" s="114"/>
      <c r="I137" s="114"/>
      <c r="J137" s="115"/>
      <c r="K137" s="116"/>
      <c r="L137" s="115"/>
      <c r="M137" s="114"/>
      <c r="N137" s="113"/>
      <c r="O137" s="113"/>
      <c r="P137" s="113"/>
      <c r="Q137" s="113"/>
      <c r="R137" s="113"/>
      <c r="S137" s="113"/>
      <c r="T137" s="113"/>
      <c r="U137" s="113"/>
    </row>
    <row r="138" spans="1:21" ht="18">
      <c r="A138" s="113"/>
      <c r="B138" s="130" t="s">
        <v>221</v>
      </c>
      <c r="C138" s="178">
        <f>127525.01+97945.19+128307.05+115545.39+117511.4+93577.95+124305.35+100278.52+118896.92+130314.13+129710.92+109865.1</f>
        <v>1393782.9300000002</v>
      </c>
      <c r="D138" s="176"/>
      <c r="E138" s="176"/>
      <c r="F138" s="177"/>
      <c r="G138" s="113"/>
      <c r="I138" s="117" t="s">
        <v>99</v>
      </c>
      <c r="J138" s="118"/>
      <c r="K138" s="119"/>
      <c r="L138" s="120"/>
      <c r="M138" s="117"/>
      <c r="N138" s="117"/>
      <c r="O138" s="113"/>
      <c r="P138" s="113"/>
      <c r="Q138" s="113"/>
      <c r="R138" s="113"/>
      <c r="S138" s="113"/>
      <c r="T138" s="113"/>
      <c r="U138" s="113"/>
    </row>
    <row r="139" spans="1:21" ht="78.75">
      <c r="A139" s="113"/>
      <c r="B139" s="155" t="s">
        <v>267</v>
      </c>
      <c r="C139" s="179">
        <v>523440.09</v>
      </c>
      <c r="D139" s="180"/>
      <c r="E139" s="180"/>
      <c r="F139" s="181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</row>
    <row r="140" spans="1:21" ht="51.75" customHeight="1">
      <c r="A140" s="113"/>
      <c r="B140" s="121" t="s">
        <v>268</v>
      </c>
      <c r="C140" s="175">
        <f>SUM(U131-C135)+C134</f>
        <v>-548840.97692437423</v>
      </c>
      <c r="D140" s="176"/>
      <c r="E140" s="176"/>
      <c r="F140" s="177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</row>
    <row r="142" spans="1:21">
      <c r="J142" s="4"/>
      <c r="K142" s="5"/>
      <c r="L142" s="5"/>
      <c r="M142" s="3"/>
    </row>
    <row r="143" spans="1:21">
      <c r="G143" s="6"/>
      <c r="H143" s="6"/>
    </row>
    <row r="144" spans="1:21">
      <c r="G144" s="7"/>
    </row>
  </sheetData>
  <mergeCells count="12">
    <mergeCell ref="W80:AA80"/>
    <mergeCell ref="B3:L3"/>
    <mergeCell ref="B4:L4"/>
    <mergeCell ref="B5:L5"/>
    <mergeCell ref="B6:L6"/>
    <mergeCell ref="C134:F134"/>
    <mergeCell ref="C140:F140"/>
    <mergeCell ref="C135:F135"/>
    <mergeCell ref="C136:F136"/>
    <mergeCell ref="C137:F137"/>
    <mergeCell ref="C138:F138"/>
    <mergeCell ref="C139:F139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Нефт.,8</vt:lpstr>
      <vt:lpstr>'Нефт.,8'!Область_печати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2018-03-19T11:25:08Z</cp:lastPrinted>
  <dcterms:created xsi:type="dcterms:W3CDTF">2014-02-05T12:20:20Z</dcterms:created>
  <dcterms:modified xsi:type="dcterms:W3CDTF">2018-07-24T11:55:35Z</dcterms:modified>
</cp:coreProperties>
</file>