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18" sheetId="30" r:id="rId1"/>
    <sheet name="02.18" sheetId="31" r:id="rId2"/>
    <sheet name="03.18" sheetId="32" r:id="rId3"/>
    <sheet name="04.18" sheetId="34" r:id="rId4"/>
    <sheet name="05.18" sheetId="35" r:id="rId5"/>
    <sheet name="06.18" sheetId="36" r:id="rId6"/>
    <sheet name="07.18" sheetId="37" r:id="rId7"/>
    <sheet name="08.18" sheetId="38" r:id="rId8"/>
    <sheet name="09.18" sheetId="39" r:id="rId9"/>
    <sheet name="10.18" sheetId="40" r:id="rId10"/>
    <sheet name="11.18" sheetId="27" r:id="rId11"/>
    <sheet name="12.18" sheetId="29" r:id="rId12"/>
  </sheets>
  <definedNames>
    <definedName name="_xlnm._FilterDatabase" localSheetId="0" hidden="1">'01.18'!$I$12:$I$59</definedName>
    <definedName name="_xlnm._FilterDatabase" localSheetId="1" hidden="1">'02.18'!$I$12:$I$59</definedName>
    <definedName name="_xlnm._FilterDatabase" localSheetId="2" hidden="1">'03.18'!$I$12:$I$60</definedName>
    <definedName name="_xlnm._FilterDatabase" localSheetId="10" hidden="1">'11.18'!$I$12:$I$60</definedName>
    <definedName name="_xlnm._FilterDatabase" localSheetId="11" hidden="1">'12.18'!$I$12:$I$60</definedName>
    <definedName name="_xlnm.Print_Area" localSheetId="0">'01.18'!$A$1:$I$134</definedName>
    <definedName name="_xlnm.Print_Area" localSheetId="1">'02.18'!$A$1:$I$128</definedName>
    <definedName name="_xlnm.Print_Area" localSheetId="2">'03.18'!$A$1:$I$132</definedName>
    <definedName name="_xlnm.Print_Area" localSheetId="3">'04.18'!$A$1:$I$133</definedName>
    <definedName name="_xlnm.Print_Area" localSheetId="4">'05.18'!$A$1:$I$128</definedName>
    <definedName name="_xlnm.Print_Area" localSheetId="10">'11.18'!$A$1:$I$125</definedName>
    <definedName name="_xlnm.Print_Area" localSheetId="11">'12.18'!$A$1:$I$121</definedName>
  </definedNames>
  <calcPr calcId="124519"/>
</workbook>
</file>

<file path=xl/calcChain.xml><?xml version="1.0" encoding="utf-8"?>
<calcChain xmlns="http://schemas.openxmlformats.org/spreadsheetml/2006/main">
  <c r="I90" i="29"/>
  <c r="I98"/>
  <c r="I97"/>
  <c r="I96"/>
  <c r="I95"/>
  <c r="I94"/>
  <c r="I93"/>
  <c r="I92"/>
  <c r="I61"/>
  <c r="I60"/>
  <c r="I45"/>
  <c r="I102" i="27" l="1"/>
  <c r="I101"/>
  <c r="I100"/>
  <c r="I99"/>
  <c r="I98"/>
  <c r="I97"/>
  <c r="I96"/>
  <c r="I95"/>
  <c r="I94"/>
  <c r="I93"/>
  <c r="I90" l="1"/>
  <c r="I92"/>
  <c r="I45"/>
  <c r="I91" i="40"/>
  <c r="I93"/>
  <c r="I98"/>
  <c r="I97"/>
  <c r="I96"/>
  <c r="I95"/>
  <c r="I94"/>
  <c r="I92"/>
  <c r="H92"/>
  <c r="H91"/>
  <c r="E88"/>
  <c r="F88" s="1"/>
  <c r="H88" s="1"/>
  <c r="F87"/>
  <c r="H87" s="1"/>
  <c r="H85"/>
  <c r="H83"/>
  <c r="F81"/>
  <c r="I81" s="1"/>
  <c r="I79"/>
  <c r="H79"/>
  <c r="H89" s="1"/>
  <c r="F78"/>
  <c r="H78" s="1"/>
  <c r="H77"/>
  <c r="F76"/>
  <c r="H76" s="1"/>
  <c r="I75"/>
  <c r="F75"/>
  <c r="H75" s="1"/>
  <c r="H74"/>
  <c r="I72"/>
  <c r="F72"/>
  <c r="H72" s="1"/>
  <c r="I71"/>
  <c r="F71"/>
  <c r="H71" s="1"/>
  <c r="I70"/>
  <c r="F70"/>
  <c r="H70" s="1"/>
  <c r="I69"/>
  <c r="F69"/>
  <c r="H69" s="1"/>
  <c r="I68"/>
  <c r="F68"/>
  <c r="H68" s="1"/>
  <c r="I67"/>
  <c r="F67"/>
  <c r="H67" s="1"/>
  <c r="F66"/>
  <c r="H66" s="1"/>
  <c r="I65"/>
  <c r="F65"/>
  <c r="H65" s="1"/>
  <c r="H63"/>
  <c r="F63"/>
  <c r="I63" s="1"/>
  <c r="F62"/>
  <c r="H62" s="1"/>
  <c r="I60"/>
  <c r="H60"/>
  <c r="I59"/>
  <c r="F59"/>
  <c r="H59" s="1"/>
  <c r="F56"/>
  <c r="I56" s="1"/>
  <c r="I55"/>
  <c r="H55"/>
  <c r="F54"/>
  <c r="H54" s="1"/>
  <c r="F53"/>
  <c r="I53" s="1"/>
  <c r="F52"/>
  <c r="H52" s="1"/>
  <c r="I51"/>
  <c r="H51"/>
  <c r="F50"/>
  <c r="I50" s="1"/>
  <c r="F49"/>
  <c r="H49" s="1"/>
  <c r="F48"/>
  <c r="I48" s="1"/>
  <c r="F47"/>
  <c r="H47" s="1"/>
  <c r="F45"/>
  <c r="I45" s="1"/>
  <c r="I44"/>
  <c r="H44"/>
  <c r="F43"/>
  <c r="H43" s="1"/>
  <c r="F42"/>
  <c r="I42" s="1"/>
  <c r="H41"/>
  <c r="F40"/>
  <c r="I40" s="1"/>
  <c r="F39"/>
  <c r="H39" s="1"/>
  <c r="I38"/>
  <c r="H38"/>
  <c r="H36"/>
  <c r="H35"/>
  <c r="H34"/>
  <c r="F34"/>
  <c r="I34" s="1"/>
  <c r="E34"/>
  <c r="F33"/>
  <c r="I33" s="1"/>
  <c r="F32"/>
  <c r="H32" s="1"/>
  <c r="F31"/>
  <c r="I31" s="1"/>
  <c r="F28"/>
  <c r="H28" s="1"/>
  <c r="F27"/>
  <c r="I27" s="1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F20"/>
  <c r="I20" s="1"/>
  <c r="I19"/>
  <c r="F19"/>
  <c r="H19" s="1"/>
  <c r="F18"/>
  <c r="I18" s="1"/>
  <c r="I17"/>
  <c r="F17"/>
  <c r="H17" s="1"/>
  <c r="F16"/>
  <c r="I16" s="1"/>
  <c r="I99" i="39"/>
  <c r="I65" i="38"/>
  <c r="I98" i="39"/>
  <c r="I97"/>
  <c r="I96"/>
  <c r="I95"/>
  <c r="I99" i="40" l="1"/>
  <c r="H31"/>
  <c r="H16"/>
  <c r="H18"/>
  <c r="H20"/>
  <c r="H27"/>
  <c r="H33"/>
  <c r="H53"/>
  <c r="H81"/>
  <c r="H56"/>
  <c r="H50"/>
  <c r="H48"/>
  <c r="H45"/>
  <c r="H42"/>
  <c r="H40"/>
  <c r="I28"/>
  <c r="I32"/>
  <c r="I39"/>
  <c r="I43"/>
  <c r="I47"/>
  <c r="I49"/>
  <c r="I52"/>
  <c r="I54"/>
  <c r="I78"/>
  <c r="I87"/>
  <c r="I88"/>
  <c r="I89" s="1"/>
  <c r="I94" i="39"/>
  <c r="I93"/>
  <c r="I92"/>
  <c r="H92"/>
  <c r="I91"/>
  <c r="H91"/>
  <c r="E88"/>
  <c r="F88" s="1"/>
  <c r="H87"/>
  <c r="F87"/>
  <c r="I87" s="1"/>
  <c r="H85"/>
  <c r="H83"/>
  <c r="F81"/>
  <c r="H81" s="1"/>
  <c r="I79"/>
  <c r="H79"/>
  <c r="H89" s="1"/>
  <c r="F78"/>
  <c r="I78" s="1"/>
  <c r="H77"/>
  <c r="F76"/>
  <c r="H76" s="1"/>
  <c r="I75"/>
  <c r="H75"/>
  <c r="F75"/>
  <c r="H74"/>
  <c r="I72"/>
  <c r="H72"/>
  <c r="F72"/>
  <c r="I71"/>
  <c r="F71"/>
  <c r="H71" s="1"/>
  <c r="I70"/>
  <c r="F70"/>
  <c r="H70" s="1"/>
  <c r="I69"/>
  <c r="F69"/>
  <c r="H69" s="1"/>
  <c r="I68"/>
  <c r="F68"/>
  <c r="H68" s="1"/>
  <c r="I67"/>
  <c r="F67"/>
  <c r="H67" s="1"/>
  <c r="F66"/>
  <c r="H66" s="1"/>
  <c r="I65"/>
  <c r="F65"/>
  <c r="H65" s="1"/>
  <c r="F63"/>
  <c r="H63" s="1"/>
  <c r="F62"/>
  <c r="H62" s="1"/>
  <c r="I60"/>
  <c r="H60"/>
  <c r="I59"/>
  <c r="F59"/>
  <c r="H59" s="1"/>
  <c r="F56"/>
  <c r="H56" s="1"/>
  <c r="I55"/>
  <c r="H55"/>
  <c r="F54"/>
  <c r="I54" s="1"/>
  <c r="F53"/>
  <c r="H53" s="1"/>
  <c r="H52"/>
  <c r="F52"/>
  <c r="I52" s="1"/>
  <c r="I51"/>
  <c r="H51"/>
  <c r="F50"/>
  <c r="H50" s="1"/>
  <c r="F49"/>
  <c r="I49" s="1"/>
  <c r="F48"/>
  <c r="H48" s="1"/>
  <c r="F47"/>
  <c r="I47" s="1"/>
  <c r="F45"/>
  <c r="H45" s="1"/>
  <c r="I44"/>
  <c r="H44"/>
  <c r="F43"/>
  <c r="I43" s="1"/>
  <c r="F42"/>
  <c r="H42" s="1"/>
  <c r="H41"/>
  <c r="F40"/>
  <c r="H40" s="1"/>
  <c r="F39"/>
  <c r="I39" s="1"/>
  <c r="I38"/>
  <c r="H38"/>
  <c r="H36"/>
  <c r="H35"/>
  <c r="H34"/>
  <c r="F34"/>
  <c r="I34" s="1"/>
  <c r="E34"/>
  <c r="F33"/>
  <c r="H33" s="1"/>
  <c r="F32"/>
  <c r="I32" s="1"/>
  <c r="F31"/>
  <c r="H31" s="1"/>
  <c r="F28"/>
  <c r="I28" s="1"/>
  <c r="F27"/>
  <c r="H27" s="1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F20"/>
  <c r="H20" s="1"/>
  <c r="I19"/>
  <c r="F19"/>
  <c r="H19" s="1"/>
  <c r="F18"/>
  <c r="H18" s="1"/>
  <c r="I17"/>
  <c r="H17"/>
  <c r="F17"/>
  <c r="F16"/>
  <c r="H16" s="1"/>
  <c r="H28" l="1"/>
  <c r="H49"/>
  <c r="H78"/>
  <c r="I100"/>
  <c r="H32"/>
  <c r="H47"/>
  <c r="I101" i="40"/>
  <c r="H54" i="39"/>
  <c r="H43"/>
  <c r="H39"/>
  <c r="I88"/>
  <c r="H88"/>
  <c r="I16"/>
  <c r="I18"/>
  <c r="I20"/>
  <c r="I27"/>
  <c r="I31"/>
  <c r="I33"/>
  <c r="I40"/>
  <c r="I42"/>
  <c r="I45"/>
  <c r="I48"/>
  <c r="I50"/>
  <c r="I53"/>
  <c r="I56"/>
  <c r="I63"/>
  <c r="I81"/>
  <c r="I89" l="1"/>
  <c r="I102"/>
  <c r="I94" i="38" l="1"/>
  <c r="I95" s="1"/>
  <c r="I93"/>
  <c r="I92"/>
  <c r="H92"/>
  <c r="I91"/>
  <c r="H91"/>
  <c r="E88"/>
  <c r="F88" s="1"/>
  <c r="F87"/>
  <c r="I87" s="1"/>
  <c r="H85"/>
  <c r="H83"/>
  <c r="F81"/>
  <c r="I81" s="1"/>
  <c r="I79"/>
  <c r="H79"/>
  <c r="H89" s="1"/>
  <c r="F78"/>
  <c r="I78" s="1"/>
  <c r="H77"/>
  <c r="F76"/>
  <c r="H76" s="1"/>
  <c r="I75"/>
  <c r="F75"/>
  <c r="H75" s="1"/>
  <c r="H74"/>
  <c r="I72"/>
  <c r="F72"/>
  <c r="H72" s="1"/>
  <c r="I71"/>
  <c r="F71"/>
  <c r="H71" s="1"/>
  <c r="I70"/>
  <c r="F70"/>
  <c r="H70" s="1"/>
  <c r="I69"/>
  <c r="F69"/>
  <c r="H69" s="1"/>
  <c r="I68"/>
  <c r="F68"/>
  <c r="H68" s="1"/>
  <c r="I67"/>
  <c r="F67"/>
  <c r="H67" s="1"/>
  <c r="F66"/>
  <c r="H66" s="1"/>
  <c r="F65"/>
  <c r="H65" s="1"/>
  <c r="F63"/>
  <c r="H63" s="1"/>
  <c r="F62"/>
  <c r="H62" s="1"/>
  <c r="I60"/>
  <c r="H60"/>
  <c r="I59"/>
  <c r="F59"/>
  <c r="H59" s="1"/>
  <c r="F56"/>
  <c r="H56" s="1"/>
  <c r="I55"/>
  <c r="H55"/>
  <c r="F54"/>
  <c r="I54" s="1"/>
  <c r="F53"/>
  <c r="H53" s="1"/>
  <c r="F52"/>
  <c r="I52" s="1"/>
  <c r="I51"/>
  <c r="H51"/>
  <c r="F50"/>
  <c r="H50" s="1"/>
  <c r="F49"/>
  <c r="I49" s="1"/>
  <c r="F48"/>
  <c r="H48" s="1"/>
  <c r="F47"/>
  <c r="I47" s="1"/>
  <c r="F45"/>
  <c r="H45" s="1"/>
  <c r="I44"/>
  <c r="H44"/>
  <c r="F43"/>
  <c r="I43" s="1"/>
  <c r="F42"/>
  <c r="H42" s="1"/>
  <c r="H41"/>
  <c r="F40"/>
  <c r="H40" s="1"/>
  <c r="F39"/>
  <c r="I39" s="1"/>
  <c r="I38"/>
  <c r="H38"/>
  <c r="H36"/>
  <c r="H35"/>
  <c r="H34"/>
  <c r="F34"/>
  <c r="I34" s="1"/>
  <c r="E34"/>
  <c r="F33"/>
  <c r="H33" s="1"/>
  <c r="F32"/>
  <c r="I32" s="1"/>
  <c r="F31"/>
  <c r="H31" s="1"/>
  <c r="F28"/>
  <c r="I28" s="1"/>
  <c r="F27"/>
  <c r="H27" s="1"/>
  <c r="I26"/>
  <c r="H26"/>
  <c r="I25"/>
  <c r="F25"/>
  <c r="H25" s="1"/>
  <c r="I24"/>
  <c r="F24"/>
  <c r="H24" s="1"/>
  <c r="I23"/>
  <c r="F23"/>
  <c r="H23" s="1"/>
  <c r="I22"/>
  <c r="F22"/>
  <c r="H22" s="1"/>
  <c r="I21"/>
  <c r="H21"/>
  <c r="F21"/>
  <c r="F20"/>
  <c r="H20" s="1"/>
  <c r="I19"/>
  <c r="F19"/>
  <c r="H19" s="1"/>
  <c r="F18"/>
  <c r="H18" s="1"/>
  <c r="I17"/>
  <c r="F17"/>
  <c r="H17" s="1"/>
  <c r="F16"/>
  <c r="H16" s="1"/>
  <c r="H81" l="1"/>
  <c r="H28"/>
  <c r="H52"/>
  <c r="H49"/>
  <c r="H47"/>
  <c r="H43"/>
  <c r="H39"/>
  <c r="I88"/>
  <c r="H88"/>
  <c r="I16"/>
  <c r="I18"/>
  <c r="I20"/>
  <c r="I27"/>
  <c r="I31"/>
  <c r="H32"/>
  <c r="I33"/>
  <c r="I40"/>
  <c r="I42"/>
  <c r="I45"/>
  <c r="I48"/>
  <c r="I50"/>
  <c r="I53"/>
  <c r="H54"/>
  <c r="I56"/>
  <c r="I63"/>
  <c r="H78"/>
  <c r="H87"/>
  <c r="I89" l="1"/>
  <c r="I97"/>
  <c r="I89" i="37" l="1"/>
  <c r="I96"/>
  <c r="I97" s="1"/>
  <c r="I95"/>
  <c r="I94"/>
  <c r="I93"/>
  <c r="I92"/>
  <c r="I17"/>
  <c r="H92"/>
  <c r="I91"/>
  <c r="H91"/>
  <c r="E88"/>
  <c r="F88" s="1"/>
  <c r="H87"/>
  <c r="F87"/>
  <c r="I87" s="1"/>
  <c r="H85"/>
  <c r="H83"/>
  <c r="F81"/>
  <c r="H81" s="1"/>
  <c r="I79"/>
  <c r="H79"/>
  <c r="H89" s="1"/>
  <c r="H78"/>
  <c r="F78"/>
  <c r="I78" s="1"/>
  <c r="H77"/>
  <c r="F76"/>
  <c r="H76" s="1"/>
  <c r="I75"/>
  <c r="F75"/>
  <c r="H75" s="1"/>
  <c r="H74"/>
  <c r="I72"/>
  <c r="F72"/>
  <c r="H72" s="1"/>
  <c r="I71"/>
  <c r="F71"/>
  <c r="H71" s="1"/>
  <c r="I70"/>
  <c r="F70"/>
  <c r="H70" s="1"/>
  <c r="I69"/>
  <c r="F69"/>
  <c r="H69" s="1"/>
  <c r="I68"/>
  <c r="F68"/>
  <c r="H68" s="1"/>
  <c r="I67"/>
  <c r="F67"/>
  <c r="H67" s="1"/>
  <c r="F66"/>
  <c r="H66" s="1"/>
  <c r="I65"/>
  <c r="F65"/>
  <c r="H65" s="1"/>
  <c r="F63"/>
  <c r="H63" s="1"/>
  <c r="F62"/>
  <c r="H62" s="1"/>
  <c r="I60"/>
  <c r="H60"/>
  <c r="I59"/>
  <c r="F59"/>
  <c r="H59" s="1"/>
  <c r="F56"/>
  <c r="H56" s="1"/>
  <c r="I55"/>
  <c r="H55"/>
  <c r="F54"/>
  <c r="I54" s="1"/>
  <c r="F53"/>
  <c r="H53" s="1"/>
  <c r="F52"/>
  <c r="I52" s="1"/>
  <c r="I51"/>
  <c r="H51"/>
  <c r="F50"/>
  <c r="H50" s="1"/>
  <c r="F49"/>
  <c r="I49" s="1"/>
  <c r="F48"/>
  <c r="H48" s="1"/>
  <c r="F47"/>
  <c r="I47" s="1"/>
  <c r="F45"/>
  <c r="H45" s="1"/>
  <c r="I44"/>
  <c r="H44"/>
  <c r="F43"/>
  <c r="I43" s="1"/>
  <c r="F42"/>
  <c r="H42" s="1"/>
  <c r="H41"/>
  <c r="F40"/>
  <c r="H40" s="1"/>
  <c r="F39"/>
  <c r="I39" s="1"/>
  <c r="I38"/>
  <c r="H38"/>
  <c r="H36"/>
  <c r="H35"/>
  <c r="H34"/>
  <c r="F34"/>
  <c r="I34" s="1"/>
  <c r="E34"/>
  <c r="F33"/>
  <c r="H33" s="1"/>
  <c r="H32"/>
  <c r="F32"/>
  <c r="I32" s="1"/>
  <c r="F31"/>
  <c r="H31" s="1"/>
  <c r="H28"/>
  <c r="F28"/>
  <c r="I28" s="1"/>
  <c r="F27"/>
  <c r="H27" s="1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F20"/>
  <c r="H20" s="1"/>
  <c r="I19"/>
  <c r="F19"/>
  <c r="H19" s="1"/>
  <c r="F18"/>
  <c r="H18" s="1"/>
  <c r="H17"/>
  <c r="F17"/>
  <c r="F16"/>
  <c r="H16" s="1"/>
  <c r="C125" l="1"/>
  <c r="H54"/>
  <c r="H52"/>
  <c r="H49"/>
  <c r="H47"/>
  <c r="H43"/>
  <c r="H39"/>
  <c r="I88"/>
  <c r="H88"/>
  <c r="I16"/>
  <c r="I18"/>
  <c r="I20"/>
  <c r="I27"/>
  <c r="I31"/>
  <c r="I33"/>
  <c r="I40"/>
  <c r="I42"/>
  <c r="I45"/>
  <c r="I48"/>
  <c r="I50"/>
  <c r="I53"/>
  <c r="I56"/>
  <c r="I63"/>
  <c r="I81"/>
  <c r="I99" l="1"/>
  <c r="C124" s="1"/>
  <c r="C128" s="1"/>
  <c r="I89" i="36" l="1"/>
  <c r="I94" l="1"/>
  <c r="I93"/>
  <c r="I92"/>
  <c r="I65"/>
  <c r="H92"/>
  <c r="I91"/>
  <c r="I95" s="1"/>
  <c r="H91"/>
  <c r="E88"/>
  <c r="F88" s="1"/>
  <c r="F87"/>
  <c r="I87" s="1"/>
  <c r="H85"/>
  <c r="H83"/>
  <c r="F81"/>
  <c r="H81" s="1"/>
  <c r="I79"/>
  <c r="H79"/>
  <c r="H89" s="1"/>
  <c r="F78"/>
  <c r="I78" s="1"/>
  <c r="H77"/>
  <c r="F76"/>
  <c r="H76" s="1"/>
  <c r="I75"/>
  <c r="F75"/>
  <c r="H75" s="1"/>
  <c r="H74"/>
  <c r="I72"/>
  <c r="F72"/>
  <c r="H72" s="1"/>
  <c r="I71"/>
  <c r="F71"/>
  <c r="H71" s="1"/>
  <c r="I70"/>
  <c r="F70"/>
  <c r="H70" s="1"/>
  <c r="I69"/>
  <c r="F69"/>
  <c r="H69" s="1"/>
  <c r="I68"/>
  <c r="F68"/>
  <c r="H68" s="1"/>
  <c r="I67"/>
  <c r="F67"/>
  <c r="H67" s="1"/>
  <c r="F66"/>
  <c r="H66" s="1"/>
  <c r="F65"/>
  <c r="H65" s="1"/>
  <c r="F63"/>
  <c r="I63" s="1"/>
  <c r="F62"/>
  <c r="H62" s="1"/>
  <c r="I60"/>
  <c r="H60"/>
  <c r="I59"/>
  <c r="F59"/>
  <c r="H59" s="1"/>
  <c r="F56"/>
  <c r="I56" s="1"/>
  <c r="I55"/>
  <c r="H55"/>
  <c r="F54"/>
  <c r="H54" s="1"/>
  <c r="F53"/>
  <c r="I53" s="1"/>
  <c r="F52"/>
  <c r="H52" s="1"/>
  <c r="I51"/>
  <c r="H51"/>
  <c r="F50"/>
  <c r="I50" s="1"/>
  <c r="F49"/>
  <c r="H49" s="1"/>
  <c r="F48"/>
  <c r="I48" s="1"/>
  <c r="F47"/>
  <c r="H47" s="1"/>
  <c r="F45"/>
  <c r="I45" s="1"/>
  <c r="I44"/>
  <c r="H44"/>
  <c r="F43"/>
  <c r="H43" s="1"/>
  <c r="F42"/>
  <c r="I42" s="1"/>
  <c r="H41"/>
  <c r="F40"/>
  <c r="I40" s="1"/>
  <c r="F39"/>
  <c r="H39" s="1"/>
  <c r="I38"/>
  <c r="H38"/>
  <c r="H36"/>
  <c r="H35"/>
  <c r="H34"/>
  <c r="F34"/>
  <c r="I34" s="1"/>
  <c r="E34"/>
  <c r="F33"/>
  <c r="I33" s="1"/>
  <c r="F32"/>
  <c r="I32" s="1"/>
  <c r="F31"/>
  <c r="H31" s="1"/>
  <c r="F28"/>
  <c r="I28" s="1"/>
  <c r="F27"/>
  <c r="H27" s="1"/>
  <c r="I26"/>
  <c r="H26"/>
  <c r="I25"/>
  <c r="F25"/>
  <c r="H25" s="1"/>
  <c r="I24"/>
  <c r="F24"/>
  <c r="H24" s="1"/>
  <c r="I23"/>
  <c r="F23"/>
  <c r="H23" s="1"/>
  <c r="I22"/>
  <c r="F22"/>
  <c r="H22" s="1"/>
  <c r="I21"/>
  <c r="H21"/>
  <c r="F21"/>
  <c r="F20"/>
  <c r="H20" s="1"/>
  <c r="I19"/>
  <c r="H19"/>
  <c r="F19"/>
  <c r="F18"/>
  <c r="H18" s="1"/>
  <c r="I17"/>
  <c r="H17"/>
  <c r="F17"/>
  <c r="F16"/>
  <c r="H16" s="1"/>
  <c r="H32" l="1"/>
  <c r="H33"/>
  <c r="H63"/>
  <c r="H78"/>
  <c r="H28"/>
  <c r="C123"/>
  <c r="H50"/>
  <c r="H48"/>
  <c r="H53"/>
  <c r="H56"/>
  <c r="H45"/>
  <c r="H42"/>
  <c r="H40"/>
  <c r="I88"/>
  <c r="H88"/>
  <c r="I16"/>
  <c r="I18"/>
  <c r="I20"/>
  <c r="I27"/>
  <c r="I31"/>
  <c r="I39"/>
  <c r="I43"/>
  <c r="I47"/>
  <c r="I49"/>
  <c r="I52"/>
  <c r="I54"/>
  <c r="I81"/>
  <c r="H87"/>
  <c r="I97" l="1"/>
  <c r="C122" s="1"/>
  <c r="C126" s="1"/>
  <c r="I89" i="30" l="1"/>
  <c r="C127" i="32"/>
  <c r="C125" i="31"/>
  <c r="I90" i="34"/>
  <c r="I90" i="32"/>
  <c r="I17" i="35"/>
  <c r="I17" i="34"/>
  <c r="I17" i="32"/>
  <c r="I16"/>
  <c r="I17" i="31"/>
  <c r="I17" i="30"/>
  <c r="I90" i="35"/>
  <c r="I39" i="34"/>
  <c r="I18"/>
  <c r="I95" i="32"/>
  <c r="I61"/>
  <c r="I18"/>
  <c r="C120" i="31"/>
  <c r="C122"/>
  <c r="I89"/>
  <c r="I93"/>
  <c r="I18"/>
  <c r="I98" i="30"/>
  <c r="I18"/>
  <c r="C124" i="32"/>
  <c r="C131" i="30"/>
  <c r="C130"/>
  <c r="C128"/>
  <c r="I39" i="31"/>
  <c r="I39" i="30"/>
  <c r="I95" i="35"/>
  <c r="I94" l="1"/>
  <c r="I96" s="1"/>
  <c r="C124" s="1"/>
  <c r="I93"/>
  <c r="I73"/>
  <c r="I72"/>
  <c r="I71"/>
  <c r="I70"/>
  <c r="I69"/>
  <c r="I68"/>
  <c r="I26"/>
  <c r="I25"/>
  <c r="I24"/>
  <c r="I23"/>
  <c r="I22"/>
  <c r="I21"/>
  <c r="I19"/>
  <c r="H93"/>
  <c r="I92"/>
  <c r="H92"/>
  <c r="E89"/>
  <c r="F89" s="1"/>
  <c r="F88"/>
  <c r="I88" s="1"/>
  <c r="H86"/>
  <c r="H84"/>
  <c r="F82"/>
  <c r="H82" s="1"/>
  <c r="I80"/>
  <c r="H80"/>
  <c r="H90" s="1"/>
  <c r="F79"/>
  <c r="I79" s="1"/>
  <c r="H78"/>
  <c r="F77"/>
  <c r="H77" s="1"/>
  <c r="I76"/>
  <c r="F76"/>
  <c r="H76" s="1"/>
  <c r="H75"/>
  <c r="F73"/>
  <c r="H73" s="1"/>
  <c r="F72"/>
  <c r="H72" s="1"/>
  <c r="F71"/>
  <c r="H71" s="1"/>
  <c r="F70"/>
  <c r="H70" s="1"/>
  <c r="F69"/>
  <c r="H69" s="1"/>
  <c r="F68"/>
  <c r="H68" s="1"/>
  <c r="F67"/>
  <c r="H67" s="1"/>
  <c r="F66"/>
  <c r="H66" s="1"/>
  <c r="F64"/>
  <c r="I64" s="1"/>
  <c r="F63"/>
  <c r="H63" s="1"/>
  <c r="I61"/>
  <c r="H61"/>
  <c r="I60"/>
  <c r="F60"/>
  <c r="H60" s="1"/>
  <c r="F57"/>
  <c r="I57" s="1"/>
  <c r="I56"/>
  <c r="H56"/>
  <c r="F55"/>
  <c r="H55" s="1"/>
  <c r="F54"/>
  <c r="I54" s="1"/>
  <c r="F53"/>
  <c r="H53" s="1"/>
  <c r="I52"/>
  <c r="H52"/>
  <c r="F51"/>
  <c r="I51" s="1"/>
  <c r="F50"/>
  <c r="H50" s="1"/>
  <c r="F49"/>
  <c r="I49" s="1"/>
  <c r="F48"/>
  <c r="H48" s="1"/>
  <c r="F46"/>
  <c r="I46" s="1"/>
  <c r="I45"/>
  <c r="H45"/>
  <c r="F44"/>
  <c r="H44" s="1"/>
  <c r="F43"/>
  <c r="I43" s="1"/>
  <c r="H42"/>
  <c r="F41"/>
  <c r="I41" s="1"/>
  <c r="F40"/>
  <c r="H40" s="1"/>
  <c r="I39"/>
  <c r="H39"/>
  <c r="H37"/>
  <c r="H36"/>
  <c r="H35"/>
  <c r="F35"/>
  <c r="I35" s="1"/>
  <c r="E35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F16"/>
  <c r="H16" s="1"/>
  <c r="H51" l="1"/>
  <c r="H20"/>
  <c r="H32"/>
  <c r="H64"/>
  <c r="H28"/>
  <c r="H34"/>
  <c r="H49"/>
  <c r="H54"/>
  <c r="H79"/>
  <c r="H57"/>
  <c r="H41"/>
  <c r="H43"/>
  <c r="H46"/>
  <c r="I89"/>
  <c r="H89"/>
  <c r="I16"/>
  <c r="H17"/>
  <c r="I18"/>
  <c r="I27"/>
  <c r="I31"/>
  <c r="I33"/>
  <c r="I40"/>
  <c r="I44"/>
  <c r="I48"/>
  <c r="I50"/>
  <c r="I53"/>
  <c r="I55"/>
  <c r="I82"/>
  <c r="H88"/>
  <c r="I98" l="1"/>
  <c r="C123" s="1"/>
  <c r="C127" s="1"/>
  <c r="I61" i="34" l="1"/>
  <c r="I60"/>
  <c r="I60" i="32"/>
  <c r="I96" i="34"/>
  <c r="I99" s="1"/>
  <c r="C128" s="1"/>
  <c r="I98"/>
  <c r="I97"/>
  <c r="I95"/>
  <c r="I94"/>
  <c r="I93"/>
  <c r="H93"/>
  <c r="I92"/>
  <c r="H92"/>
  <c r="E89"/>
  <c r="F89" s="1"/>
  <c r="F88"/>
  <c r="H88" s="1"/>
  <c r="H86"/>
  <c r="H84"/>
  <c r="F82"/>
  <c r="I82" s="1"/>
  <c r="I80"/>
  <c r="H80"/>
  <c r="H90" s="1"/>
  <c r="F79"/>
  <c r="H79" s="1"/>
  <c r="H78"/>
  <c r="F77"/>
  <c r="H77" s="1"/>
  <c r="I76"/>
  <c r="F76"/>
  <c r="H76" s="1"/>
  <c r="H75"/>
  <c r="F73"/>
  <c r="H73" s="1"/>
  <c r="F72"/>
  <c r="H72" s="1"/>
  <c r="F71"/>
  <c r="H71" s="1"/>
  <c r="F70"/>
  <c r="H70" s="1"/>
  <c r="F69"/>
  <c r="H69" s="1"/>
  <c r="F68"/>
  <c r="H68" s="1"/>
  <c r="F67"/>
  <c r="H67" s="1"/>
  <c r="F66"/>
  <c r="H66" s="1"/>
  <c r="F64"/>
  <c r="H64" s="1"/>
  <c r="F63"/>
  <c r="H63" s="1"/>
  <c r="H61"/>
  <c r="F60"/>
  <c r="F57"/>
  <c r="H57" s="1"/>
  <c r="I56"/>
  <c r="H56"/>
  <c r="F55"/>
  <c r="I55" s="1"/>
  <c r="F54"/>
  <c r="H54" s="1"/>
  <c r="F53"/>
  <c r="I53" s="1"/>
  <c r="I52"/>
  <c r="H52"/>
  <c r="F51"/>
  <c r="H51" s="1"/>
  <c r="F50"/>
  <c r="I50" s="1"/>
  <c r="F49"/>
  <c r="H49" s="1"/>
  <c r="F48"/>
  <c r="I48" s="1"/>
  <c r="F46"/>
  <c r="H46" s="1"/>
  <c r="I45"/>
  <c r="H45"/>
  <c r="F44"/>
  <c r="I44" s="1"/>
  <c r="F43"/>
  <c r="H43" s="1"/>
  <c r="H42"/>
  <c r="F41"/>
  <c r="I41" s="1"/>
  <c r="F40"/>
  <c r="I40" s="1"/>
  <c r="H39"/>
  <c r="H37"/>
  <c r="H36"/>
  <c r="H35"/>
  <c r="F35"/>
  <c r="I35" s="1"/>
  <c r="E35"/>
  <c r="F34"/>
  <c r="I34" s="1"/>
  <c r="F33"/>
  <c r="I33" s="1"/>
  <c r="F32"/>
  <c r="I32" s="1"/>
  <c r="F31"/>
  <c r="I31" s="1"/>
  <c r="F28"/>
  <c r="I28" s="1"/>
  <c r="F27"/>
  <c r="I27" s="1"/>
  <c r="H26"/>
  <c r="F25"/>
  <c r="H25" s="1"/>
  <c r="F24"/>
  <c r="H24" s="1"/>
  <c r="F23"/>
  <c r="H23" s="1"/>
  <c r="F22"/>
  <c r="H22" s="1"/>
  <c r="F21"/>
  <c r="I21" s="1"/>
  <c r="F20"/>
  <c r="I20" s="1"/>
  <c r="F19"/>
  <c r="H19" s="1"/>
  <c r="F18"/>
  <c r="F17"/>
  <c r="F16"/>
  <c r="I16" s="1"/>
  <c r="I44" i="32"/>
  <c r="I46"/>
  <c r="I94"/>
  <c r="H94"/>
  <c r="I93"/>
  <c r="H93"/>
  <c r="I92"/>
  <c r="H92"/>
  <c r="I45"/>
  <c r="E89"/>
  <c r="F89" s="1"/>
  <c r="H89" s="1"/>
  <c r="F88"/>
  <c r="H88" s="1"/>
  <c r="H86"/>
  <c r="H84"/>
  <c r="F82"/>
  <c r="I82" s="1"/>
  <c r="I80"/>
  <c r="H80"/>
  <c r="H90" s="1"/>
  <c r="F79"/>
  <c r="H79" s="1"/>
  <c r="H78"/>
  <c r="F77"/>
  <c r="H77" s="1"/>
  <c r="I76"/>
  <c r="F76"/>
  <c r="H76" s="1"/>
  <c r="H75"/>
  <c r="F73"/>
  <c r="H73" s="1"/>
  <c r="F72"/>
  <c r="H72" s="1"/>
  <c r="F71"/>
  <c r="H71" s="1"/>
  <c r="F70"/>
  <c r="H70" s="1"/>
  <c r="F69"/>
  <c r="H69" s="1"/>
  <c r="H68"/>
  <c r="F68"/>
  <c r="H67"/>
  <c r="F67"/>
  <c r="H66"/>
  <c r="F66"/>
  <c r="F64"/>
  <c r="H64" s="1"/>
  <c r="F63"/>
  <c r="H63" s="1"/>
  <c r="H61"/>
  <c r="F60"/>
  <c r="F57"/>
  <c r="H57" s="1"/>
  <c r="I56"/>
  <c r="H56"/>
  <c r="F55"/>
  <c r="I55" s="1"/>
  <c r="F54"/>
  <c r="H54" s="1"/>
  <c r="F53"/>
  <c r="I53" s="1"/>
  <c r="I52"/>
  <c r="H52"/>
  <c r="F51"/>
  <c r="H51" s="1"/>
  <c r="F50"/>
  <c r="I50" s="1"/>
  <c r="F49"/>
  <c r="H49" s="1"/>
  <c r="F48"/>
  <c r="I48" s="1"/>
  <c r="F46"/>
  <c r="H46" s="1"/>
  <c r="H45"/>
  <c r="F44"/>
  <c r="F43"/>
  <c r="H43" s="1"/>
  <c r="H42"/>
  <c r="F41"/>
  <c r="H41" s="1"/>
  <c r="F40"/>
  <c r="I40" s="1"/>
  <c r="I39"/>
  <c r="H39"/>
  <c r="H37"/>
  <c r="H36"/>
  <c r="H35"/>
  <c r="F35"/>
  <c r="I35" s="1"/>
  <c r="E35"/>
  <c r="F34"/>
  <c r="H34" s="1"/>
  <c r="F33"/>
  <c r="I33" s="1"/>
  <c r="F32"/>
  <c r="H32" s="1"/>
  <c r="F31"/>
  <c r="I31" s="1"/>
  <c r="F28"/>
  <c r="H28" s="1"/>
  <c r="F27"/>
  <c r="I27" s="1"/>
  <c r="H26"/>
  <c r="F25"/>
  <c r="H25" s="1"/>
  <c r="F24"/>
  <c r="H24" s="1"/>
  <c r="F23"/>
  <c r="H23" s="1"/>
  <c r="F22"/>
  <c r="H22" s="1"/>
  <c r="F21"/>
  <c r="I21" s="1"/>
  <c r="F20"/>
  <c r="H20" s="1"/>
  <c r="F19"/>
  <c r="H19" s="1"/>
  <c r="F18"/>
  <c r="F17"/>
  <c r="H17" s="1"/>
  <c r="F16"/>
  <c r="I45" i="31"/>
  <c r="H28" i="34" l="1"/>
  <c r="H41"/>
  <c r="H82"/>
  <c r="H17"/>
  <c r="H20"/>
  <c r="H32"/>
  <c r="H34"/>
  <c r="H89"/>
  <c r="I89"/>
  <c r="H16"/>
  <c r="H18"/>
  <c r="H21"/>
  <c r="H27"/>
  <c r="H31"/>
  <c r="H33"/>
  <c r="H40"/>
  <c r="I43"/>
  <c r="H44"/>
  <c r="I46"/>
  <c r="H48"/>
  <c r="I49"/>
  <c r="H50"/>
  <c r="I51"/>
  <c r="H53"/>
  <c r="I54"/>
  <c r="H55"/>
  <c r="I57"/>
  <c r="H60"/>
  <c r="I64"/>
  <c r="I79"/>
  <c r="I88"/>
  <c r="H16" i="32"/>
  <c r="H27"/>
  <c r="H33"/>
  <c r="H40"/>
  <c r="H55"/>
  <c r="H82"/>
  <c r="H18"/>
  <c r="H21"/>
  <c r="H31"/>
  <c r="H44"/>
  <c r="H53"/>
  <c r="H60"/>
  <c r="H48"/>
  <c r="H50"/>
  <c r="I20"/>
  <c r="I28"/>
  <c r="I32"/>
  <c r="I34"/>
  <c r="I41"/>
  <c r="I43"/>
  <c r="I49"/>
  <c r="I51"/>
  <c r="I54"/>
  <c r="I57"/>
  <c r="I64"/>
  <c r="I79"/>
  <c r="I88"/>
  <c r="I89"/>
  <c r="I101" i="34" l="1"/>
  <c r="C127" s="1"/>
  <c r="C131" s="1"/>
  <c r="I97" i="32"/>
  <c r="C123" s="1"/>
  <c r="I45" i="30" l="1"/>
  <c r="I92" i="31"/>
  <c r="H92"/>
  <c r="F63"/>
  <c r="I91"/>
  <c r="H91"/>
  <c r="E88"/>
  <c r="F88" s="1"/>
  <c r="H88" s="1"/>
  <c r="F87"/>
  <c r="H87" s="1"/>
  <c r="H85"/>
  <c r="H83"/>
  <c r="F81"/>
  <c r="I81" s="1"/>
  <c r="I79"/>
  <c r="H79"/>
  <c r="H89" s="1"/>
  <c r="F78"/>
  <c r="H78" s="1"/>
  <c r="H77"/>
  <c r="F76"/>
  <c r="H76" s="1"/>
  <c r="I75"/>
  <c r="F75"/>
  <c r="H75" s="1"/>
  <c r="H74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H63"/>
  <c r="F62"/>
  <c r="H62" s="1"/>
  <c r="I60"/>
  <c r="H60"/>
  <c r="F57"/>
  <c r="H57" s="1"/>
  <c r="I56"/>
  <c r="H56"/>
  <c r="F55"/>
  <c r="I55" s="1"/>
  <c r="F54"/>
  <c r="H54" s="1"/>
  <c r="F53"/>
  <c r="I53" s="1"/>
  <c r="I52"/>
  <c r="H52"/>
  <c r="F51"/>
  <c r="H51" s="1"/>
  <c r="F50"/>
  <c r="I50" s="1"/>
  <c r="F49"/>
  <c r="H49" s="1"/>
  <c r="F48"/>
  <c r="I48" s="1"/>
  <c r="F46"/>
  <c r="H46" s="1"/>
  <c r="H45"/>
  <c r="F44"/>
  <c r="I44" s="1"/>
  <c r="F43"/>
  <c r="H43" s="1"/>
  <c r="H42"/>
  <c r="F41"/>
  <c r="H41" s="1"/>
  <c r="F40"/>
  <c r="I40" s="1"/>
  <c r="H39"/>
  <c r="H37"/>
  <c r="H36"/>
  <c r="H35"/>
  <c r="F35"/>
  <c r="I35" s="1"/>
  <c r="E35"/>
  <c r="F34"/>
  <c r="H34" s="1"/>
  <c r="F33"/>
  <c r="I33" s="1"/>
  <c r="F32"/>
  <c r="H32" s="1"/>
  <c r="F31"/>
  <c r="I31" s="1"/>
  <c r="F28"/>
  <c r="H28" s="1"/>
  <c r="F27"/>
  <c r="I27" s="1"/>
  <c r="H26"/>
  <c r="F25"/>
  <c r="H25" s="1"/>
  <c r="F24"/>
  <c r="H24" s="1"/>
  <c r="F23"/>
  <c r="H23" s="1"/>
  <c r="F22"/>
  <c r="H22" s="1"/>
  <c r="F21"/>
  <c r="I21" s="1"/>
  <c r="F20"/>
  <c r="H20" s="1"/>
  <c r="F19"/>
  <c r="H19" s="1"/>
  <c r="F18"/>
  <c r="F17"/>
  <c r="H17" s="1"/>
  <c r="F16"/>
  <c r="I16" s="1"/>
  <c r="I97" i="30"/>
  <c r="H97"/>
  <c r="I96"/>
  <c r="H96"/>
  <c r="I95"/>
  <c r="H95"/>
  <c r="I94"/>
  <c r="H94"/>
  <c r="I93"/>
  <c r="H93"/>
  <c r="I92"/>
  <c r="H92"/>
  <c r="I91"/>
  <c r="H91"/>
  <c r="F63"/>
  <c r="H63" s="1"/>
  <c r="E88"/>
  <c r="F88" s="1"/>
  <c r="F87"/>
  <c r="H87" s="1"/>
  <c r="H85"/>
  <c r="H83"/>
  <c r="F81"/>
  <c r="I81" s="1"/>
  <c r="I79"/>
  <c r="H79"/>
  <c r="H89" s="1"/>
  <c r="F78"/>
  <c r="H78" s="1"/>
  <c r="H77"/>
  <c r="F76"/>
  <c r="H76" s="1"/>
  <c r="I75"/>
  <c r="F75"/>
  <c r="H75" s="1"/>
  <c r="H74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I63"/>
  <c r="F62"/>
  <c r="H62" s="1"/>
  <c r="I60"/>
  <c r="H60"/>
  <c r="F57"/>
  <c r="I57" s="1"/>
  <c r="I56"/>
  <c r="H56"/>
  <c r="F55"/>
  <c r="I55" s="1"/>
  <c r="F54"/>
  <c r="I54" s="1"/>
  <c r="F53"/>
  <c r="I53" s="1"/>
  <c r="I52"/>
  <c r="H52"/>
  <c r="F51"/>
  <c r="I51" s="1"/>
  <c r="F50"/>
  <c r="I50" s="1"/>
  <c r="F49"/>
  <c r="I49" s="1"/>
  <c r="F48"/>
  <c r="I48" s="1"/>
  <c r="F46"/>
  <c r="I46" s="1"/>
  <c r="H45"/>
  <c r="F44"/>
  <c r="I44" s="1"/>
  <c r="F43"/>
  <c r="I43" s="1"/>
  <c r="H42"/>
  <c r="F41"/>
  <c r="I41" s="1"/>
  <c r="F40"/>
  <c r="I40" s="1"/>
  <c r="H39"/>
  <c r="H37"/>
  <c r="H36"/>
  <c r="H35"/>
  <c r="F35"/>
  <c r="I35" s="1"/>
  <c r="E35"/>
  <c r="F34"/>
  <c r="I34" s="1"/>
  <c r="F33"/>
  <c r="I33" s="1"/>
  <c r="F32"/>
  <c r="I32" s="1"/>
  <c r="F31"/>
  <c r="I31" s="1"/>
  <c r="F28"/>
  <c r="I28" s="1"/>
  <c r="F27"/>
  <c r="I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F16"/>
  <c r="I16" s="1"/>
  <c r="H17" l="1"/>
  <c r="H28"/>
  <c r="H34"/>
  <c r="H41"/>
  <c r="H49"/>
  <c r="H54"/>
  <c r="H20"/>
  <c r="H32"/>
  <c r="H43"/>
  <c r="H46"/>
  <c r="H51"/>
  <c r="H81"/>
  <c r="H44" i="31"/>
  <c r="H50"/>
  <c r="H55"/>
  <c r="H81"/>
  <c r="H40"/>
  <c r="H48"/>
  <c r="H53"/>
  <c r="H16"/>
  <c r="H18"/>
  <c r="I20"/>
  <c r="H21"/>
  <c r="H27"/>
  <c r="I28"/>
  <c r="H31"/>
  <c r="I32"/>
  <c r="H33"/>
  <c r="I34"/>
  <c r="I41"/>
  <c r="I43"/>
  <c r="I46"/>
  <c r="I49"/>
  <c r="I51"/>
  <c r="I54"/>
  <c r="I57"/>
  <c r="I63"/>
  <c r="I78"/>
  <c r="I87"/>
  <c r="I88"/>
  <c r="H57" i="30"/>
  <c r="H88"/>
  <c r="I88"/>
  <c r="I21"/>
  <c r="H16"/>
  <c r="H27"/>
  <c r="H31"/>
  <c r="H33"/>
  <c r="H40"/>
  <c r="H44"/>
  <c r="H48"/>
  <c r="H50"/>
  <c r="H53"/>
  <c r="H55"/>
  <c r="I78"/>
  <c r="I87"/>
  <c r="I100" l="1"/>
  <c r="C129" s="1"/>
  <c r="C133" s="1"/>
  <c r="I95" i="31"/>
  <c r="C121" l="1"/>
  <c r="H96" i="29"/>
  <c r="H95"/>
  <c r="H94"/>
  <c r="H93"/>
  <c r="H92" l="1"/>
  <c r="E89"/>
  <c r="F89" s="1"/>
  <c r="F88"/>
  <c r="I88" s="1"/>
  <c r="H86"/>
  <c r="H84"/>
  <c r="F82"/>
  <c r="H82" s="1"/>
  <c r="I80"/>
  <c r="H80"/>
  <c r="H90" s="1"/>
  <c r="F79"/>
  <c r="I79" s="1"/>
  <c r="H78"/>
  <c r="F77"/>
  <c r="H77" s="1"/>
  <c r="I76"/>
  <c r="F76"/>
  <c r="H76" s="1"/>
  <c r="H75"/>
  <c r="F73"/>
  <c r="H73" s="1"/>
  <c r="F72"/>
  <c r="H72" s="1"/>
  <c r="F71"/>
  <c r="H71" s="1"/>
  <c r="F70"/>
  <c r="H70" s="1"/>
  <c r="F69"/>
  <c r="H69" s="1"/>
  <c r="F68"/>
  <c r="H68" s="1"/>
  <c r="F67"/>
  <c r="H67" s="1"/>
  <c r="F66"/>
  <c r="H66" s="1"/>
  <c r="F64"/>
  <c r="I64" s="1"/>
  <c r="F63"/>
  <c r="H63" s="1"/>
  <c r="H61"/>
  <c r="F60"/>
  <c r="H60" s="1"/>
  <c r="F57"/>
  <c r="I57" s="1"/>
  <c r="I56"/>
  <c r="H56"/>
  <c r="F55"/>
  <c r="H55" s="1"/>
  <c r="F54"/>
  <c r="I54" s="1"/>
  <c r="F53"/>
  <c r="I53" s="1"/>
  <c r="I52"/>
  <c r="H52"/>
  <c r="F51"/>
  <c r="I51" s="1"/>
  <c r="F50"/>
  <c r="I50" s="1"/>
  <c r="F49"/>
  <c r="I49" s="1"/>
  <c r="F48"/>
  <c r="I48" s="1"/>
  <c r="F46"/>
  <c r="I46" s="1"/>
  <c r="H45"/>
  <c r="F44"/>
  <c r="F43"/>
  <c r="I43" s="1"/>
  <c r="H42"/>
  <c r="F41"/>
  <c r="I41" s="1"/>
  <c r="F40"/>
  <c r="H40" s="1"/>
  <c r="I39"/>
  <c r="H39"/>
  <c r="H37"/>
  <c r="H36"/>
  <c r="H35"/>
  <c r="F35"/>
  <c r="I35" s="1"/>
  <c r="E35"/>
  <c r="F34"/>
  <c r="I34" s="1"/>
  <c r="F33"/>
  <c r="H33" s="1"/>
  <c r="F32"/>
  <c r="I32" s="1"/>
  <c r="F31"/>
  <c r="I31" s="1"/>
  <c r="F28"/>
  <c r="I28" s="1"/>
  <c r="F27"/>
  <c r="I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H92" i="27"/>
  <c r="I80"/>
  <c r="I76"/>
  <c r="I61"/>
  <c r="I56"/>
  <c r="I52"/>
  <c r="I39"/>
  <c r="E89"/>
  <c r="F89" s="1"/>
  <c r="H89" s="1"/>
  <c r="F88"/>
  <c r="H88" s="1"/>
  <c r="H86"/>
  <c r="H84"/>
  <c r="F82"/>
  <c r="H82" s="1"/>
  <c r="H80"/>
  <c r="F79"/>
  <c r="H79" s="1"/>
  <c r="H78"/>
  <c r="F77"/>
  <c r="H77" s="1"/>
  <c r="F76"/>
  <c r="H76" s="1"/>
  <c r="H75"/>
  <c r="F73"/>
  <c r="H73" s="1"/>
  <c r="F72"/>
  <c r="H72" s="1"/>
  <c r="F71"/>
  <c r="H71" s="1"/>
  <c r="F70"/>
  <c r="H70" s="1"/>
  <c r="F69"/>
  <c r="H69" s="1"/>
  <c r="F68"/>
  <c r="H68" s="1"/>
  <c r="F67"/>
  <c r="H67" s="1"/>
  <c r="F66"/>
  <c r="H66" s="1"/>
  <c r="F64"/>
  <c r="H64" s="1"/>
  <c r="F63"/>
  <c r="H63" s="1"/>
  <c r="H61"/>
  <c r="F60"/>
  <c r="H60" s="1"/>
  <c r="F57"/>
  <c r="H57" s="1"/>
  <c r="H56"/>
  <c r="F55"/>
  <c r="H55" s="1"/>
  <c r="F54"/>
  <c r="H54" s="1"/>
  <c r="F53"/>
  <c r="H53" s="1"/>
  <c r="H52"/>
  <c r="F51"/>
  <c r="H51" s="1"/>
  <c r="F50"/>
  <c r="H50" s="1"/>
  <c r="F49"/>
  <c r="H49" s="1"/>
  <c r="F48"/>
  <c r="H48" s="1"/>
  <c r="F46"/>
  <c r="H46" s="1"/>
  <c r="H45"/>
  <c r="F44"/>
  <c r="F43"/>
  <c r="H43" s="1"/>
  <c r="H42"/>
  <c r="F41"/>
  <c r="H41" s="1"/>
  <c r="F40"/>
  <c r="H40" s="1"/>
  <c r="H39"/>
  <c r="F28"/>
  <c r="H28" s="1"/>
  <c r="H37"/>
  <c r="H36"/>
  <c r="F27"/>
  <c r="H27" s="1"/>
  <c r="H35"/>
  <c r="F35"/>
  <c r="I35" s="1"/>
  <c r="E35"/>
  <c r="F34"/>
  <c r="H34" s="1"/>
  <c r="F33"/>
  <c r="H33" s="1"/>
  <c r="F32"/>
  <c r="H32" s="1"/>
  <c r="F31"/>
  <c r="H31" s="1"/>
  <c r="H26"/>
  <c r="F25"/>
  <c r="H25" s="1"/>
  <c r="F24"/>
  <c r="H24" s="1"/>
  <c r="F23"/>
  <c r="H23" s="1"/>
  <c r="F22"/>
  <c r="H22" s="1"/>
  <c r="F21"/>
  <c r="H21" s="1"/>
  <c r="F20"/>
  <c r="H20" s="1"/>
  <c r="F19"/>
  <c r="H19" s="1"/>
  <c r="F18"/>
  <c r="H18" s="1"/>
  <c r="F17"/>
  <c r="H17" s="1"/>
  <c r="F16"/>
  <c r="H16" s="1"/>
  <c r="H34" i="29" l="1"/>
  <c r="H64"/>
  <c r="H79"/>
  <c r="H44"/>
  <c r="I44"/>
  <c r="I88" i="27"/>
  <c r="H44"/>
  <c r="I44"/>
  <c r="I64"/>
  <c r="I79"/>
  <c r="I82"/>
  <c r="I89"/>
  <c r="I60"/>
  <c r="H17" i="29"/>
  <c r="H27"/>
  <c r="H43"/>
  <c r="H88"/>
  <c r="H20"/>
  <c r="H31"/>
  <c r="H41"/>
  <c r="H50"/>
  <c r="H48"/>
  <c r="H53"/>
  <c r="H57"/>
  <c r="I89"/>
  <c r="H89"/>
  <c r="I16"/>
  <c r="I18"/>
  <c r="I21"/>
  <c r="H28"/>
  <c r="H32"/>
  <c r="I33"/>
  <c r="I40"/>
  <c r="H46"/>
  <c r="H49"/>
  <c r="H51"/>
  <c r="H54"/>
  <c r="I55"/>
  <c r="I82"/>
  <c r="I50" i="27"/>
  <c r="I48"/>
  <c r="I57"/>
  <c r="I53"/>
  <c r="I51"/>
  <c r="I49"/>
  <c r="I54"/>
  <c r="I55"/>
  <c r="I43"/>
  <c r="I40"/>
  <c r="I46"/>
  <c r="I33"/>
  <c r="I28"/>
  <c r="I31"/>
  <c r="I34"/>
  <c r="I27"/>
  <c r="I100" i="29" l="1"/>
  <c r="I41" i="27" l="1"/>
  <c r="I32"/>
  <c r="I21"/>
  <c r="I20"/>
  <c r="I18"/>
  <c r="I17"/>
  <c r="I16"/>
  <c r="H90" l="1"/>
  <c r="I104" l="1"/>
</calcChain>
</file>

<file path=xl/sharedStrings.xml><?xml version="1.0" encoding="utf-8"?>
<sst xmlns="http://schemas.openxmlformats.org/spreadsheetml/2006/main" count="2983" uniqueCount="369">
  <si>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</si>
  <si>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</si>
  <si>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</si>
  <si>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</si>
  <si>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</si>
  <si>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</si>
  <si>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</si>
  <si>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</si>
  <si>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</si>
  <si>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</si>
  <si>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</si>
  <si>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</si>
  <si>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</si>
  <si>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</si>
  <si>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</si>
  <si>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</si>
  <si>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</si>
  <si>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</si>
  <si>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</si>
  <si>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</si>
  <si>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</si>
  <si>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</si>
  <si>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</si>
  <si>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</si>
  <si>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</si>
  <si>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</si>
  <si>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</si>
  <si>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</si>
  <si>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</si>
  <si>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</si>
  <si>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</si>
  <si>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</si>
  <si>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</si>
  <si>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</si>
  <si>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конструкций стропил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</si>
  <si>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</si>
  <si>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</si>
  <si>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</si>
  <si>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</si>
  <si>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</si>
  <si>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</si>
  <si>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</si>
  <si>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</si>
  <si>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</si>
  <si>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</si>
  <si>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</si>
  <si>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</si>
  <si>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</si>
  <si>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</si>
  <si>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</si>
  <si>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</si>
  <si>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</si>
  <si>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</si>
  <si>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</si>
  <si>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</si>
  <si>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</si>
  <si>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</si>
  <si>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</si>
  <si>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</si>
  <si>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</si>
  <si>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</si>
  <si>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</si>
  <si>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</si>
  <si>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</si>
  <si>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</si>
  <si>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</si>
  <si>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</si>
  <si>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</si>
  <si>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</si>
  <si>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</si>
  <si>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</si>
  <si>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</si>
  <si>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</si>
  <si>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</si>
  <si>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</si>
  <si>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</si>
  <si>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</si>
  <si>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</si>
  <si>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</si>
  <si>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</si>
  <si>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</si>
  <si>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</si>
  <si>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</si>
  <si>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</si>
  <si>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</si>
  <si>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ООО «Жилсервис»</t>
  </si>
  <si>
    <t>Влажное подметание лестничных клеток 1 этажа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</si>
  <si>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</si>
  <si>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</si>
  <si>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</si>
  <si>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</si>
  <si>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</si>
  <si>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</si>
  <si>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</si>
  <si>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</si>
  <si>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</si>
  <si>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</si>
  <si>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</si>
  <si>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</si>
  <si>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</si>
  <si>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</si>
  <si>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</si>
  <si>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</si>
  <si>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Уборка контейнерной площадки (16 кв.м.)</t>
  </si>
  <si>
    <t>Уборка газонов</t>
  </si>
  <si>
    <t>Сдвигание снега в дни снегопада (крыльца, тротуары)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</si>
  <si>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</si>
  <si>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</si>
  <si>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</si>
  <si>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</si>
  <si>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</si>
  <si>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</si>
  <si>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</si>
  <si>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</si>
  <si>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>Влажное подметание лестничных клеток 2-5 этажа</t>
  </si>
  <si>
    <t>Мытье лестничных  площадок и маршей 1-5 этаж.</t>
  </si>
  <si>
    <t>Очистка урн от мусора</t>
  </si>
  <si>
    <t>Подметание территории с усовершенствованным покрытием асф.: крыльца, контейнерн пл., проезд, тротуар</t>
  </si>
  <si>
    <t>Вывоз снега с придомовой территории</t>
  </si>
  <si>
    <t>1м3</t>
  </si>
  <si>
    <t>Дератизация</t>
  </si>
  <si>
    <t>Снятие показаний эл.счетчика коммунального назначения</t>
  </si>
  <si>
    <t>Влажная протирка шкафов для щитов и слаботочн.ус.</t>
  </si>
  <si>
    <t>30 раз за сезон</t>
  </si>
  <si>
    <t>35 раз за сезон</t>
  </si>
  <si>
    <t>Осмотр шиферной кровли</t>
  </si>
  <si>
    <t>Прочистка каналов</t>
  </si>
  <si>
    <t>Устройство хомута диаметром до 50 мм</t>
  </si>
  <si>
    <t xml:space="preserve">приемки оказанных услуг и выполненных работ по содержанию и текущему ремонту
общего имущества в многоквартирном доме №7 по ул.Строительная пгт.Ярега
</t>
  </si>
  <si>
    <t>III. Проведение технических осмотров</t>
  </si>
  <si>
    <t>IV. Содержание общего имущества МКД</t>
  </si>
  <si>
    <t>V. Прочие услуги</t>
  </si>
  <si>
    <t>генеральный директор Куканов Ю.Л.</t>
  </si>
  <si>
    <t>IV. Прочие услуги</t>
  </si>
  <si>
    <t>III. Содержание общего имущества МКД</t>
  </si>
  <si>
    <t>АКТ №1</t>
  </si>
  <si>
    <t xml:space="preserve"> </t>
  </si>
  <si>
    <t>Очистка края кровли от слежавшегося снега со сбрасыванием сосулек (10% от S кровли)</t>
  </si>
  <si>
    <t>1 шт</t>
  </si>
  <si>
    <t>Смена трубопроводов на полипропиленовые трубы PN25 диаметром 25 мм</t>
  </si>
  <si>
    <t>5 раз в год</t>
  </si>
  <si>
    <t>АКТ №2</t>
  </si>
  <si>
    <t>ежемесячно</t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</si>
  <si>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ул.Строительная, д.7</t>
    </r>
  </si>
  <si>
    <t>156 раз в год</t>
  </si>
  <si>
    <t>104 раза в год</t>
  </si>
  <si>
    <t xml:space="preserve">24 раза в год </t>
  </si>
  <si>
    <t>Подключение и отключение сварочного аппарата</t>
  </si>
  <si>
    <t>Итого затраты за месяц</t>
  </si>
  <si>
    <t>52 раза в сезон</t>
  </si>
  <si>
    <t>78 раз за сезон</t>
  </si>
  <si>
    <t>Смена арматуры - вентилей и клапанов обратных муфтовых диаметром до 20 мм</t>
  </si>
  <si>
    <t>АКТ №11</t>
  </si>
  <si>
    <t>АКТ №12</t>
  </si>
  <si>
    <r>
      <t xml:space="preserve">    Собственники помещений в многоквартирном доме, расположенном по адресу:  пгт.Ярега,  ул.Строительная,  д.7,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31.10.2017г. стороны,  и ООО «Жилсервис»,  именуемое в дальнейшем "Исполнитель",  в лице генерального директора Куканова Юрия Леонидовича,  действующего на основании Устава,  с другой стороны, совместно именуемые "Стороны",  составили настоящий Акт о нижеследующем:</t>
    </r>
  </si>
  <si>
    <t xml:space="preserve">1 раз в месяц     </t>
  </si>
  <si>
    <t>Очистка вручную от снега и наледи люков каналиационных и водопроводных колодцев</t>
  </si>
  <si>
    <t>2 раза в месяц</t>
  </si>
  <si>
    <t>Работы автовышки</t>
  </si>
  <si>
    <t>маш-час</t>
  </si>
  <si>
    <t>Смена светодиодных светильников (со стоимостью светильника)</t>
  </si>
  <si>
    <t>Смена плавкой вставки в электрощитке</t>
  </si>
  <si>
    <t>Смена светодиодных светильников н.о.</t>
  </si>
  <si>
    <t>Снятие показаний с общедомовых приборов учёта холодной воды</t>
  </si>
  <si>
    <t>Обслуживание прибора учета тепловой энергии</t>
  </si>
  <si>
    <t>Водоснабжение, канализация</t>
  </si>
  <si>
    <t>ТО внутренних сетей водопровода и канализации</t>
  </si>
  <si>
    <t>руб/м2 в мес</t>
  </si>
  <si>
    <t>Смена дверных приборов - пружины</t>
  </si>
  <si>
    <t>за период с 01.01.2018 г. по 31.01.2018 г.</t>
  </si>
  <si>
    <t>Смена арматуры - вентилей и клапанов обратных муфтовых диаметром до 32 мм</t>
  </si>
  <si>
    <t>Смена вентилей ПП диаметром 25 мм</t>
  </si>
  <si>
    <t>за период с 01.02.2018 г. по 28 02.2018 г.</t>
  </si>
  <si>
    <t>1 соединение</t>
  </si>
  <si>
    <t>АКТ №3</t>
  </si>
  <si>
    <t>за период с 01.03.2018 г. по 31.03.2018 г.</t>
  </si>
  <si>
    <t>Монтаж тепловычислителя</t>
  </si>
  <si>
    <t>руб.</t>
  </si>
  <si>
    <t>Внерлановый осмотр элекгросетей, арматуры и электрооборудования на чердаках и подвалах</t>
  </si>
  <si>
    <t>АКТ №4</t>
  </si>
  <si>
    <t>Ремонт силового предохранительного шкафа (без стоимости материалов)</t>
  </si>
  <si>
    <t>Внеплановый осмотр электросетей,арматуры и электооборудования на лестничных клетках</t>
  </si>
  <si>
    <t>Внерлановый осмотр электросетей, арматуры и электрооборудования на чердаках и подвалах</t>
  </si>
  <si>
    <t>Внеплановый осмотр вводных электрических щитков</t>
  </si>
  <si>
    <t>за период с 01.04.2018 г. по 30.04.2018 г.</t>
  </si>
  <si>
    <t>Устройство хомута диаметром до 50 мм (кв 7)</t>
  </si>
  <si>
    <t>Смена трубопроводов на полипропиленовые трубы PN25 диаметром 25 мм (кв 33,36,39,42,45 -10.01.2018)</t>
  </si>
  <si>
    <t>Смена трубопроводов на полипропиленовые трубы PN20 диаметром 25 мм (кв 33,36,39,42,45 -10.01.2018)</t>
  </si>
  <si>
    <t>20м</t>
  </si>
  <si>
    <t>40м</t>
  </si>
  <si>
    <t>2,5м</t>
  </si>
  <si>
    <t>Смена трубопроводов на полипропиленовые трубы PN25 диаметром 20 мм (кв 33,36,39,42,45 -10.01.2018), кв 26</t>
  </si>
  <si>
    <t xml:space="preserve">Устройство хомута диаметром до 50 мм </t>
  </si>
  <si>
    <t>Очистка края кровли от слежавшегося снега со сбрасыванием сосулек (10% от S кровли) (14.03.2018)</t>
  </si>
  <si>
    <t>Работы автовышки (2 ч)</t>
  </si>
  <si>
    <t>Очистка края кровли от слежавшегося снега со сбрасыванием сосулек (10% от S кровли) (2.04.2018)</t>
  </si>
  <si>
    <t>Уплотнение сгонов с применением льняной пряди или асбестового шнура (без разборки сгонов) (кв 39, 03.02.2018)</t>
  </si>
  <si>
    <t>за период с 01.05.2018 г. по 31.05.2018 г.</t>
  </si>
  <si>
    <t>Изготовление щитов на планках для подмостей</t>
  </si>
  <si>
    <t>Смена внутренних трубопроводов из стальных труб диаметром до 25 мм (кв 39)</t>
  </si>
  <si>
    <t>АКТ №5</t>
  </si>
  <si>
    <t>Механизированная уборка дворовой территории (28,29)</t>
  </si>
  <si>
    <t>2 м/час</t>
  </si>
  <si>
    <t>Механизированная уборка дворовой территории (6 февраля)</t>
  </si>
  <si>
    <t>1 м/час</t>
  </si>
  <si>
    <t xml:space="preserve">1 раз </t>
  </si>
  <si>
    <t>1 раз</t>
  </si>
  <si>
    <t>Выполнено работ по текущему ремонту за 2018 г.</t>
  </si>
  <si>
    <t>Мытье лестничных  площадок и маршей 1-5 этаж. (12-13,26-27 января)</t>
  </si>
  <si>
    <t>2 раза</t>
  </si>
  <si>
    <t>12 раз</t>
  </si>
  <si>
    <t xml:space="preserve">2 раза </t>
  </si>
  <si>
    <t>Мытье лестничных  площадок и маршей 1-5 этаж. (13-14)</t>
  </si>
  <si>
    <t>* 21</t>
  </si>
  <si>
    <t>*21</t>
  </si>
  <si>
    <t>*21-справочно</t>
  </si>
  <si>
    <t>Мытье лестничных  площадок и маршей 1-5 этаж.(1-2,16-17,30-31)</t>
  </si>
  <si>
    <t xml:space="preserve">3 раза </t>
  </si>
  <si>
    <t xml:space="preserve">1 раз  </t>
  </si>
  <si>
    <t xml:space="preserve">Работы автовышки </t>
  </si>
  <si>
    <t>3 ч</t>
  </si>
  <si>
    <t>130м2</t>
  </si>
  <si>
    <t>Мытье лестничных  площадок и маршей 1-5 этаж.(13-14,27-28)</t>
  </si>
  <si>
    <t xml:space="preserve">1 раз   </t>
  </si>
  <si>
    <t>Механизированная уборка дворовой территории (4,9 апреля)</t>
  </si>
  <si>
    <t>76м2</t>
  </si>
  <si>
    <t>2ч</t>
  </si>
  <si>
    <t>*25</t>
  </si>
  <si>
    <t>*25-справочно</t>
  </si>
  <si>
    <t>Мытье лестничных  площадок и маршей 1-5 этаж.(14-15,29-30)</t>
  </si>
  <si>
    <t xml:space="preserve">1 раз     </t>
  </si>
  <si>
    <t>1 рааз</t>
  </si>
  <si>
    <t>Влажное подметание лестничных клеток 1 этажа(3,6,10,12,15,16,17,19,22,24,26,29,31)</t>
  </si>
  <si>
    <t>13 раз</t>
  </si>
  <si>
    <t>Влажное подметание лестничных клеток 2-5 этажа (3,6,9,13,16,18,20,23,25,27,30)</t>
  </si>
  <si>
    <t>11 раз</t>
  </si>
  <si>
    <t>Влажное подметание лестничных клеток 1 этажа(1,3,5,7,9,12,14,16,19,21,24,26,28)</t>
  </si>
  <si>
    <t>2. Всего за период с 01.02.2018 по 28.02.2018 выполнено работ (оказано услуг) на общую сумму: 54 304,63 руб.</t>
  </si>
  <si>
    <t>(пятьдесят четыре тысячи триста четыре рубля 63 копейки )</t>
  </si>
  <si>
    <t>Влажное подметание лестничных клеток 1 этажа (1,3,5,7,9,12,14,16,17,19,21,23,26,28,30,31)</t>
  </si>
  <si>
    <t>16 раз</t>
  </si>
  <si>
    <t>Влажное подметание лестничных клеток 2-5 этажа (1,3,6,9,12,14,16,19,21,24,26,28,31)</t>
  </si>
  <si>
    <t>Влажное подметание лестничных клеток 1 этажа (2,4,6,9,11,13,16,18,20,23,25,27,30)</t>
  </si>
  <si>
    <t>Влажное подметание лестничных клеток 2-5 этажа (3,5,7,10,12,14,16,19,21,24,27,30)</t>
  </si>
  <si>
    <t>Влажное подметание лестничных клеток 1 этажа (3,5,7,10,12,14,16,18,21,23,25,28,30)</t>
  </si>
  <si>
    <t>Влажное подметание лестничных клеток 2-5 этажа ( 3,5,7,10,12,14,18,21,23,26,28,30)</t>
  </si>
  <si>
    <t>*39</t>
  </si>
  <si>
    <t>*39-справочно</t>
  </si>
  <si>
    <t>Осмотр СО (25 января)</t>
  </si>
  <si>
    <t>Осмотр СО (22 февраля)</t>
  </si>
  <si>
    <t>Осмотр СО (22 марта)</t>
  </si>
  <si>
    <t>2. Всего за период с 01.01.2018 по 31.01.2018 выполнено работ (оказано услуг) на общую сумму: 193 141 71 руб.</t>
  </si>
  <si>
    <t>(сто девяносто три тысячи сто сорок один рубль 71 копейка)</t>
  </si>
  <si>
    <t>*24</t>
  </si>
  <si>
    <t>*24-справочно</t>
  </si>
  <si>
    <t>Осмотр СО  (26 апреля)</t>
  </si>
  <si>
    <t>Осмотр СО (24 мая)</t>
  </si>
  <si>
    <t>Начислено за содержание и текущий ремонт за январь 2018 г.</t>
  </si>
  <si>
    <t>Выполнено работ по содержанию за январь 2018 г.</t>
  </si>
  <si>
    <t>Выполнено работ по текущему ремонту за январь 2018 г.</t>
  </si>
  <si>
    <t>Фактически оплачено за январь 2018 г.</t>
  </si>
  <si>
    <t>Просроченная задолженность по Вашему дому по статье "Содержание и текущий ремонт МКД" за января 2018 г., составляет:</t>
  </si>
  <si>
    <t>Баланс выполненных работ за январь 2018 г. ( -долг за предприятием, +долг за населением)</t>
  </si>
  <si>
    <t>Начислено за содержание и текущий ремонт за февраль 2018 г.</t>
  </si>
  <si>
    <t>Выполнено работ по содержанию за февраль  2018 г.</t>
  </si>
  <si>
    <t>Фактически оплачено за февраль  2018 г.</t>
  </si>
  <si>
    <t>Просроченная задолженность по Вашему дому по статье "Содержание и текущий ремонт МКД" за февраль 2018 г., составляет:</t>
  </si>
  <si>
    <t>Баланс выполненных работ за февраль 2018 г. ( -долг за предприятием, +долг за населением)</t>
  </si>
  <si>
    <t>Начислено за содержание и текущий ремонт за март 2018 г.</t>
  </si>
  <si>
    <t>Выполнено работ по содержанию за март  2018 г.</t>
  </si>
  <si>
    <t>Выполнено работ по текущему ремонту за март 2018 г.</t>
  </si>
  <si>
    <t>Фактически оплачено за март 2018 г.</t>
  </si>
  <si>
    <t>Просроченная задолженность по Вашему дому по статье "Содержание и текущий ремонт МКД" за март 2018 г., составляет:</t>
  </si>
  <si>
    <t>Баланс выполненных работ за март 2018 г. ( -долг за предприятием, +долг за населением)</t>
  </si>
  <si>
    <t>Начислено за содержание и текущий ремонт за апрель 2018 г.</t>
  </si>
  <si>
    <t>Выполнено работ по содержанию за апрель  2018 г.</t>
  </si>
  <si>
    <t>Фактически оплачено за  апрель 2018 г.</t>
  </si>
  <si>
    <t>Просроченная задолженность по Вашему дому по статье "Содержание и текущий ремонт МКД" за апрель 2018 г., составляет:</t>
  </si>
  <si>
    <t>Баланс выполненных работ за апрель 2018 г. ( -долг за предприятием, +долг за населением)</t>
  </si>
  <si>
    <t>Начислено за содержание и текущий ремонт за май 2018 г.</t>
  </si>
  <si>
    <t>Выполнено работ по содержанию за май 2018 г.</t>
  </si>
  <si>
    <t>Выполнено работ по текущему ремонту за май 2018 г.</t>
  </si>
  <si>
    <t>Фактически оплачено за май  2018 г.</t>
  </si>
  <si>
    <t>Просроченная задолженность по Вашему дому по статье "Содержание и текущий ремонт МКД" за май  2018 г., составляет:</t>
  </si>
  <si>
    <t>Баланс выполненных работ за май 2018 г. ( -долг за предприятием, +долг за населением)</t>
  </si>
  <si>
    <t>2. Всего за период с 01.01.2018 по 31.01.2018 выполнено работ (оказано услуг) на общую сумму: 138 065,06 руб.</t>
  </si>
  <si>
    <t>(сто тридцать восемь тысяч шестьдесят пять рублей 6 копеек)</t>
  </si>
  <si>
    <t>АКТ №6</t>
  </si>
  <si>
    <t xml:space="preserve">Влажное подметание лестничных клеток 2-5 этажа </t>
  </si>
  <si>
    <t>Влажное подметание лестничных клеток 2-5 этажа(1,3,6,10,13,15,17,19,21,24,26)</t>
  </si>
  <si>
    <t>Установка заглушек диаметром трубопроводов до 100 мм (кв.5)</t>
  </si>
  <si>
    <t>заглушка</t>
  </si>
  <si>
    <t xml:space="preserve">Уплотнение сгонов с применением льняной пряди или асбестового шнура (без разборки сгонов) </t>
  </si>
  <si>
    <t>Просроченная задолженность по Вашему дому по статье "Содержание и текущий ремонт МКД" за июнь  2018 г., составляет:</t>
  </si>
  <si>
    <t>Баланс выполненных работ за июнь 2018 г. ( -долг за предприятием, +долг за населением)</t>
  </si>
  <si>
    <t>за период с 01.06.2018 г. по 30.06.2018 г.</t>
  </si>
  <si>
    <t>2. Всего за период с 01.06.2018 по 30.06.2018 выполнено работ (оказано услуг) на общую сумму: 51564,92 руб.</t>
  </si>
  <si>
    <t>(пятьдесят одна тысяча пятьсот шестьдесят четыре рубля 92 копейки)</t>
  </si>
  <si>
    <t>ООО"Движение"</t>
  </si>
  <si>
    <t>за период с 01.07.2018 г. по 31.07.2018 г.</t>
  </si>
  <si>
    <r>
      <t xml:space="preserve">    Собственники помещений в многоквартирном доме, расположенном по адресу:  пгт.Ярега,  ул.Строительная,  д.7,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31.10.2017г. стороны,  и ООО «Движение»,  именуемое в дальнейшем "Исполнитель",  в лице генерального директора Куканова Юрия Леонидовича,  действующего на основании Устава,  с другой стороны, совместно именуемые "Стороны",  составили настоящий Акт о нижеследующем:</t>
    </r>
  </si>
  <si>
    <t>7 раз</t>
  </si>
  <si>
    <t>Смена трубопроводов на полипропиленовые трубы PN25 диаметром 20 мм</t>
  </si>
  <si>
    <t>Муфта разъемная 20*25 НР</t>
  </si>
  <si>
    <t>Уголок 25</t>
  </si>
  <si>
    <t>*17</t>
  </si>
  <si>
    <t>*17-справочно</t>
  </si>
  <si>
    <t>2. Всего за период с 01.07.2018 по 31.07.2018 выполнено работ (оказано услуг) на общую сумму: 48873,53 руб.</t>
  </si>
  <si>
    <t>(сорок восемь тысяч восемьсот семьдесят три рубля 53 копейки)</t>
  </si>
  <si>
    <t>Фактически оплачено за июнь  2018 г.</t>
  </si>
  <si>
    <t>АКТ №7</t>
  </si>
  <si>
    <t>2. Всего за период с 01.04.2018 по 30.04.2018 выполнено работ (оказано услуг) на общую сумму: 75 901,48 руб.</t>
  </si>
  <si>
    <t>(семдесят пять тысяч девятьсот один рубль 48 копеек)</t>
  </si>
  <si>
    <t>2. Всего за период с 01.05.2018 по 31.05.2018 выполнено работ (оказано услуг) на общую сумму: 178 183,94 руб.</t>
  </si>
  <si>
    <t>(сто семдесят восемь тысяч сто восемьдесят три рубля 94 копейки)</t>
  </si>
  <si>
    <t>Начислено за содержание и текущий ремонт за июнь 2018 г.</t>
  </si>
  <si>
    <t>АКТ №8</t>
  </si>
  <si>
    <t>за период с 01.08.2018 г. по 31.08.2018 г.</t>
  </si>
  <si>
    <t>Баланс выполненных работ за июль 2018 г. ( -долг за предприятием, +долг за населением)</t>
  </si>
  <si>
    <t>Просроченная задолженность по Вашему дому по статье "Содержание и текущий ремонт МКД" за июль  2018 г., составляет:</t>
  </si>
  <si>
    <t>Фактически оплачено за июль  2018 г.</t>
  </si>
  <si>
    <t>Выполнено работ по текущему ремонту за июль 2018 г.</t>
  </si>
  <si>
    <t>Выполнено работ по содержанию за июль 2018 г.</t>
  </si>
  <si>
    <t>Начислено за содержание и текущий ремонт за июль 2018 г.</t>
  </si>
  <si>
    <t>Выполнено работ по содержанию за июнь 2018 г.</t>
  </si>
  <si>
    <t>Выполнено работ по текущему ремонту за июнь 2018 г.</t>
  </si>
  <si>
    <t>Заделка слуховых окон фанерой</t>
  </si>
  <si>
    <t>АКТ №9</t>
  </si>
  <si>
    <t>за период с 01.09.2018 г. по 30.09.2018 г.</t>
  </si>
  <si>
    <t>Осмотр СО</t>
  </si>
  <si>
    <t>Смена светильника РКУ</t>
  </si>
  <si>
    <t>Смена дверных приборов - проушины</t>
  </si>
  <si>
    <t>Смена дверных приборов /замки навесные)</t>
  </si>
  <si>
    <t>Муфта разъемная 25*3/4 НР</t>
  </si>
  <si>
    <t>Смена трубопроводов на полипропиленовые трубы PN25 диаметром 25 мм (кв. 30)</t>
  </si>
  <si>
    <t>Муфта разъемная 25*3/4 ВР</t>
  </si>
  <si>
    <t>Колено 25-45</t>
  </si>
  <si>
    <t>Осмотр водопроводов, канализации, отопления в квартирах</t>
  </si>
  <si>
    <t>100 кв.</t>
  </si>
  <si>
    <t>2. Всего за период с 01.09.2018 по 30.09.2018 выполнено работ (оказано услуг) на общую сумму: 64680,64 руб.</t>
  </si>
  <si>
    <t>(шестьдесят четыре тысячи шестьсот восемьдесят рублей 64 копейки)</t>
  </si>
  <si>
    <t>*19</t>
  </si>
  <si>
    <t>*19-справочно</t>
  </si>
  <si>
    <t>2. Всего за период с 01.08.2018 по 31.08.2018 выполнено работ (оказано услуг) на общую сумму: 54704,10 руб.</t>
  </si>
  <si>
    <t>(пятьдесят четыре тысячи семьсот четыре рубля 10 копеек)</t>
  </si>
  <si>
    <t>АКТ №10</t>
  </si>
  <si>
    <t>за период с 01.10.2018 г. по 31.10.2018 г.</t>
  </si>
  <si>
    <t>Смена трубопроводов на полипропиленовые трубы PN25 диаметром 20 мм ( кв 41)</t>
  </si>
  <si>
    <t>Муфта переходная 20/25</t>
  </si>
  <si>
    <t xml:space="preserve">Муфта разъемная 20*1/2 ВР </t>
  </si>
  <si>
    <t>Колено 20-90</t>
  </si>
  <si>
    <t>*20</t>
  </si>
  <si>
    <t>*20-справочно</t>
  </si>
  <si>
    <t>2. Всего за период с 01.10.2018 по 31.10.2018 выполнено работ (оказано услуг) на общую сумму: 55188,92 руб.</t>
  </si>
  <si>
    <t>(пятьдесят пять тысяч сто восемьдесят восемь рублей 92 копейки)</t>
  </si>
  <si>
    <t>ООО «Движение»</t>
  </si>
  <si>
    <t>за период с 01.11.2018 г. по 30.11.2018 г.</t>
  </si>
  <si>
    <t xml:space="preserve">Муфта разъемная 20*1/2 НР </t>
  </si>
  <si>
    <t>Тройник 20</t>
  </si>
  <si>
    <t>Смена трубопроводов на полипропиленовые трубы PN25 диаметром 20 мм (кв. 28)</t>
  </si>
  <si>
    <t>Смена трубопроводов на полипропиленовые трубы PN20 диаметром 20 мм (кв.28)</t>
  </si>
  <si>
    <t>2. Всего за период с 01.11.2018 по 30.11.2018 выполнено работ (оказано услуг) на общую сумму: 45301,95 руб.</t>
  </si>
  <si>
    <t>(сорок пять тысяч триста один рубль 95 копеек)</t>
  </si>
  <si>
    <t>за период с 01.12.2018 г. по 31.12.2018 г.</t>
  </si>
  <si>
    <t>Смена стекол в деревянных переплетах при площади стекла до 1,0 м2</t>
  </si>
  <si>
    <t>10 м2</t>
  </si>
  <si>
    <t>Заделали венткороба</t>
  </si>
  <si>
    <t>2. Всего за период с 01.12.2018 по 31.12.2018 выполнено работ (оказано услуг) на общую сумму: 65538,61 руб.</t>
  </si>
  <si>
    <t>(шестьдесят пять тысяч пятьсот тридцать восемь рублей 61 копейка)</t>
  </si>
</sst>
</file>

<file path=xl/styles.xml><?xml version="1.0" encoding="utf-8"?>
<styleSheet xmlns="http://schemas.openxmlformats.org/spreadsheetml/2006/main">
  <numFmts count="1">
    <numFmt numFmtId="164" formatCode="#,##0.000"/>
  </numFmts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0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8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" fontId="11" fillId="4" borderId="3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 wrapText="1"/>
    </xf>
    <xf numFmtId="4" fontId="17" fillId="2" borderId="7" xfId="0" applyNumberFormat="1" applyFont="1" applyFill="1" applyBorder="1" applyAlignment="1">
      <alignment horizontal="center" vertical="center" wrapText="1"/>
    </xf>
    <xf numFmtId="4" fontId="11" fillId="4" borderId="7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center" vertical="center"/>
    </xf>
    <xf numFmtId="4" fontId="11" fillId="4" borderId="7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/>
    </xf>
    <xf numFmtId="4" fontId="11" fillId="4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14" fontId="2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0" fillId="0" borderId="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4" fillId="0" borderId="2" xfId="0" applyFont="1" applyBorder="1"/>
    <xf numFmtId="4" fontId="1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justify"/>
    </xf>
    <xf numFmtId="0" fontId="0" fillId="0" borderId="0" xfId="0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1" fillId="0" borderId="6" xfId="0" applyFont="1" applyBorder="1" applyAlignment="1"/>
    <xf numFmtId="0" fontId="0" fillId="0" borderId="6" xfId="0" applyBorder="1" applyAlignment="1"/>
    <xf numFmtId="2" fontId="20" fillId="0" borderId="3" xfId="0" applyNumberFormat="1" applyFont="1" applyBorder="1" applyAlignment="1">
      <alignment horizontal="center" vertical="center"/>
    </xf>
    <xf numFmtId="2" fontId="21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4" fontId="20" fillId="0" borderId="5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20" fillId="0" borderId="6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center" vertical="center"/>
    </xf>
    <xf numFmtId="2" fontId="21" fillId="0" borderId="6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33"/>
  <sheetViews>
    <sheetView workbookViewId="0">
      <selection activeCell="B103" sqref="B103:G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85</v>
      </c>
      <c r="I1" s="26"/>
      <c r="J1" s="1"/>
      <c r="K1" s="1"/>
      <c r="L1" s="1"/>
      <c r="M1" s="1"/>
    </row>
    <row r="2" spans="1:13" ht="15.75">
      <c r="A2" s="28" t="s">
        <v>62</v>
      </c>
      <c r="J2" s="2"/>
      <c r="K2" s="2"/>
      <c r="L2" s="2"/>
      <c r="M2" s="2"/>
    </row>
    <row r="3" spans="1:13" ht="15.75" customHeight="1">
      <c r="A3" s="179" t="s">
        <v>135</v>
      </c>
      <c r="B3" s="179"/>
      <c r="C3" s="179"/>
      <c r="D3" s="179"/>
      <c r="E3" s="179"/>
      <c r="F3" s="179"/>
      <c r="G3" s="179"/>
      <c r="H3" s="179"/>
      <c r="I3" s="179"/>
      <c r="J3" s="3"/>
      <c r="K3" s="3"/>
      <c r="L3" s="3"/>
    </row>
    <row r="4" spans="1:13" ht="31.5" customHeight="1">
      <c r="A4" s="180" t="s">
        <v>128</v>
      </c>
      <c r="B4" s="180"/>
      <c r="C4" s="180"/>
      <c r="D4" s="180"/>
      <c r="E4" s="180"/>
      <c r="F4" s="180"/>
      <c r="G4" s="180"/>
      <c r="H4" s="180"/>
      <c r="I4" s="180"/>
    </row>
    <row r="5" spans="1:13" ht="15.75">
      <c r="A5" s="179" t="s">
        <v>169</v>
      </c>
      <c r="B5" s="181"/>
      <c r="C5" s="181"/>
      <c r="D5" s="181"/>
      <c r="E5" s="181"/>
      <c r="F5" s="181"/>
      <c r="G5" s="181"/>
      <c r="H5" s="181"/>
      <c r="I5" s="181"/>
      <c r="J5" s="2"/>
      <c r="K5" s="2"/>
      <c r="L5" s="2"/>
      <c r="M5" s="2"/>
    </row>
    <row r="6" spans="1:13" ht="15.75">
      <c r="A6" s="2"/>
      <c r="B6" s="73"/>
      <c r="C6" s="73"/>
      <c r="D6" s="73"/>
      <c r="E6" s="73"/>
      <c r="F6" s="73"/>
      <c r="G6" s="73"/>
      <c r="H6" s="73"/>
      <c r="I6" s="30">
        <v>43131</v>
      </c>
      <c r="J6" s="2"/>
      <c r="K6" s="2"/>
      <c r="L6" s="2"/>
      <c r="M6" s="2"/>
    </row>
    <row r="7" spans="1:13" ht="15.75">
      <c r="B7" s="71"/>
      <c r="C7" s="71"/>
      <c r="D7" s="7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2" t="s">
        <v>154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3" t="s">
        <v>143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4" t="s">
        <v>59</v>
      </c>
      <c r="B14" s="184"/>
      <c r="C14" s="184"/>
      <c r="D14" s="184"/>
      <c r="E14" s="184"/>
      <c r="F14" s="184"/>
      <c r="G14" s="184"/>
      <c r="H14" s="184"/>
      <c r="I14" s="184"/>
      <c r="J14" s="8"/>
      <c r="K14" s="8"/>
      <c r="L14" s="8"/>
      <c r="M14" s="8"/>
    </row>
    <row r="15" spans="1:13" ht="15" customHeight="1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  <c r="J15" s="8"/>
      <c r="K15" s="8"/>
      <c r="L15" s="8"/>
      <c r="M15" s="8"/>
    </row>
    <row r="16" spans="1:13" ht="33" customHeight="1">
      <c r="A16" s="29">
        <v>1</v>
      </c>
      <c r="B16" s="75" t="s">
        <v>232</v>
      </c>
      <c r="C16" s="76" t="s">
        <v>87</v>
      </c>
      <c r="D16" s="75" t="s">
        <v>233</v>
      </c>
      <c r="E16" s="77">
        <v>49.72</v>
      </c>
      <c r="F16" s="78">
        <f>SUM(E16*156/100)</f>
        <v>77.563199999999995</v>
      </c>
      <c r="G16" s="78">
        <v>230</v>
      </c>
      <c r="H16" s="79">
        <f t="shared" ref="H16:H25" si="0">SUM(F16*G16/1000)</f>
        <v>17.839535999999999</v>
      </c>
      <c r="I16" s="13">
        <f>F16/12*G16</f>
        <v>1486.6279999999999</v>
      </c>
      <c r="J16" s="21"/>
      <c r="K16" s="8"/>
      <c r="L16" s="8"/>
      <c r="M16" s="8"/>
    </row>
    <row r="17" spans="1:13" ht="38.25" customHeight="1">
      <c r="A17" s="29">
        <v>2</v>
      </c>
      <c r="B17" s="75" t="s">
        <v>234</v>
      </c>
      <c r="C17" s="76" t="s">
        <v>87</v>
      </c>
      <c r="D17" s="75" t="s">
        <v>235</v>
      </c>
      <c r="E17" s="77">
        <v>198.88</v>
      </c>
      <c r="F17" s="78">
        <f>SUM(E17*104/100)</f>
        <v>206.83520000000001</v>
      </c>
      <c r="G17" s="78">
        <v>230</v>
      </c>
      <c r="H17" s="79">
        <f t="shared" si="0"/>
        <v>47.572096000000002</v>
      </c>
      <c r="I17" s="13">
        <f>198.88/100*11*G17</f>
        <v>5031.6639999999998</v>
      </c>
      <c r="J17" s="22"/>
      <c r="K17" s="8"/>
      <c r="L17" s="8"/>
      <c r="M17" s="8"/>
    </row>
    <row r="18" spans="1:13" ht="34.5" customHeight="1">
      <c r="A18" s="29">
        <v>3</v>
      </c>
      <c r="B18" s="75" t="s">
        <v>208</v>
      </c>
      <c r="C18" s="76" t="s">
        <v>87</v>
      </c>
      <c r="D18" s="75" t="s">
        <v>209</v>
      </c>
      <c r="E18" s="77">
        <v>248.6</v>
      </c>
      <c r="F18" s="78">
        <f>SUM(E18*24/100)</f>
        <v>59.663999999999994</v>
      </c>
      <c r="G18" s="78">
        <v>661.67</v>
      </c>
      <c r="H18" s="79">
        <f t="shared" si="0"/>
        <v>39.477878879999999</v>
      </c>
      <c r="I18" s="13">
        <f>248.6/100*2*G18</f>
        <v>3289.8232399999993</v>
      </c>
      <c r="J18" s="22"/>
      <c r="K18" s="8"/>
      <c r="L18" s="8"/>
      <c r="M18" s="8"/>
    </row>
    <row r="19" spans="1:13" ht="15.75" hidden="1" customHeight="1">
      <c r="A19" s="29"/>
      <c r="B19" s="75" t="s">
        <v>94</v>
      </c>
      <c r="C19" s="76" t="s">
        <v>95</v>
      </c>
      <c r="D19" s="75" t="s">
        <v>96</v>
      </c>
      <c r="E19" s="77">
        <v>18.48</v>
      </c>
      <c r="F19" s="78">
        <f>SUM(E19/10)</f>
        <v>1.8480000000000001</v>
      </c>
      <c r="G19" s="78">
        <v>223.17</v>
      </c>
      <c r="H19" s="79">
        <f t="shared" si="0"/>
        <v>0.41241815999999998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75" t="s">
        <v>97</v>
      </c>
      <c r="C20" s="76" t="s">
        <v>87</v>
      </c>
      <c r="D20" s="75" t="s">
        <v>206</v>
      </c>
      <c r="E20" s="77">
        <v>10.5</v>
      </c>
      <c r="F20" s="78">
        <f>SUM(E20*12/100)</f>
        <v>1.26</v>
      </c>
      <c r="G20" s="78">
        <v>285.76</v>
      </c>
      <c r="H20" s="79">
        <f t="shared" si="0"/>
        <v>0.36005759999999998</v>
      </c>
      <c r="I20" s="13">
        <f>F20/12*G20</f>
        <v>30.004799999999999</v>
      </c>
      <c r="J20" s="22"/>
      <c r="K20" s="8"/>
      <c r="L20" s="8"/>
      <c r="M20" s="8"/>
    </row>
    <row r="21" spans="1:13" ht="15.75" hidden="1" customHeight="1">
      <c r="A21" s="29">
        <v>5</v>
      </c>
      <c r="B21" s="75" t="s">
        <v>98</v>
      </c>
      <c r="C21" s="76" t="s">
        <v>87</v>
      </c>
      <c r="D21" s="75" t="s">
        <v>42</v>
      </c>
      <c r="E21" s="77">
        <v>3</v>
      </c>
      <c r="F21" s="78">
        <f>SUM(E21*2/100)</f>
        <v>0.06</v>
      </c>
      <c r="G21" s="78">
        <v>283.44</v>
      </c>
      <c r="H21" s="79">
        <f t="shared" si="0"/>
        <v>1.7006399999999998E-2</v>
      </c>
      <c r="I21" s="13">
        <f>F21/6*G21</f>
        <v>2.8344</v>
      </c>
      <c r="J21" s="22"/>
      <c r="K21" s="8"/>
      <c r="L21" s="8"/>
      <c r="M21" s="8"/>
    </row>
    <row r="22" spans="1:13" ht="15.75" hidden="1" customHeight="1">
      <c r="A22" s="29"/>
      <c r="B22" s="75" t="s">
        <v>99</v>
      </c>
      <c r="C22" s="76" t="s">
        <v>53</v>
      </c>
      <c r="D22" s="75" t="s">
        <v>96</v>
      </c>
      <c r="E22" s="77">
        <v>267.75</v>
      </c>
      <c r="F22" s="78">
        <f>SUM(E22/100)</f>
        <v>2.6775000000000002</v>
      </c>
      <c r="G22" s="78">
        <v>353.14</v>
      </c>
      <c r="H22" s="79">
        <f t="shared" si="0"/>
        <v>0.94553235000000002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75" t="s">
        <v>100</v>
      </c>
      <c r="C23" s="76" t="s">
        <v>53</v>
      </c>
      <c r="D23" s="75" t="s">
        <v>96</v>
      </c>
      <c r="E23" s="80">
        <v>36.229999999999997</v>
      </c>
      <c r="F23" s="78">
        <f>SUM(E23/100)</f>
        <v>0.36229999999999996</v>
      </c>
      <c r="G23" s="78">
        <v>58.08</v>
      </c>
      <c r="H23" s="79">
        <f t="shared" si="0"/>
        <v>2.1042383999999997E-2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75" t="s">
        <v>101</v>
      </c>
      <c r="C24" s="76" t="s">
        <v>53</v>
      </c>
      <c r="D24" s="75" t="s">
        <v>54</v>
      </c>
      <c r="E24" s="77">
        <v>15</v>
      </c>
      <c r="F24" s="78">
        <f>SUM(E24/100)</f>
        <v>0.15</v>
      </c>
      <c r="G24" s="78">
        <v>511.12</v>
      </c>
      <c r="H24" s="79">
        <f t="shared" si="0"/>
        <v>7.6667999999999986E-2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75" t="s">
        <v>102</v>
      </c>
      <c r="C25" s="76" t="s">
        <v>53</v>
      </c>
      <c r="D25" s="75" t="s">
        <v>54</v>
      </c>
      <c r="E25" s="77">
        <v>6.38</v>
      </c>
      <c r="F25" s="78">
        <f>SUM(E25/100)</f>
        <v>6.3799999999999996E-2</v>
      </c>
      <c r="G25" s="78">
        <v>683.05</v>
      </c>
      <c r="H25" s="79">
        <f t="shared" si="0"/>
        <v>4.3578589999999993E-2</v>
      </c>
      <c r="I25" s="13">
        <v>0</v>
      </c>
      <c r="J25" s="22"/>
      <c r="K25" s="8"/>
      <c r="L25" s="8"/>
      <c r="M25" s="8"/>
    </row>
    <row r="26" spans="1:13" ht="15.75" hidden="1" customHeight="1">
      <c r="A26" s="29"/>
      <c r="B26" s="75" t="s">
        <v>122</v>
      </c>
      <c r="C26" s="76" t="s">
        <v>53</v>
      </c>
      <c r="D26" s="75" t="s">
        <v>54</v>
      </c>
      <c r="E26" s="77">
        <v>14.25</v>
      </c>
      <c r="F26" s="78">
        <v>0.14000000000000001</v>
      </c>
      <c r="G26" s="78">
        <v>283.44</v>
      </c>
      <c r="H26" s="79">
        <f>G26*F26/1000</f>
        <v>3.9681600000000004E-2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5</v>
      </c>
      <c r="B27" s="75" t="s">
        <v>64</v>
      </c>
      <c r="C27" s="76" t="s">
        <v>33</v>
      </c>
      <c r="D27" s="75" t="s">
        <v>88</v>
      </c>
      <c r="E27" s="82">
        <v>0.1</v>
      </c>
      <c r="F27" s="78">
        <f>SUM(E27*155)</f>
        <v>15.5</v>
      </c>
      <c r="G27" s="78">
        <v>264.85000000000002</v>
      </c>
      <c r="H27" s="79">
        <f>SUM(F27*G27/1000)</f>
        <v>4.105175</v>
      </c>
      <c r="I27" s="13">
        <f>F27/12*G27</f>
        <v>342.09791666666672</v>
      </c>
      <c r="J27" s="23"/>
    </row>
    <row r="28" spans="1:13" ht="15.75" customHeight="1">
      <c r="A28" s="29">
        <v>6</v>
      </c>
      <c r="B28" s="83" t="s">
        <v>23</v>
      </c>
      <c r="C28" s="76" t="s">
        <v>24</v>
      </c>
      <c r="D28" s="83" t="s">
        <v>136</v>
      </c>
      <c r="E28" s="77">
        <v>2626.5</v>
      </c>
      <c r="F28" s="78">
        <f>SUM(E28*12)</f>
        <v>31518</v>
      </c>
      <c r="G28" s="78">
        <v>3.36</v>
      </c>
      <c r="H28" s="79">
        <f>SUM(F28*G28/1000)</f>
        <v>105.90048</v>
      </c>
      <c r="I28" s="13">
        <f t="shared" ref="I28" si="1">F28/12*G28</f>
        <v>8825.0399999999991</v>
      </c>
      <c r="J28" s="23"/>
    </row>
    <row r="29" spans="1:13" ht="15.75" customHeight="1">
      <c r="A29" s="185" t="s">
        <v>84</v>
      </c>
      <c r="B29" s="185"/>
      <c r="C29" s="185"/>
      <c r="D29" s="185"/>
      <c r="E29" s="185"/>
      <c r="F29" s="185"/>
      <c r="G29" s="185"/>
      <c r="H29" s="185"/>
      <c r="I29" s="185"/>
      <c r="J29" s="22"/>
      <c r="K29" s="8"/>
      <c r="L29" s="8"/>
      <c r="M29" s="8"/>
    </row>
    <row r="30" spans="1:13" ht="15.75" hidden="1" customHeight="1">
      <c r="A30" s="29"/>
      <c r="B30" s="106" t="s">
        <v>28</v>
      </c>
      <c r="C30" s="76"/>
      <c r="D30" s="75"/>
      <c r="E30" s="77"/>
      <c r="F30" s="78"/>
      <c r="G30" s="78"/>
      <c r="H30" s="79"/>
      <c r="I30" s="13"/>
      <c r="J30" s="23"/>
    </row>
    <row r="31" spans="1:13" ht="15.75" hidden="1" customHeight="1">
      <c r="A31" s="29"/>
      <c r="B31" s="75" t="s">
        <v>104</v>
      </c>
      <c r="C31" s="76" t="s">
        <v>89</v>
      </c>
      <c r="D31" s="75" t="s">
        <v>149</v>
      </c>
      <c r="E31" s="78">
        <v>665</v>
      </c>
      <c r="F31" s="78">
        <f>SUM(E31*52/1000)</f>
        <v>34.58</v>
      </c>
      <c r="G31" s="78">
        <v>204.44</v>
      </c>
      <c r="H31" s="79">
        <f t="shared" ref="H31:H37" si="2">SUM(F31*G31/1000)</f>
        <v>7.0695351999999989</v>
      </c>
      <c r="I31" s="13">
        <f t="shared" ref="I31:I32" si="3">F31/6*G31</f>
        <v>1178.2558666666666</v>
      </c>
      <c r="J31" s="22"/>
      <c r="K31" s="8"/>
      <c r="L31" s="8"/>
      <c r="M31" s="8"/>
    </row>
    <row r="32" spans="1:13" ht="15.75" hidden="1" customHeight="1">
      <c r="A32" s="29"/>
      <c r="B32" s="75" t="s">
        <v>117</v>
      </c>
      <c r="C32" s="76" t="s">
        <v>89</v>
      </c>
      <c r="D32" s="75" t="s">
        <v>150</v>
      </c>
      <c r="E32" s="78">
        <v>81.5</v>
      </c>
      <c r="F32" s="78">
        <f>SUM(E32*78/1000)</f>
        <v>6.3570000000000002</v>
      </c>
      <c r="G32" s="78">
        <v>339.21</v>
      </c>
      <c r="H32" s="79">
        <f t="shared" si="2"/>
        <v>2.1563579700000002</v>
      </c>
      <c r="I32" s="13">
        <f t="shared" si="3"/>
        <v>359.39299500000004</v>
      </c>
      <c r="J32" s="22"/>
      <c r="K32" s="8"/>
      <c r="L32" s="8"/>
      <c r="M32" s="8"/>
    </row>
    <row r="33" spans="1:14" ht="15.75" hidden="1" customHeight="1">
      <c r="A33" s="29"/>
      <c r="B33" s="75" t="s">
        <v>27</v>
      </c>
      <c r="C33" s="76" t="s">
        <v>89</v>
      </c>
      <c r="D33" s="75" t="s">
        <v>54</v>
      </c>
      <c r="E33" s="78">
        <v>665</v>
      </c>
      <c r="F33" s="78">
        <f>SUM(E33/1000)</f>
        <v>0.66500000000000004</v>
      </c>
      <c r="G33" s="78">
        <v>3961.23</v>
      </c>
      <c r="H33" s="79">
        <f t="shared" si="2"/>
        <v>2.63421795</v>
      </c>
      <c r="I33" s="13">
        <f>F33*G33</f>
        <v>2634.2179500000002</v>
      </c>
      <c r="J33" s="22"/>
      <c r="K33" s="8"/>
      <c r="L33" s="8"/>
      <c r="M33" s="8"/>
    </row>
    <row r="34" spans="1:14" ht="15.75" hidden="1" customHeight="1">
      <c r="A34" s="29"/>
      <c r="B34" s="75" t="s">
        <v>116</v>
      </c>
      <c r="C34" s="76" t="s">
        <v>40</v>
      </c>
      <c r="D34" s="75" t="s">
        <v>63</v>
      </c>
      <c r="E34" s="78">
        <v>3</v>
      </c>
      <c r="F34" s="78">
        <f>E34*155/100</f>
        <v>4.6500000000000004</v>
      </c>
      <c r="G34" s="78">
        <v>1707.63</v>
      </c>
      <c r="H34" s="79">
        <f>G34*F34/1000</f>
        <v>7.9404795000000012</v>
      </c>
      <c r="I34" s="13">
        <f>F34/6*G34</f>
        <v>1323.4132500000001</v>
      </c>
      <c r="J34" s="22"/>
      <c r="K34" s="8"/>
      <c r="L34" s="8"/>
      <c r="M34" s="8"/>
    </row>
    <row r="35" spans="1:14" ht="15.75" hidden="1" customHeight="1">
      <c r="A35" s="29"/>
      <c r="B35" s="75" t="s">
        <v>103</v>
      </c>
      <c r="C35" s="76" t="s">
        <v>31</v>
      </c>
      <c r="D35" s="75" t="s">
        <v>63</v>
      </c>
      <c r="E35" s="81">
        <f>1/3</f>
        <v>0.33333333333333331</v>
      </c>
      <c r="F35" s="78">
        <f>155/3</f>
        <v>51.666666666666664</v>
      </c>
      <c r="G35" s="78">
        <v>74.349999999999994</v>
      </c>
      <c r="H35" s="79">
        <f>SUM(G35*155/3/1000)</f>
        <v>3.8414166666666665</v>
      </c>
      <c r="I35" s="13">
        <f>F35/6*G35</f>
        <v>640.23611111111109</v>
      </c>
      <c r="J35" s="22"/>
      <c r="K35" s="8"/>
    </row>
    <row r="36" spans="1:14" ht="15.75" hidden="1" customHeight="1">
      <c r="A36" s="29"/>
      <c r="B36" s="75" t="s">
        <v>65</v>
      </c>
      <c r="C36" s="76" t="s">
        <v>33</v>
      </c>
      <c r="D36" s="75" t="s">
        <v>67</v>
      </c>
      <c r="E36" s="77"/>
      <c r="F36" s="78">
        <v>1</v>
      </c>
      <c r="G36" s="78">
        <v>250.92</v>
      </c>
      <c r="H36" s="79">
        <f t="shared" si="2"/>
        <v>0.25091999999999998</v>
      </c>
      <c r="I36" s="13">
        <v>0</v>
      </c>
      <c r="J36" s="23"/>
    </row>
    <row r="37" spans="1:14" ht="15.75" hidden="1" customHeight="1">
      <c r="A37" s="29"/>
      <c r="B37" s="75" t="s">
        <v>66</v>
      </c>
      <c r="C37" s="76" t="s">
        <v>32</v>
      </c>
      <c r="D37" s="75" t="s">
        <v>67</v>
      </c>
      <c r="E37" s="77"/>
      <c r="F37" s="78">
        <v>1</v>
      </c>
      <c r="G37" s="78">
        <v>1490.31</v>
      </c>
      <c r="H37" s="79">
        <f t="shared" si="2"/>
        <v>1.49031</v>
      </c>
      <c r="I37" s="13">
        <v>0</v>
      </c>
      <c r="J37" s="23"/>
    </row>
    <row r="38" spans="1:14" ht="15.75" customHeight="1">
      <c r="A38" s="29"/>
      <c r="B38" s="106" t="s">
        <v>5</v>
      </c>
      <c r="C38" s="76"/>
      <c r="D38" s="75"/>
      <c r="E38" s="77"/>
      <c r="F38" s="78"/>
      <c r="G38" s="78"/>
      <c r="H38" s="79" t="s">
        <v>136</v>
      </c>
      <c r="I38" s="13"/>
      <c r="J38" s="23"/>
    </row>
    <row r="39" spans="1:14" ht="15.75" customHeight="1">
      <c r="A39" s="29">
        <v>7</v>
      </c>
      <c r="B39" s="84" t="s">
        <v>201</v>
      </c>
      <c r="C39" s="76" t="s">
        <v>32</v>
      </c>
      <c r="D39" s="131" t="s">
        <v>202</v>
      </c>
      <c r="E39" s="77"/>
      <c r="F39" s="78">
        <v>5</v>
      </c>
      <c r="G39" s="78">
        <v>2003</v>
      </c>
      <c r="H39" s="79">
        <f t="shared" ref="H39:H46" si="4">SUM(F39*G39/1000)</f>
        <v>10.015000000000001</v>
      </c>
      <c r="I39" s="13">
        <f>G39*2</f>
        <v>4006</v>
      </c>
      <c r="J39" s="23"/>
    </row>
    <row r="40" spans="1:14" ht="15.75" customHeight="1">
      <c r="A40" s="29">
        <v>8</v>
      </c>
      <c r="B40" s="84" t="s">
        <v>105</v>
      </c>
      <c r="C40" s="85" t="s">
        <v>29</v>
      </c>
      <c r="D40" s="75" t="s">
        <v>123</v>
      </c>
      <c r="E40" s="77">
        <v>81.5</v>
      </c>
      <c r="F40" s="86">
        <f>E40*30/1000</f>
        <v>2.4449999999999998</v>
      </c>
      <c r="G40" s="78">
        <v>2757.78</v>
      </c>
      <c r="H40" s="79">
        <f t="shared" si="4"/>
        <v>6.7427720999999998</v>
      </c>
      <c r="I40" s="13">
        <f t="shared" ref="I40:I46" si="5">F40/6*G40</f>
        <v>1123.7953500000001</v>
      </c>
      <c r="J40" s="23"/>
    </row>
    <row r="41" spans="1:14" ht="15.75" customHeight="1">
      <c r="A41" s="29">
        <v>9</v>
      </c>
      <c r="B41" s="75" t="s">
        <v>68</v>
      </c>
      <c r="C41" s="76" t="s">
        <v>29</v>
      </c>
      <c r="D41" s="75" t="s">
        <v>88</v>
      </c>
      <c r="E41" s="78">
        <v>81.5</v>
      </c>
      <c r="F41" s="86">
        <f>SUM(E41*155/1000)</f>
        <v>12.6325</v>
      </c>
      <c r="G41" s="78">
        <v>460.02</v>
      </c>
      <c r="H41" s="79">
        <f t="shared" si="4"/>
        <v>5.8112026500000002</v>
      </c>
      <c r="I41" s="13">
        <f t="shared" si="5"/>
        <v>968.53377499999999</v>
      </c>
      <c r="J41" s="23"/>
      <c r="L41" s="18"/>
      <c r="M41" s="19"/>
      <c r="N41" s="20"/>
    </row>
    <row r="42" spans="1:14" ht="15.75" hidden="1" customHeight="1">
      <c r="A42" s="29"/>
      <c r="B42" s="75" t="s">
        <v>118</v>
      </c>
      <c r="C42" s="76" t="s">
        <v>119</v>
      </c>
      <c r="D42" s="75" t="s">
        <v>67</v>
      </c>
      <c r="E42" s="77"/>
      <c r="F42" s="86">
        <v>26</v>
      </c>
      <c r="G42" s="78">
        <v>314</v>
      </c>
      <c r="H42" s="79">
        <f t="shared" si="4"/>
        <v>8.1639999999999997</v>
      </c>
      <c r="I42" s="13">
        <v>0</v>
      </c>
      <c r="J42" s="23"/>
      <c r="L42" s="18"/>
      <c r="M42" s="19"/>
      <c r="N42" s="20"/>
    </row>
    <row r="43" spans="1:14" ht="47.25" customHeight="1">
      <c r="A43" s="29">
        <v>10</v>
      </c>
      <c r="B43" s="75" t="s">
        <v>82</v>
      </c>
      <c r="C43" s="76" t="s">
        <v>89</v>
      </c>
      <c r="D43" s="75" t="s">
        <v>124</v>
      </c>
      <c r="E43" s="78">
        <v>81.5</v>
      </c>
      <c r="F43" s="86">
        <f>SUM(E43*35/1000)</f>
        <v>2.8525</v>
      </c>
      <c r="G43" s="78">
        <v>7611.16</v>
      </c>
      <c r="H43" s="79">
        <f t="shared" si="4"/>
        <v>21.710833900000001</v>
      </c>
      <c r="I43" s="13">
        <f t="shared" si="5"/>
        <v>3618.4723166666663</v>
      </c>
      <c r="J43" s="23"/>
      <c r="L43" s="18"/>
      <c r="M43" s="19"/>
      <c r="N43" s="20"/>
    </row>
    <row r="44" spans="1:14" ht="15.75" customHeight="1">
      <c r="A44" s="29">
        <v>11</v>
      </c>
      <c r="B44" s="75" t="s">
        <v>90</v>
      </c>
      <c r="C44" s="76" t="s">
        <v>89</v>
      </c>
      <c r="D44" s="75" t="s">
        <v>69</v>
      </c>
      <c r="E44" s="78">
        <v>81.5</v>
      </c>
      <c r="F44" s="86">
        <f>SUM(E44*45/1000)</f>
        <v>3.6675</v>
      </c>
      <c r="G44" s="78">
        <v>562.25</v>
      </c>
      <c r="H44" s="79">
        <f t="shared" si="4"/>
        <v>2.0620518750000003</v>
      </c>
      <c r="I44" s="13">
        <f>F44/7.5*G44</f>
        <v>274.94024999999999</v>
      </c>
      <c r="J44" s="23"/>
      <c r="L44" s="18"/>
      <c r="M44" s="19"/>
      <c r="N44" s="20"/>
    </row>
    <row r="45" spans="1:14" ht="15.75" customHeight="1">
      <c r="A45" s="29">
        <v>12</v>
      </c>
      <c r="B45" s="84" t="s">
        <v>70</v>
      </c>
      <c r="C45" s="85" t="s">
        <v>33</v>
      </c>
      <c r="D45" s="84"/>
      <c r="E45" s="82"/>
      <c r="F45" s="86">
        <v>0.9</v>
      </c>
      <c r="G45" s="86">
        <v>974.83</v>
      </c>
      <c r="H45" s="79">
        <f t="shared" si="4"/>
        <v>0.8773470000000001</v>
      </c>
      <c r="I45" s="13">
        <f>F45/7.5*G45</f>
        <v>116.97960000000002</v>
      </c>
      <c r="J45" s="23"/>
      <c r="L45" s="18"/>
      <c r="M45" s="19"/>
      <c r="N45" s="20"/>
    </row>
    <row r="46" spans="1:14" ht="15.75" customHeight="1">
      <c r="A46" s="29">
        <v>13</v>
      </c>
      <c r="B46" s="47" t="s">
        <v>156</v>
      </c>
      <c r="C46" s="48" t="s">
        <v>29</v>
      </c>
      <c r="D46" s="84" t="s">
        <v>211</v>
      </c>
      <c r="E46" s="82">
        <v>2.4</v>
      </c>
      <c r="F46" s="86">
        <f>SUM(E46*12/1000)</f>
        <v>2.8799999999999996E-2</v>
      </c>
      <c r="G46" s="86">
        <v>260.2</v>
      </c>
      <c r="H46" s="79">
        <f t="shared" si="4"/>
        <v>7.4937599999999986E-3</v>
      </c>
      <c r="I46" s="13">
        <f t="shared" si="5"/>
        <v>1.2489599999999998</v>
      </c>
      <c r="J46" s="23"/>
      <c r="L46" s="18"/>
      <c r="M46" s="19"/>
      <c r="N46" s="20"/>
    </row>
    <row r="47" spans="1:14" ht="15.75" customHeight="1">
      <c r="A47" s="186" t="s">
        <v>129</v>
      </c>
      <c r="B47" s="187"/>
      <c r="C47" s="187"/>
      <c r="D47" s="187"/>
      <c r="E47" s="187"/>
      <c r="F47" s="187"/>
      <c r="G47" s="187"/>
      <c r="H47" s="187"/>
      <c r="I47" s="188"/>
      <c r="J47" s="23"/>
      <c r="L47" s="18"/>
      <c r="M47" s="19"/>
      <c r="N47" s="20"/>
    </row>
    <row r="48" spans="1:14" ht="15.75" hidden="1" customHeight="1">
      <c r="A48" s="29"/>
      <c r="B48" s="75" t="s">
        <v>125</v>
      </c>
      <c r="C48" s="76" t="s">
        <v>89</v>
      </c>
      <c r="D48" s="75" t="s">
        <v>42</v>
      </c>
      <c r="E48" s="77">
        <v>1080</v>
      </c>
      <c r="F48" s="78">
        <f>SUM(E48*2/1000)</f>
        <v>2.16</v>
      </c>
      <c r="G48" s="33">
        <v>1172.4100000000001</v>
      </c>
      <c r="H48" s="79">
        <f t="shared" ref="H48:H56" si="6">SUM(F48*G48/1000)</f>
        <v>2.5324056000000006</v>
      </c>
      <c r="I48" s="13">
        <f t="shared" ref="I48:I51" si="7">F48/2*G48</f>
        <v>1266.2028000000003</v>
      </c>
      <c r="J48" s="23"/>
      <c r="L48" s="18"/>
      <c r="M48" s="19"/>
      <c r="N48" s="20"/>
    </row>
    <row r="49" spans="1:22" ht="15.75" hidden="1" customHeight="1">
      <c r="A49" s="29"/>
      <c r="B49" s="75" t="s">
        <v>35</v>
      </c>
      <c r="C49" s="76" t="s">
        <v>89</v>
      </c>
      <c r="D49" s="75" t="s">
        <v>42</v>
      </c>
      <c r="E49" s="77">
        <v>39</v>
      </c>
      <c r="F49" s="78">
        <f>SUM(E49*2/1000)</f>
        <v>7.8E-2</v>
      </c>
      <c r="G49" s="33">
        <v>4419.05</v>
      </c>
      <c r="H49" s="79">
        <f t="shared" si="6"/>
        <v>0.34468589999999999</v>
      </c>
      <c r="I49" s="13">
        <f t="shared" si="7"/>
        <v>172.34295</v>
      </c>
      <c r="J49" s="23"/>
      <c r="L49" s="18"/>
      <c r="M49" s="19"/>
      <c r="N49" s="20"/>
    </row>
    <row r="50" spans="1:22" ht="15.75" hidden="1" customHeight="1">
      <c r="A50" s="29"/>
      <c r="B50" s="75" t="s">
        <v>36</v>
      </c>
      <c r="C50" s="76" t="s">
        <v>89</v>
      </c>
      <c r="D50" s="75" t="s">
        <v>42</v>
      </c>
      <c r="E50" s="77">
        <v>1037</v>
      </c>
      <c r="F50" s="78">
        <f>SUM(E50*2/1000)</f>
        <v>2.0739999999999998</v>
      </c>
      <c r="G50" s="33">
        <v>1803.69</v>
      </c>
      <c r="H50" s="79">
        <f t="shared" si="6"/>
        <v>3.7408530600000001</v>
      </c>
      <c r="I50" s="13">
        <f t="shared" si="7"/>
        <v>1870.42653</v>
      </c>
      <c r="J50" s="23"/>
      <c r="L50" s="18"/>
      <c r="M50" s="19"/>
      <c r="N50" s="20"/>
    </row>
    <row r="51" spans="1:22" ht="15.75" hidden="1" customHeight="1">
      <c r="A51" s="29"/>
      <c r="B51" s="75" t="s">
        <v>37</v>
      </c>
      <c r="C51" s="76" t="s">
        <v>89</v>
      </c>
      <c r="D51" s="75" t="s">
        <v>42</v>
      </c>
      <c r="E51" s="77">
        <v>2274</v>
      </c>
      <c r="F51" s="78">
        <f>SUM(E51*2/1000)</f>
        <v>4.548</v>
      </c>
      <c r="G51" s="33">
        <v>1243.43</v>
      </c>
      <c r="H51" s="79">
        <f t="shared" si="6"/>
        <v>5.6551196399999997</v>
      </c>
      <c r="I51" s="13">
        <f t="shared" si="7"/>
        <v>2827.5598199999999</v>
      </c>
      <c r="J51" s="23"/>
      <c r="L51" s="18"/>
      <c r="M51" s="19"/>
      <c r="N51" s="20"/>
    </row>
    <row r="52" spans="1:22" ht="15.75" hidden="1" customHeight="1">
      <c r="A52" s="29"/>
      <c r="B52" s="75" t="s">
        <v>34</v>
      </c>
      <c r="C52" s="76" t="s">
        <v>53</v>
      </c>
      <c r="D52" s="75" t="s">
        <v>42</v>
      </c>
      <c r="E52" s="77">
        <v>83.04</v>
      </c>
      <c r="F52" s="78">
        <v>1.66</v>
      </c>
      <c r="G52" s="33">
        <v>1352.76</v>
      </c>
      <c r="H52" s="79">
        <f>SUM(F52*G52/1000)</f>
        <v>2.2455816</v>
      </c>
      <c r="I52" s="13">
        <f>F52/2*G52</f>
        <v>1122.7908</v>
      </c>
      <c r="J52" s="23"/>
      <c r="L52" s="18"/>
      <c r="M52" s="19"/>
      <c r="N52" s="20"/>
    </row>
    <row r="53" spans="1:22" ht="15.75" customHeight="1">
      <c r="A53" s="29">
        <v>14</v>
      </c>
      <c r="B53" s="75" t="s">
        <v>248</v>
      </c>
      <c r="C53" s="76" t="s">
        <v>89</v>
      </c>
      <c r="D53" s="75" t="s">
        <v>206</v>
      </c>
      <c r="E53" s="77">
        <v>2626.5</v>
      </c>
      <c r="F53" s="78">
        <f>SUM(E53*5/1000)</f>
        <v>13.1325</v>
      </c>
      <c r="G53" s="33">
        <v>1803.69</v>
      </c>
      <c r="H53" s="79">
        <f t="shared" ref="H53:H55" si="8">SUM(F53*G53/1000)</f>
        <v>23.686958925000003</v>
      </c>
      <c r="I53" s="13">
        <f>F53/5*G53</f>
        <v>4737.3917849999998</v>
      </c>
      <c r="J53" s="23"/>
      <c r="L53" s="18"/>
      <c r="M53" s="19"/>
      <c r="N53" s="20"/>
    </row>
    <row r="54" spans="1:22" ht="31.5" hidden="1" customHeight="1">
      <c r="A54" s="29"/>
      <c r="B54" s="75" t="s">
        <v>91</v>
      </c>
      <c r="C54" s="76" t="s">
        <v>89</v>
      </c>
      <c r="D54" s="75" t="s">
        <v>42</v>
      </c>
      <c r="E54" s="77">
        <v>2626.5</v>
      </c>
      <c r="F54" s="78">
        <f>SUM(E54*2/1000)</f>
        <v>5.2530000000000001</v>
      </c>
      <c r="G54" s="33">
        <v>1591.6</v>
      </c>
      <c r="H54" s="79">
        <f t="shared" si="8"/>
        <v>8.3606747999999982</v>
      </c>
      <c r="I54" s="13">
        <f>F54/2*G54</f>
        <v>4180.3373999999994</v>
      </c>
      <c r="J54" s="23"/>
      <c r="L54" s="18"/>
      <c r="M54" s="19"/>
      <c r="N54" s="20"/>
    </row>
    <row r="55" spans="1:22" ht="31.5" hidden="1" customHeight="1">
      <c r="A55" s="29"/>
      <c r="B55" s="75" t="s">
        <v>92</v>
      </c>
      <c r="C55" s="76" t="s">
        <v>38</v>
      </c>
      <c r="D55" s="75" t="s">
        <v>42</v>
      </c>
      <c r="E55" s="77">
        <v>15</v>
      </c>
      <c r="F55" s="78">
        <f>SUM(E55*2/100)</f>
        <v>0.3</v>
      </c>
      <c r="G55" s="33">
        <v>4058.32</v>
      </c>
      <c r="H55" s="79">
        <f t="shared" si="8"/>
        <v>1.2174960000000001</v>
      </c>
      <c r="I55" s="13">
        <f t="shared" ref="I55:I56" si="9">F55/2*G55</f>
        <v>608.74800000000005</v>
      </c>
      <c r="J55" s="23"/>
      <c r="L55" s="18"/>
      <c r="M55" s="19"/>
      <c r="N55" s="20"/>
    </row>
    <row r="56" spans="1:22" ht="15.75" hidden="1" customHeight="1">
      <c r="A56" s="29"/>
      <c r="B56" s="75" t="s">
        <v>39</v>
      </c>
      <c r="C56" s="76" t="s">
        <v>40</v>
      </c>
      <c r="D56" s="75" t="s">
        <v>42</v>
      </c>
      <c r="E56" s="77">
        <v>1</v>
      </c>
      <c r="F56" s="78">
        <v>0.02</v>
      </c>
      <c r="G56" s="33">
        <v>7412.92</v>
      </c>
      <c r="H56" s="79">
        <f t="shared" si="6"/>
        <v>0.14825839999999998</v>
      </c>
      <c r="I56" s="13">
        <f t="shared" si="9"/>
        <v>74.129199999999997</v>
      </c>
      <c r="J56" s="23"/>
      <c r="L56" s="18"/>
      <c r="M56" s="19"/>
      <c r="N56" s="20"/>
    </row>
    <row r="57" spans="1:22" ht="15.75" hidden="1" customHeight="1">
      <c r="A57" s="29">
        <v>15</v>
      </c>
      <c r="B57" s="75" t="s">
        <v>41</v>
      </c>
      <c r="C57" s="76" t="s">
        <v>106</v>
      </c>
      <c r="D57" s="75" t="s">
        <v>71</v>
      </c>
      <c r="E57" s="77">
        <v>90</v>
      </c>
      <c r="F57" s="78">
        <f>SUM(E57)*3</f>
        <v>270</v>
      </c>
      <c r="G57" s="74">
        <v>86.15</v>
      </c>
      <c r="H57" s="79">
        <f>SUM(F57*G57/1000)</f>
        <v>23.2605</v>
      </c>
      <c r="I57" s="13">
        <f>F57/3*G57</f>
        <v>7753.5000000000009</v>
      </c>
      <c r="J57" s="23"/>
      <c r="L57" s="18"/>
      <c r="M57" s="19"/>
      <c r="N57" s="20"/>
    </row>
    <row r="58" spans="1:22" ht="15.75" customHeight="1">
      <c r="A58" s="186" t="s">
        <v>130</v>
      </c>
      <c r="B58" s="187"/>
      <c r="C58" s="187"/>
      <c r="D58" s="187"/>
      <c r="E58" s="187"/>
      <c r="F58" s="187"/>
      <c r="G58" s="187"/>
      <c r="H58" s="187"/>
      <c r="I58" s="188"/>
      <c r="J58" s="23"/>
      <c r="L58" s="18"/>
    </row>
    <row r="59" spans="1:22" ht="15.75" hidden="1" customHeight="1">
      <c r="A59" s="29"/>
      <c r="B59" s="106" t="s">
        <v>43</v>
      </c>
      <c r="C59" s="76"/>
      <c r="D59" s="75"/>
      <c r="E59" s="77"/>
      <c r="F59" s="78"/>
      <c r="G59" s="78"/>
      <c r="H59" s="79"/>
      <c r="I59" s="13"/>
    </row>
    <row r="60" spans="1:22" ht="15.75" hidden="1" customHeight="1">
      <c r="A60" s="29">
        <v>17</v>
      </c>
      <c r="B60" s="75" t="s">
        <v>158</v>
      </c>
      <c r="C60" s="76" t="s">
        <v>159</v>
      </c>
      <c r="D60" s="75" t="s">
        <v>67</v>
      </c>
      <c r="E60" s="77"/>
      <c r="F60" s="78">
        <v>3</v>
      </c>
      <c r="G60" s="33">
        <v>1582.05</v>
      </c>
      <c r="H60" s="79">
        <f>SUM(F60*G60/1000)</f>
        <v>4.7461499999999992</v>
      </c>
      <c r="I60" s="13">
        <f>G60*2.5</f>
        <v>3955.125</v>
      </c>
    </row>
    <row r="61" spans="1:22" ht="15.75" customHeight="1">
      <c r="A61" s="29"/>
      <c r="B61" s="107" t="s">
        <v>44</v>
      </c>
      <c r="C61" s="87"/>
      <c r="D61" s="88"/>
      <c r="E61" s="89"/>
      <c r="F61" s="90"/>
      <c r="G61" s="33"/>
      <c r="H61" s="91"/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8" hidden="1" customHeight="1">
      <c r="A62" s="29"/>
      <c r="B62" s="88" t="s">
        <v>45</v>
      </c>
      <c r="C62" s="87" t="s">
        <v>53</v>
      </c>
      <c r="D62" s="88" t="s">
        <v>54</v>
      </c>
      <c r="E62" s="89">
        <v>130</v>
      </c>
      <c r="F62" s="90">
        <f>E62/100</f>
        <v>1.3</v>
      </c>
      <c r="G62" s="33">
        <v>1040.8399999999999</v>
      </c>
      <c r="H62" s="91">
        <f>F62*G62/1000</f>
        <v>1.353092</v>
      </c>
      <c r="I62" s="13">
        <v>0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8" customHeight="1">
      <c r="A63" s="29">
        <v>15</v>
      </c>
      <c r="B63" s="88" t="s">
        <v>120</v>
      </c>
      <c r="C63" s="87" t="s">
        <v>25</v>
      </c>
      <c r="D63" s="88" t="s">
        <v>30</v>
      </c>
      <c r="E63" s="89">
        <v>130</v>
      </c>
      <c r="F63" s="92">
        <f>E63*12</f>
        <v>1560</v>
      </c>
      <c r="G63" s="93">
        <v>1.2</v>
      </c>
      <c r="H63" s="90">
        <f>F63*G63/1000</f>
        <v>1.8720000000000001</v>
      </c>
      <c r="I63" s="13">
        <f t="shared" ref="I63" si="10">F63/12*G63</f>
        <v>156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1.25" hidden="1" customHeight="1">
      <c r="A64" s="29"/>
      <c r="B64" s="108" t="s">
        <v>46</v>
      </c>
      <c r="C64" s="87"/>
      <c r="D64" s="88"/>
      <c r="E64" s="89"/>
      <c r="F64" s="92"/>
      <c r="G64" s="92"/>
      <c r="H64" s="90" t="s">
        <v>136</v>
      </c>
      <c r="I64" s="13"/>
      <c r="J64" s="5"/>
      <c r="K64" s="5"/>
      <c r="L64" s="5"/>
      <c r="M64" s="5"/>
      <c r="N64" s="5"/>
      <c r="O64" s="5"/>
      <c r="P64" s="5"/>
      <c r="Q64" s="5"/>
      <c r="R64" s="162"/>
      <c r="S64" s="162"/>
      <c r="T64" s="162"/>
      <c r="U64" s="162"/>
    </row>
    <row r="65" spans="1:21" ht="15.75" hidden="1" customHeight="1">
      <c r="A65" s="29"/>
      <c r="B65" s="94" t="s">
        <v>47</v>
      </c>
      <c r="C65" s="95" t="s">
        <v>106</v>
      </c>
      <c r="D65" s="75" t="s">
        <v>67</v>
      </c>
      <c r="E65" s="16">
        <v>9</v>
      </c>
      <c r="F65" s="74">
        <f>SUM(E65)</f>
        <v>9</v>
      </c>
      <c r="G65" s="33">
        <v>291.68</v>
      </c>
      <c r="H65" s="68">
        <f t="shared" ref="H65:H83" si="11">SUM(F65*G65/1000)</f>
        <v>2.6251199999999999</v>
      </c>
      <c r="I65" s="13">
        <v>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8" hidden="1" customHeight="1">
      <c r="A66" s="29"/>
      <c r="B66" s="94" t="s">
        <v>48</v>
      </c>
      <c r="C66" s="95" t="s">
        <v>106</v>
      </c>
      <c r="D66" s="75" t="s">
        <v>67</v>
      </c>
      <c r="E66" s="16">
        <v>4</v>
      </c>
      <c r="F66" s="74">
        <f>SUM(E66)</f>
        <v>4</v>
      </c>
      <c r="G66" s="33">
        <v>100.01</v>
      </c>
      <c r="H66" s="68">
        <f t="shared" si="11"/>
        <v>0.40004000000000001</v>
      </c>
      <c r="I66" s="13">
        <v>0</v>
      </c>
    </row>
    <row r="67" spans="1:21" ht="17.25" hidden="1" customHeight="1">
      <c r="A67" s="29"/>
      <c r="B67" s="94" t="s">
        <v>49</v>
      </c>
      <c r="C67" s="96" t="s">
        <v>108</v>
      </c>
      <c r="D67" s="35" t="s">
        <v>54</v>
      </c>
      <c r="E67" s="77">
        <v>13287</v>
      </c>
      <c r="F67" s="74">
        <f>SUM(E67/100)</f>
        <v>132.87</v>
      </c>
      <c r="G67" s="33">
        <v>278.24</v>
      </c>
      <c r="H67" s="68">
        <f t="shared" si="11"/>
        <v>36.969748799999998</v>
      </c>
      <c r="I67" s="13">
        <v>0</v>
      </c>
    </row>
    <row r="68" spans="1:21" ht="19.5" hidden="1" customHeight="1">
      <c r="A68" s="29"/>
      <c r="B68" s="94" t="s">
        <v>50</v>
      </c>
      <c r="C68" s="95" t="s">
        <v>109</v>
      </c>
      <c r="D68" s="35" t="s">
        <v>54</v>
      </c>
      <c r="E68" s="77">
        <v>13287</v>
      </c>
      <c r="F68" s="33">
        <f>SUM(E68/1000)</f>
        <v>13.287000000000001</v>
      </c>
      <c r="G68" s="33">
        <v>216.68</v>
      </c>
      <c r="H68" s="68">
        <f t="shared" si="11"/>
        <v>2.8790271600000001</v>
      </c>
      <c r="I68" s="13">
        <v>0</v>
      </c>
    </row>
    <row r="69" spans="1:21" ht="15.75" hidden="1" customHeight="1">
      <c r="A69" s="29"/>
      <c r="B69" s="94" t="s">
        <v>51</v>
      </c>
      <c r="C69" s="95" t="s">
        <v>76</v>
      </c>
      <c r="D69" s="35" t="s">
        <v>54</v>
      </c>
      <c r="E69" s="77">
        <v>2110</v>
      </c>
      <c r="F69" s="33">
        <f>SUM(E69/100)</f>
        <v>21.1</v>
      </c>
      <c r="G69" s="33">
        <v>2720.94</v>
      </c>
      <c r="H69" s="68">
        <f>SUM(F69*G69/1000)</f>
        <v>57.411834000000006</v>
      </c>
      <c r="I69" s="13">
        <v>0</v>
      </c>
    </row>
    <row r="70" spans="1:21" ht="18" hidden="1" customHeight="1">
      <c r="A70" s="29"/>
      <c r="B70" s="97" t="s">
        <v>110</v>
      </c>
      <c r="C70" s="95" t="s">
        <v>33</v>
      </c>
      <c r="D70" s="35"/>
      <c r="E70" s="77">
        <v>8.6</v>
      </c>
      <c r="F70" s="33">
        <f>SUM(E70)</f>
        <v>8.6</v>
      </c>
      <c r="G70" s="33">
        <v>42.61</v>
      </c>
      <c r="H70" s="68">
        <f t="shared" si="11"/>
        <v>0.36644599999999999</v>
      </c>
      <c r="I70" s="13">
        <v>0</v>
      </c>
    </row>
    <row r="71" spans="1:21" ht="18.75" hidden="1" customHeight="1">
      <c r="A71" s="29"/>
      <c r="B71" s="97" t="s">
        <v>111</v>
      </c>
      <c r="C71" s="95" t="s">
        <v>33</v>
      </c>
      <c r="D71" s="35"/>
      <c r="E71" s="77">
        <v>8.6</v>
      </c>
      <c r="F71" s="33">
        <f>SUM(E71)</f>
        <v>8.6</v>
      </c>
      <c r="G71" s="33">
        <v>46.04</v>
      </c>
      <c r="H71" s="68">
        <f t="shared" si="11"/>
        <v>0.39594399999999996</v>
      </c>
      <c r="I71" s="13">
        <v>0</v>
      </c>
    </row>
    <row r="72" spans="1:21" ht="18.75" hidden="1" customHeight="1">
      <c r="A72" s="29"/>
      <c r="B72" s="35" t="s">
        <v>57</v>
      </c>
      <c r="C72" s="95" t="s">
        <v>58</v>
      </c>
      <c r="D72" s="35" t="s">
        <v>54</v>
      </c>
      <c r="E72" s="16">
        <v>3</v>
      </c>
      <c r="F72" s="33">
        <f>SUM(E72)</f>
        <v>3</v>
      </c>
      <c r="G72" s="33">
        <v>65.42</v>
      </c>
      <c r="H72" s="68">
        <f t="shared" si="11"/>
        <v>0.19625999999999999</v>
      </c>
      <c r="I72" s="13">
        <v>0</v>
      </c>
    </row>
    <row r="73" spans="1:21" ht="15.75" customHeight="1">
      <c r="A73" s="29"/>
      <c r="B73" s="109" t="s">
        <v>72</v>
      </c>
      <c r="C73" s="95"/>
      <c r="D73" s="35"/>
      <c r="E73" s="16"/>
      <c r="F73" s="33"/>
      <c r="G73" s="33"/>
      <c r="H73" s="68" t="s">
        <v>136</v>
      </c>
      <c r="I73" s="13"/>
    </row>
    <row r="74" spans="1:21" ht="31.5" hidden="1" customHeight="1">
      <c r="A74" s="29"/>
      <c r="B74" s="35" t="s">
        <v>160</v>
      </c>
      <c r="C74" s="95" t="s">
        <v>106</v>
      </c>
      <c r="D74" s="75" t="s">
        <v>67</v>
      </c>
      <c r="E74" s="16">
        <v>1</v>
      </c>
      <c r="F74" s="33">
        <v>1</v>
      </c>
      <c r="G74" s="33">
        <v>1543.4</v>
      </c>
      <c r="H74" s="68">
        <f t="shared" ref="H74:H76" si="12">SUM(F74*G74/1000)</f>
        <v>1.5434000000000001</v>
      </c>
      <c r="I74" s="13">
        <v>0</v>
      </c>
    </row>
    <row r="75" spans="1:21" ht="15.75" hidden="1" customHeight="1">
      <c r="A75" s="29">
        <v>17</v>
      </c>
      <c r="B75" s="35" t="s">
        <v>73</v>
      </c>
      <c r="C75" s="95" t="s">
        <v>74</v>
      </c>
      <c r="D75" s="75" t="s">
        <v>67</v>
      </c>
      <c r="E75" s="16">
        <v>3</v>
      </c>
      <c r="F75" s="33">
        <f>E75/10</f>
        <v>0.3</v>
      </c>
      <c r="G75" s="33">
        <v>657.87</v>
      </c>
      <c r="H75" s="68">
        <f t="shared" si="12"/>
        <v>0.19736099999999998</v>
      </c>
      <c r="I75" s="13">
        <f>G75*0.9</f>
        <v>592.08299999999997</v>
      </c>
    </row>
    <row r="76" spans="1:21" ht="15.75" hidden="1" customHeight="1">
      <c r="A76" s="29"/>
      <c r="B76" s="35" t="s">
        <v>161</v>
      </c>
      <c r="C76" s="95" t="s">
        <v>106</v>
      </c>
      <c r="D76" s="75" t="s">
        <v>67</v>
      </c>
      <c r="E76" s="16">
        <v>2</v>
      </c>
      <c r="F76" s="78">
        <f>SUM(E76)</f>
        <v>2</v>
      </c>
      <c r="G76" s="33">
        <v>1118.72</v>
      </c>
      <c r="H76" s="68">
        <f t="shared" si="12"/>
        <v>2.2374399999999999</v>
      </c>
      <c r="I76" s="13">
        <v>0</v>
      </c>
    </row>
    <row r="77" spans="1:21" ht="15.75" hidden="1" customHeight="1">
      <c r="A77" s="29"/>
      <c r="B77" s="47" t="s">
        <v>162</v>
      </c>
      <c r="C77" s="48" t="s">
        <v>106</v>
      </c>
      <c r="D77" s="75" t="s">
        <v>67</v>
      </c>
      <c r="E77" s="16">
        <v>1</v>
      </c>
      <c r="F77" s="93">
        <v>1</v>
      </c>
      <c r="G77" s="33">
        <v>1605.83</v>
      </c>
      <c r="H77" s="68">
        <f>SUM(F77*G77/1000)</f>
        <v>1.6058299999999999</v>
      </c>
      <c r="I77" s="13">
        <v>0</v>
      </c>
    </row>
    <row r="78" spans="1:21" ht="15.75" customHeight="1">
      <c r="A78" s="29">
        <v>16</v>
      </c>
      <c r="B78" s="47" t="s">
        <v>163</v>
      </c>
      <c r="C78" s="48" t="s">
        <v>106</v>
      </c>
      <c r="D78" s="35" t="s">
        <v>206</v>
      </c>
      <c r="E78" s="98">
        <v>2</v>
      </c>
      <c r="F78" s="92">
        <f>E78*12</f>
        <v>24</v>
      </c>
      <c r="G78" s="99">
        <v>53.42</v>
      </c>
      <c r="H78" s="68">
        <f t="shared" ref="H78:H79" si="13">SUM(F78*G78/1000)</f>
        <v>1.2820799999999999</v>
      </c>
      <c r="I78" s="13">
        <f t="shared" ref="I78:I81" si="14">F78/12*G78</f>
        <v>106.84</v>
      </c>
    </row>
    <row r="79" spans="1:21" ht="15.75" hidden="1" customHeight="1">
      <c r="A79" s="29">
        <v>17</v>
      </c>
      <c r="B79" s="57" t="s">
        <v>164</v>
      </c>
      <c r="C79" s="95"/>
      <c r="D79" s="35" t="s">
        <v>30</v>
      </c>
      <c r="E79" s="16">
        <v>1</v>
      </c>
      <c r="F79" s="33">
        <v>12</v>
      </c>
      <c r="G79" s="33">
        <v>1194</v>
      </c>
      <c r="H79" s="68">
        <f t="shared" si="13"/>
        <v>14.327999999999999</v>
      </c>
      <c r="I79" s="13">
        <f t="shared" si="14"/>
        <v>1194</v>
      </c>
    </row>
    <row r="80" spans="1:21" ht="15.75" customHeight="1">
      <c r="A80" s="29"/>
      <c r="B80" s="110" t="s">
        <v>165</v>
      </c>
      <c r="C80" s="48"/>
      <c r="D80" s="35"/>
      <c r="E80" s="16"/>
      <c r="F80" s="33"/>
      <c r="G80" s="33"/>
      <c r="H80" s="68"/>
      <c r="I80" s="13"/>
    </row>
    <row r="81" spans="1:9" ht="15.75" customHeight="1">
      <c r="A81" s="29">
        <v>18</v>
      </c>
      <c r="B81" s="35" t="s">
        <v>166</v>
      </c>
      <c r="C81" s="100" t="s">
        <v>167</v>
      </c>
      <c r="D81" s="75" t="s">
        <v>205</v>
      </c>
      <c r="E81" s="16">
        <v>2626.5</v>
      </c>
      <c r="F81" s="33">
        <f>SUM(E81*12)</f>
        <v>31518</v>
      </c>
      <c r="G81" s="33">
        <v>2.2799999999999998</v>
      </c>
      <c r="H81" s="68">
        <f t="shared" ref="H81" si="15">SUM(F81*G81/1000)</f>
        <v>71.861039999999988</v>
      </c>
      <c r="I81" s="13">
        <f t="shared" si="14"/>
        <v>5988.4199999999992</v>
      </c>
    </row>
    <row r="82" spans="1:9" ht="15.75" hidden="1" customHeight="1">
      <c r="A82" s="29"/>
      <c r="B82" s="111" t="s">
        <v>75</v>
      </c>
      <c r="C82" s="95"/>
      <c r="D82" s="35"/>
      <c r="E82" s="16"/>
      <c r="F82" s="33"/>
      <c r="G82" s="33" t="s">
        <v>136</v>
      </c>
      <c r="H82" s="68" t="s">
        <v>136</v>
      </c>
      <c r="I82" s="13"/>
    </row>
    <row r="83" spans="1:9" ht="15.75" hidden="1" customHeight="1">
      <c r="A83" s="29"/>
      <c r="B83" s="101" t="s">
        <v>126</v>
      </c>
      <c r="C83" s="96" t="s">
        <v>76</v>
      </c>
      <c r="D83" s="94"/>
      <c r="E83" s="102"/>
      <c r="F83" s="74">
        <v>0.5</v>
      </c>
      <c r="G83" s="74">
        <v>3619.09</v>
      </c>
      <c r="H83" s="68">
        <f t="shared" si="11"/>
        <v>1.8095450000000002</v>
      </c>
      <c r="I83" s="13"/>
    </row>
    <row r="84" spans="1:9" ht="15.75" hidden="1" customHeight="1">
      <c r="A84" s="29"/>
      <c r="B84" s="62" t="s">
        <v>93</v>
      </c>
      <c r="C84" s="13"/>
      <c r="D84" s="13"/>
      <c r="E84" s="13"/>
      <c r="F84" s="13"/>
      <c r="G84" s="13"/>
      <c r="H84" s="13"/>
      <c r="I84" s="13"/>
    </row>
    <row r="85" spans="1:9" ht="15.75" hidden="1" customHeight="1">
      <c r="A85" s="29"/>
      <c r="B85" s="75" t="s">
        <v>112</v>
      </c>
      <c r="C85" s="103"/>
      <c r="D85" s="104"/>
      <c r="E85" s="105"/>
      <c r="F85" s="34">
        <v>1</v>
      </c>
      <c r="G85" s="34">
        <v>8275.7000000000007</v>
      </c>
      <c r="H85" s="68">
        <f>G85*F85/1000</f>
        <v>8.2757000000000005</v>
      </c>
      <c r="I85" s="13"/>
    </row>
    <row r="86" spans="1:9" ht="15" customHeight="1">
      <c r="A86" s="174" t="s">
        <v>131</v>
      </c>
      <c r="B86" s="175"/>
      <c r="C86" s="175"/>
      <c r="D86" s="175"/>
      <c r="E86" s="175"/>
      <c r="F86" s="175"/>
      <c r="G86" s="175"/>
      <c r="H86" s="175"/>
      <c r="I86" s="176"/>
    </row>
    <row r="87" spans="1:9" ht="15.75" customHeight="1">
      <c r="A87" s="29">
        <v>17</v>
      </c>
      <c r="B87" s="75" t="s">
        <v>113</v>
      </c>
      <c r="C87" s="95" t="s">
        <v>55</v>
      </c>
      <c r="D87" s="61" t="s">
        <v>142</v>
      </c>
      <c r="E87" s="33">
        <v>2626.5</v>
      </c>
      <c r="F87" s="33">
        <f>SUM(E87*12)</f>
        <v>31518</v>
      </c>
      <c r="G87" s="33">
        <v>3.1</v>
      </c>
      <c r="H87" s="68">
        <f>SUM(F87*G87/1000)</f>
        <v>97.705799999999996</v>
      </c>
      <c r="I87" s="13">
        <f t="shared" ref="I87:I88" si="16">F87/12*G87</f>
        <v>8142.1500000000005</v>
      </c>
    </row>
    <row r="88" spans="1:9" ht="31.5" customHeight="1">
      <c r="A88" s="29">
        <v>18</v>
      </c>
      <c r="B88" s="35" t="s">
        <v>77</v>
      </c>
      <c r="C88" s="95"/>
      <c r="D88" s="61" t="s">
        <v>142</v>
      </c>
      <c r="E88" s="77">
        <f>E87</f>
        <v>2626.5</v>
      </c>
      <c r="F88" s="33">
        <f>E88*12</f>
        <v>31518</v>
      </c>
      <c r="G88" s="33">
        <v>3.5</v>
      </c>
      <c r="H88" s="68">
        <f>F88*G88/1000</f>
        <v>110.313</v>
      </c>
      <c r="I88" s="13">
        <f t="shared" si="16"/>
        <v>9192.75</v>
      </c>
    </row>
    <row r="89" spans="1:9" ht="15.75" customHeight="1">
      <c r="A89" s="29"/>
      <c r="B89" s="36" t="s">
        <v>80</v>
      </c>
      <c r="C89" s="59"/>
      <c r="D89" s="58"/>
      <c r="E89" s="55"/>
      <c r="F89" s="55"/>
      <c r="G89" s="55"/>
      <c r="H89" s="60">
        <f>H79</f>
        <v>14.327999999999999</v>
      </c>
      <c r="I89" s="55">
        <f>I88+I87+I81+I78+I63+I53+I46+I45+I44+I43+I41+I40+I39+I28+I27+I20+I18+I17+I16</f>
        <v>57438.77999333333</v>
      </c>
    </row>
    <row r="90" spans="1:9" ht="15.75" customHeight="1">
      <c r="A90" s="163" t="s">
        <v>60</v>
      </c>
      <c r="B90" s="164"/>
      <c r="C90" s="164"/>
      <c r="D90" s="164"/>
      <c r="E90" s="164"/>
      <c r="F90" s="164"/>
      <c r="G90" s="164"/>
      <c r="H90" s="164"/>
      <c r="I90" s="165"/>
    </row>
    <row r="91" spans="1:9" ht="20.25" customHeight="1">
      <c r="A91" s="29">
        <v>19</v>
      </c>
      <c r="B91" s="46" t="s">
        <v>192</v>
      </c>
      <c r="C91" s="49" t="s">
        <v>83</v>
      </c>
      <c r="D91" s="14"/>
      <c r="E91" s="17"/>
      <c r="F91" s="13">
        <v>4</v>
      </c>
      <c r="G91" s="13">
        <v>203.68</v>
      </c>
      <c r="H91" s="56">
        <f t="shared" ref="H91:H97" si="17">G91*F91/1000</f>
        <v>0.81472</v>
      </c>
      <c r="I91" s="13">
        <f>G91*4</f>
        <v>814.72</v>
      </c>
    </row>
    <row r="92" spans="1:9" ht="31.5" customHeight="1">
      <c r="A92" s="29">
        <v>20</v>
      </c>
      <c r="B92" s="54" t="s">
        <v>191</v>
      </c>
      <c r="C92" s="29" t="s">
        <v>81</v>
      </c>
      <c r="D92" s="29" t="s">
        <v>190</v>
      </c>
      <c r="E92" s="17"/>
      <c r="F92" s="13">
        <v>2.5</v>
      </c>
      <c r="G92" s="13">
        <v>1187</v>
      </c>
      <c r="H92" s="56">
        <f t="shared" si="17"/>
        <v>2.9674999999999998</v>
      </c>
      <c r="I92" s="13">
        <f>G92*(1.5+1)</f>
        <v>2967.5</v>
      </c>
    </row>
    <row r="93" spans="1:9" ht="31.5" customHeight="1">
      <c r="A93" s="29">
        <v>21</v>
      </c>
      <c r="B93" s="46" t="s">
        <v>170</v>
      </c>
      <c r="C93" s="49" t="s">
        <v>138</v>
      </c>
      <c r="D93" s="14"/>
      <c r="E93" s="17"/>
      <c r="F93" s="13">
        <v>1</v>
      </c>
      <c r="G93" s="13">
        <v>835.68</v>
      </c>
      <c r="H93" s="56">
        <f t="shared" si="17"/>
        <v>0.83567999999999998</v>
      </c>
      <c r="I93" s="13">
        <f>G93*(1)</f>
        <v>835.68</v>
      </c>
    </row>
    <row r="94" spans="1:9" ht="31.5" customHeight="1">
      <c r="A94" s="29">
        <v>22</v>
      </c>
      <c r="B94" s="54" t="s">
        <v>186</v>
      </c>
      <c r="C94" s="29" t="s">
        <v>81</v>
      </c>
      <c r="D94" s="29" t="s">
        <v>189</v>
      </c>
      <c r="E94" s="17"/>
      <c r="F94" s="13">
        <v>40</v>
      </c>
      <c r="G94" s="13">
        <v>1272</v>
      </c>
      <c r="H94" s="56">
        <f t="shared" si="17"/>
        <v>50.88</v>
      </c>
      <c r="I94" s="13">
        <f>G94*40</f>
        <v>50880</v>
      </c>
    </row>
    <row r="95" spans="1:9" ht="15.75" customHeight="1">
      <c r="A95" s="29">
        <v>23</v>
      </c>
      <c r="B95" s="46" t="s">
        <v>171</v>
      </c>
      <c r="C95" s="49" t="s">
        <v>138</v>
      </c>
      <c r="D95" s="43"/>
      <c r="E95" s="13"/>
      <c r="F95" s="13">
        <v>1</v>
      </c>
      <c r="G95" s="13">
        <v>1008.38</v>
      </c>
      <c r="H95" s="56">
        <f t="shared" si="17"/>
        <v>1.0083800000000001</v>
      </c>
      <c r="I95" s="13">
        <f>G95</f>
        <v>1008.38</v>
      </c>
    </row>
    <row r="96" spans="1:9" ht="31.5" customHeight="1">
      <c r="A96" s="29">
        <v>24</v>
      </c>
      <c r="B96" s="54" t="s">
        <v>187</v>
      </c>
      <c r="C96" s="29" t="s">
        <v>81</v>
      </c>
      <c r="D96" s="29" t="s">
        <v>188</v>
      </c>
      <c r="E96" s="17"/>
      <c r="F96" s="13">
        <v>20</v>
      </c>
      <c r="G96" s="13">
        <v>1206</v>
      </c>
      <c r="H96" s="56">
        <f t="shared" si="17"/>
        <v>24.12</v>
      </c>
      <c r="I96" s="13">
        <f>G96*20</f>
        <v>24120</v>
      </c>
    </row>
    <row r="97" spans="1:9" ht="24" customHeight="1">
      <c r="A97" s="29" t="s">
        <v>227</v>
      </c>
      <c r="B97" s="46" t="s">
        <v>121</v>
      </c>
      <c r="C97" s="49" t="s">
        <v>106</v>
      </c>
      <c r="D97" s="14"/>
      <c r="E97" s="17"/>
      <c r="F97" s="13">
        <v>90</v>
      </c>
      <c r="G97" s="13">
        <v>55.55</v>
      </c>
      <c r="H97" s="56">
        <f t="shared" si="17"/>
        <v>4.9995000000000003</v>
      </c>
      <c r="I97" s="13">
        <f>G97*45</f>
        <v>2499.75</v>
      </c>
    </row>
    <row r="98" spans="1:9" ht="16.5" customHeight="1">
      <c r="A98" s="29"/>
      <c r="B98" s="41" t="s">
        <v>52</v>
      </c>
      <c r="C98" s="37"/>
      <c r="D98" s="44"/>
      <c r="E98" s="37">
        <v>1</v>
      </c>
      <c r="F98" s="37"/>
      <c r="G98" s="37"/>
      <c r="H98" s="37"/>
      <c r="I98" s="31">
        <f>I96+I95+I94+I93+I92+I91</f>
        <v>80626.28</v>
      </c>
    </row>
    <row r="99" spans="1:9" ht="15.75" customHeight="1">
      <c r="A99" s="29"/>
      <c r="B99" s="43" t="s">
        <v>78</v>
      </c>
      <c r="C99" s="15"/>
      <c r="D99" s="15"/>
      <c r="E99" s="38"/>
      <c r="F99" s="38"/>
      <c r="G99" s="39"/>
      <c r="H99" s="39"/>
      <c r="I99" s="16">
        <v>0</v>
      </c>
    </row>
    <row r="100" spans="1:9" ht="15.75" customHeight="1">
      <c r="A100" s="45"/>
      <c r="B100" s="42" t="s">
        <v>148</v>
      </c>
      <c r="C100" s="32"/>
      <c r="D100" s="32"/>
      <c r="E100" s="32"/>
      <c r="F100" s="32"/>
      <c r="G100" s="32"/>
      <c r="H100" s="32"/>
      <c r="I100" s="40">
        <f>I89+I98</f>
        <v>138065.05999333333</v>
      </c>
    </row>
    <row r="101" spans="1:9" ht="15.75" customHeight="1">
      <c r="A101" s="191" t="s">
        <v>228</v>
      </c>
      <c r="B101" s="192"/>
      <c r="C101" s="192"/>
      <c r="D101" s="192"/>
      <c r="E101" s="192"/>
      <c r="F101" s="192"/>
      <c r="G101" s="192"/>
      <c r="H101" s="192"/>
      <c r="I101" s="192"/>
    </row>
    <row r="102" spans="1:9" ht="15.75" customHeight="1">
      <c r="A102" s="166" t="s">
        <v>285</v>
      </c>
      <c r="B102" s="166"/>
      <c r="C102" s="166"/>
      <c r="D102" s="166"/>
      <c r="E102" s="166"/>
      <c r="F102" s="166"/>
      <c r="G102" s="166"/>
      <c r="H102" s="166"/>
      <c r="I102" s="166"/>
    </row>
    <row r="103" spans="1:9" ht="15.75">
      <c r="A103" s="50"/>
      <c r="B103" s="167" t="s">
        <v>286</v>
      </c>
      <c r="C103" s="167"/>
      <c r="D103" s="167"/>
      <c r="E103" s="167"/>
      <c r="F103" s="167"/>
      <c r="G103" s="167"/>
      <c r="H103" s="53"/>
      <c r="I103" s="3"/>
    </row>
    <row r="104" spans="1:9">
      <c r="A104" s="69"/>
      <c r="B104" s="168" t="s">
        <v>6</v>
      </c>
      <c r="C104" s="168"/>
      <c r="D104" s="168"/>
      <c r="E104" s="168"/>
      <c r="F104" s="168"/>
      <c r="G104" s="168"/>
      <c r="H104" s="24"/>
      <c r="I104" s="5"/>
    </row>
    <row r="105" spans="1:9" ht="15.75" customHeight="1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 customHeight="1">
      <c r="A106" s="169" t="s">
        <v>7</v>
      </c>
      <c r="B106" s="169"/>
      <c r="C106" s="169"/>
      <c r="D106" s="169"/>
      <c r="E106" s="169"/>
      <c r="F106" s="169"/>
      <c r="G106" s="169"/>
      <c r="H106" s="169"/>
      <c r="I106" s="169"/>
    </row>
    <row r="107" spans="1:9" ht="15.75">
      <c r="A107" s="169" t="s">
        <v>8</v>
      </c>
      <c r="B107" s="169"/>
      <c r="C107" s="169"/>
      <c r="D107" s="169"/>
      <c r="E107" s="169"/>
      <c r="F107" s="169"/>
      <c r="G107" s="169"/>
      <c r="H107" s="169"/>
      <c r="I107" s="169"/>
    </row>
    <row r="108" spans="1:9" ht="15.75">
      <c r="A108" s="170" t="s">
        <v>61</v>
      </c>
      <c r="B108" s="170"/>
      <c r="C108" s="170"/>
      <c r="D108" s="170"/>
      <c r="E108" s="170"/>
      <c r="F108" s="170"/>
      <c r="G108" s="170"/>
      <c r="H108" s="170"/>
      <c r="I108" s="170"/>
    </row>
    <row r="109" spans="1:9" ht="15.75">
      <c r="A109" s="177"/>
      <c r="B109" s="178"/>
    </row>
    <row r="110" spans="1:9" ht="15.75">
      <c r="A110" s="171" t="s">
        <v>9</v>
      </c>
      <c r="B110" s="171"/>
      <c r="C110" s="171"/>
      <c r="D110" s="171"/>
      <c r="E110" s="171"/>
      <c r="F110" s="171"/>
      <c r="G110" s="171"/>
      <c r="H110" s="171"/>
      <c r="I110" s="171"/>
    </row>
    <row r="111" spans="1:9" ht="15.75" customHeight="1">
      <c r="A111" s="4"/>
    </row>
    <row r="112" spans="1:9" ht="15.75">
      <c r="B112" s="71" t="s">
        <v>10</v>
      </c>
      <c r="C112" s="172" t="s">
        <v>132</v>
      </c>
      <c r="D112" s="172"/>
      <c r="E112" s="172"/>
      <c r="F112" s="51"/>
      <c r="I112" s="72"/>
    </row>
    <row r="113" spans="1:9">
      <c r="A113" s="69"/>
      <c r="C113" s="168" t="s">
        <v>11</v>
      </c>
      <c r="D113" s="168"/>
      <c r="E113" s="168"/>
      <c r="F113" s="24"/>
      <c r="I113" s="70" t="s">
        <v>12</v>
      </c>
    </row>
    <row r="114" spans="1:9" ht="15.75" customHeight="1">
      <c r="A114" s="25"/>
      <c r="C114" s="12"/>
      <c r="D114" s="12"/>
      <c r="G114" s="12"/>
      <c r="H114" s="12"/>
    </row>
    <row r="115" spans="1:9" ht="15.75" customHeight="1">
      <c r="B115" s="71" t="s">
        <v>13</v>
      </c>
      <c r="C115" s="173"/>
      <c r="D115" s="173"/>
      <c r="E115" s="173"/>
      <c r="F115" s="52"/>
      <c r="I115" s="72"/>
    </row>
    <row r="116" spans="1:9" ht="15.75" customHeight="1">
      <c r="A116" s="69"/>
      <c r="C116" s="162" t="s">
        <v>11</v>
      </c>
      <c r="D116" s="162"/>
      <c r="E116" s="162"/>
      <c r="F116" s="69"/>
      <c r="I116" s="70" t="s">
        <v>12</v>
      </c>
    </row>
    <row r="117" spans="1:9" ht="15.75">
      <c r="A117" s="4" t="s">
        <v>14</v>
      </c>
    </row>
    <row r="118" spans="1:9">
      <c r="A118" s="195" t="s">
        <v>15</v>
      </c>
      <c r="B118" s="195"/>
      <c r="C118" s="195"/>
      <c r="D118" s="195"/>
      <c r="E118" s="195"/>
      <c r="F118" s="195"/>
      <c r="G118" s="195"/>
      <c r="H118" s="195"/>
      <c r="I118" s="195"/>
    </row>
    <row r="119" spans="1:9" ht="45" customHeight="1">
      <c r="A119" s="196" t="s">
        <v>16</v>
      </c>
      <c r="B119" s="196"/>
      <c r="C119" s="196"/>
      <c r="D119" s="196"/>
      <c r="E119" s="196"/>
      <c r="F119" s="196"/>
      <c r="G119" s="196"/>
      <c r="H119" s="196"/>
      <c r="I119" s="196"/>
    </row>
    <row r="120" spans="1:9" ht="30" customHeight="1">
      <c r="A120" s="196" t="s">
        <v>17</v>
      </c>
      <c r="B120" s="196"/>
      <c r="C120" s="196"/>
      <c r="D120" s="196"/>
      <c r="E120" s="196"/>
      <c r="F120" s="196"/>
      <c r="G120" s="196"/>
      <c r="H120" s="196"/>
      <c r="I120" s="196"/>
    </row>
    <row r="121" spans="1:9" ht="30" customHeight="1">
      <c r="A121" s="196" t="s">
        <v>21</v>
      </c>
      <c r="B121" s="196"/>
      <c r="C121" s="196"/>
      <c r="D121" s="196"/>
      <c r="E121" s="196"/>
      <c r="F121" s="196"/>
      <c r="G121" s="196"/>
      <c r="H121" s="196"/>
      <c r="I121" s="196"/>
    </row>
    <row r="122" spans="1:9" ht="15" customHeight="1">
      <c r="A122" s="196" t="s">
        <v>20</v>
      </c>
      <c r="B122" s="196"/>
      <c r="C122" s="196"/>
      <c r="D122" s="196"/>
      <c r="E122" s="196"/>
      <c r="F122" s="196"/>
      <c r="G122" s="196"/>
      <c r="H122" s="196"/>
      <c r="I122" s="196"/>
    </row>
    <row r="128" spans="1:9" ht="30">
      <c r="B128" s="137" t="s">
        <v>257</v>
      </c>
      <c r="C128" s="193">
        <f>72094.8</f>
        <v>72094.8</v>
      </c>
      <c r="D128" s="193"/>
      <c r="E128" s="193"/>
      <c r="F128" s="193"/>
    </row>
    <row r="129" spans="2:6" ht="30">
      <c r="B129" s="137" t="s">
        <v>258</v>
      </c>
      <c r="C129" s="193">
        <f>I100-I98</f>
        <v>57438.77999333333</v>
      </c>
      <c r="D129" s="193"/>
      <c r="E129" s="193"/>
      <c r="F129" s="193"/>
    </row>
    <row r="130" spans="2:6" ht="30">
      <c r="B130" s="137" t="s">
        <v>259</v>
      </c>
      <c r="C130" s="193">
        <f>I98</f>
        <v>80626.28</v>
      </c>
      <c r="D130" s="193"/>
      <c r="E130" s="193"/>
      <c r="F130" s="193"/>
    </row>
    <row r="131" spans="2:6">
      <c r="B131" s="137" t="s">
        <v>260</v>
      </c>
      <c r="C131" s="193">
        <f>76292.04</f>
        <v>76292.039999999994</v>
      </c>
      <c r="D131" s="193"/>
      <c r="E131" s="193"/>
      <c r="F131" s="193"/>
    </row>
    <row r="132" spans="2:6" ht="47.25">
      <c r="B132" s="139" t="s">
        <v>261</v>
      </c>
      <c r="C132" s="194">
        <v>224889.35</v>
      </c>
      <c r="D132" s="194"/>
      <c r="E132" s="194"/>
      <c r="F132" s="194"/>
    </row>
    <row r="133" spans="2:6" ht="30">
      <c r="B133" s="137" t="s">
        <v>262</v>
      </c>
      <c r="C133" s="189">
        <f>C129+C130-C128</f>
        <v>65970.259993333326</v>
      </c>
      <c r="D133" s="190"/>
      <c r="E133" s="190"/>
      <c r="F133" s="190"/>
    </row>
  </sheetData>
  <autoFilter ref="I12:I59"/>
  <mergeCells count="37">
    <mergeCell ref="C133:F133"/>
    <mergeCell ref="A101:I101"/>
    <mergeCell ref="C128:F128"/>
    <mergeCell ref="C129:F129"/>
    <mergeCell ref="C130:F130"/>
    <mergeCell ref="C131:F131"/>
    <mergeCell ref="C132:F132"/>
    <mergeCell ref="A118:I118"/>
    <mergeCell ref="A119:I119"/>
    <mergeCell ref="A120:I120"/>
    <mergeCell ref="A121:I121"/>
    <mergeCell ref="A122:I122"/>
    <mergeCell ref="A14:I14"/>
    <mergeCell ref="A15:I15"/>
    <mergeCell ref="A29:I29"/>
    <mergeCell ref="A47:I47"/>
    <mergeCell ref="A58:I58"/>
    <mergeCell ref="A3:I3"/>
    <mergeCell ref="A4:I4"/>
    <mergeCell ref="A5:I5"/>
    <mergeCell ref="A8:I8"/>
    <mergeCell ref="A10:I10"/>
    <mergeCell ref="R64:U64"/>
    <mergeCell ref="C116:E116"/>
    <mergeCell ref="A90:I90"/>
    <mergeCell ref="A102:I102"/>
    <mergeCell ref="B103:G103"/>
    <mergeCell ref="B104:G104"/>
    <mergeCell ref="A106:I106"/>
    <mergeCell ref="A107:I107"/>
    <mergeCell ref="A108:I108"/>
    <mergeCell ref="A110:I110"/>
    <mergeCell ref="C112:E112"/>
    <mergeCell ref="C113:E113"/>
    <mergeCell ref="C115:E115"/>
    <mergeCell ref="A86:I86"/>
    <mergeCell ref="A109:B109"/>
  </mergeCells>
  <pageMargins left="0.70866141732283472" right="0.70866141732283472" top="0.27559055118110237" bottom="0.27559055118110237" header="0.31496062992125984" footer="0.31496062992125984"/>
  <pageSetup paperSize="9" scale="57" orientation="portrait" r:id="rId1"/>
  <rowBreaks count="1" manualBreakCount="1">
    <brk id="116" max="8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123"/>
  <sheetViews>
    <sheetView view="pageBreakPreview" topLeftCell="A97" zoomScale="60" workbookViewId="0">
      <selection activeCell="G136" sqref="G136"/>
    </sheetView>
  </sheetViews>
  <sheetFormatPr defaultRowHeight="15"/>
  <cols>
    <col min="1" max="1" width="11.140625" customWidth="1"/>
    <col min="2" max="2" width="45.42578125" customWidth="1"/>
    <col min="3" max="3" width="18.85546875" customWidth="1"/>
    <col min="4" max="4" width="18" customWidth="1"/>
    <col min="5" max="6" width="0" hidden="1" customWidth="1"/>
    <col min="7" max="7" width="17.5703125" customWidth="1"/>
    <col min="8" max="8" width="0" hidden="1" customWidth="1"/>
    <col min="9" max="9" width="17.5703125" customWidth="1"/>
  </cols>
  <sheetData>
    <row r="1" spans="1:9" ht="15.75">
      <c r="A1" s="27" t="s">
        <v>298</v>
      </c>
      <c r="I1" s="26"/>
    </row>
    <row r="2" spans="1:9" ht="15.75">
      <c r="A2" s="28" t="s">
        <v>62</v>
      </c>
    </row>
    <row r="3" spans="1:9" ht="15.75">
      <c r="A3" s="179" t="s">
        <v>345</v>
      </c>
      <c r="B3" s="179"/>
      <c r="C3" s="179"/>
      <c r="D3" s="179"/>
      <c r="E3" s="179"/>
      <c r="F3" s="179"/>
      <c r="G3" s="179"/>
      <c r="H3" s="179"/>
      <c r="I3" s="179"/>
    </row>
    <row r="4" spans="1:9" ht="31.5" customHeight="1">
      <c r="A4" s="180" t="s">
        <v>128</v>
      </c>
      <c r="B4" s="180"/>
      <c r="C4" s="180"/>
      <c r="D4" s="180"/>
      <c r="E4" s="180"/>
      <c r="F4" s="180"/>
      <c r="G4" s="180"/>
      <c r="H4" s="180"/>
      <c r="I4" s="180"/>
    </row>
    <row r="5" spans="1:9" ht="15.75">
      <c r="A5" s="179" t="s">
        <v>346</v>
      </c>
      <c r="B5" s="181"/>
      <c r="C5" s="181"/>
      <c r="D5" s="181"/>
      <c r="E5" s="181"/>
      <c r="F5" s="181"/>
      <c r="G5" s="181"/>
      <c r="H5" s="181"/>
      <c r="I5" s="181"/>
    </row>
    <row r="6" spans="1:9" ht="15.75">
      <c r="A6" s="2"/>
      <c r="B6" s="161"/>
      <c r="C6" s="161"/>
      <c r="D6" s="161"/>
      <c r="E6" s="161"/>
      <c r="F6" s="161"/>
      <c r="G6" s="161"/>
      <c r="H6" s="161"/>
      <c r="I6" s="125">
        <v>43404</v>
      </c>
    </row>
    <row r="7" spans="1:9" ht="15.75">
      <c r="B7" s="159"/>
      <c r="C7" s="159"/>
      <c r="D7" s="159"/>
      <c r="E7" s="3"/>
      <c r="F7" s="3"/>
      <c r="G7" s="3"/>
      <c r="H7" s="3"/>
    </row>
    <row r="8" spans="1:9" ht="87" customHeight="1">
      <c r="A8" s="182" t="s">
        <v>300</v>
      </c>
      <c r="B8" s="182"/>
      <c r="C8" s="182"/>
      <c r="D8" s="182"/>
      <c r="E8" s="182"/>
      <c r="F8" s="182"/>
      <c r="G8" s="182"/>
      <c r="H8" s="182"/>
      <c r="I8" s="182"/>
    </row>
    <row r="9" spans="1:9" ht="15.75">
      <c r="A9" s="4"/>
    </row>
    <row r="10" spans="1:9" ht="63.75" customHeight="1">
      <c r="A10" s="183" t="s">
        <v>143</v>
      </c>
      <c r="B10" s="183"/>
      <c r="C10" s="183"/>
      <c r="D10" s="183"/>
      <c r="E10" s="183"/>
      <c r="F10" s="183"/>
      <c r="G10" s="183"/>
      <c r="H10" s="183"/>
      <c r="I10" s="183"/>
    </row>
    <row r="11" spans="1:9" ht="15.75">
      <c r="A11" s="4"/>
    </row>
    <row r="12" spans="1:9" ht="60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84" t="s">
        <v>59</v>
      </c>
      <c r="B14" s="184"/>
      <c r="C14" s="184"/>
      <c r="D14" s="184"/>
      <c r="E14" s="184"/>
      <c r="F14" s="184"/>
      <c r="G14" s="184"/>
      <c r="H14" s="184"/>
      <c r="I14" s="184"/>
    </row>
    <row r="15" spans="1:9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</row>
    <row r="16" spans="1:9" ht="19.5" customHeight="1">
      <c r="A16" s="29">
        <v>1</v>
      </c>
      <c r="B16" s="75" t="s">
        <v>86</v>
      </c>
      <c r="C16" s="76" t="s">
        <v>87</v>
      </c>
      <c r="D16" s="75" t="s">
        <v>233</v>
      </c>
      <c r="E16" s="77">
        <v>49.72</v>
      </c>
      <c r="F16" s="78">
        <f>SUM(E16*156/100)</f>
        <v>77.563199999999995</v>
      </c>
      <c r="G16" s="78">
        <v>230</v>
      </c>
      <c r="H16" s="79">
        <f t="shared" ref="H16:H25" si="0">SUM(F16*G16/1000)</f>
        <v>17.839535999999999</v>
      </c>
      <c r="I16" s="13">
        <f>F16/12*G16</f>
        <v>1486.6279999999999</v>
      </c>
    </row>
    <row r="17" spans="1:9" ht="27.75" customHeight="1">
      <c r="A17" s="29">
        <v>2</v>
      </c>
      <c r="B17" s="75" t="s">
        <v>288</v>
      </c>
      <c r="C17" s="76" t="s">
        <v>87</v>
      </c>
      <c r="D17" s="75" t="s">
        <v>301</v>
      </c>
      <c r="E17" s="77">
        <v>198.88</v>
      </c>
      <c r="F17" s="78">
        <f>SUM(E17*104/100)</f>
        <v>206.83520000000001</v>
      </c>
      <c r="G17" s="78">
        <v>230</v>
      </c>
      <c r="H17" s="79">
        <f t="shared" si="0"/>
        <v>47.572096000000002</v>
      </c>
      <c r="I17" s="13">
        <f>206.8352/12*G17</f>
        <v>3964.3413333333328</v>
      </c>
    </row>
    <row r="18" spans="1:9" ht="27.75" customHeight="1">
      <c r="A18" s="29">
        <v>3</v>
      </c>
      <c r="B18" s="75" t="s">
        <v>115</v>
      </c>
      <c r="C18" s="76" t="s">
        <v>87</v>
      </c>
      <c r="D18" s="75" t="s">
        <v>209</v>
      </c>
      <c r="E18" s="77">
        <v>248.6</v>
      </c>
      <c r="F18" s="78">
        <f>SUM(E18*24/100)</f>
        <v>59.663999999999994</v>
      </c>
      <c r="G18" s="78">
        <v>661.67</v>
      </c>
      <c r="H18" s="79">
        <f t="shared" si="0"/>
        <v>39.477878879999999</v>
      </c>
      <c r="I18" s="13">
        <f>F18/12*G18</f>
        <v>3289.8232399999993</v>
      </c>
    </row>
    <row r="19" spans="1:9" hidden="1">
      <c r="A19" s="29">
        <v>4</v>
      </c>
      <c r="B19" s="75" t="s">
        <v>94</v>
      </c>
      <c r="C19" s="76" t="s">
        <v>95</v>
      </c>
      <c r="D19" s="75" t="s">
        <v>96</v>
      </c>
      <c r="E19" s="77">
        <v>18.48</v>
      </c>
      <c r="F19" s="78">
        <f>SUM(E19/10)</f>
        <v>1.8480000000000001</v>
      </c>
      <c r="G19" s="78">
        <v>223.17</v>
      </c>
      <c r="H19" s="79">
        <f t="shared" si="0"/>
        <v>0.41241815999999998</v>
      </c>
      <c r="I19" s="13">
        <f>1.848*G19</f>
        <v>412.41816</v>
      </c>
    </row>
    <row r="20" spans="1:9" ht="16.5" customHeight="1">
      <c r="A20" s="29">
        <v>4</v>
      </c>
      <c r="B20" s="75" t="s">
        <v>97</v>
      </c>
      <c r="C20" s="76" t="s">
        <v>87</v>
      </c>
      <c r="D20" s="75" t="s">
        <v>230</v>
      </c>
      <c r="E20" s="77">
        <v>10.5</v>
      </c>
      <c r="F20" s="78">
        <f>SUM(E20*12/100)</f>
        <v>1.26</v>
      </c>
      <c r="G20" s="78">
        <v>285.76</v>
      </c>
      <c r="H20" s="79">
        <f t="shared" si="0"/>
        <v>0.36005759999999998</v>
      </c>
      <c r="I20" s="13">
        <f>F20/12*G20</f>
        <v>30.004799999999999</v>
      </c>
    </row>
    <row r="21" spans="1:9" hidden="1">
      <c r="A21" s="29">
        <v>5</v>
      </c>
      <c r="B21" s="75" t="s">
        <v>98</v>
      </c>
      <c r="C21" s="76" t="s">
        <v>87</v>
      </c>
      <c r="D21" s="75" t="s">
        <v>42</v>
      </c>
      <c r="E21" s="77">
        <v>3</v>
      </c>
      <c r="F21" s="78">
        <f>SUM(E21*2/100)</f>
        <v>0.06</v>
      </c>
      <c r="G21" s="78">
        <v>283.44</v>
      </c>
      <c r="H21" s="79">
        <f t="shared" si="0"/>
        <v>1.7006399999999998E-2</v>
      </c>
      <c r="I21" s="13">
        <f>0.03*G21</f>
        <v>8.5031999999999996</v>
      </c>
    </row>
    <row r="22" spans="1:9" hidden="1">
      <c r="A22" s="29">
        <v>7</v>
      </c>
      <c r="B22" s="75" t="s">
        <v>99</v>
      </c>
      <c r="C22" s="76" t="s">
        <v>53</v>
      </c>
      <c r="D22" s="75" t="s">
        <v>96</v>
      </c>
      <c r="E22" s="77">
        <v>267.75</v>
      </c>
      <c r="F22" s="78">
        <f>SUM(E22/100)</f>
        <v>2.6775000000000002</v>
      </c>
      <c r="G22" s="78">
        <v>353.14</v>
      </c>
      <c r="H22" s="79">
        <f t="shared" si="0"/>
        <v>0.94553235000000002</v>
      </c>
      <c r="I22" s="13">
        <f>2.6775*G22</f>
        <v>945.53235000000006</v>
      </c>
    </row>
    <row r="23" spans="1:9" hidden="1">
      <c r="A23" s="29">
        <v>8</v>
      </c>
      <c r="B23" s="75" t="s">
        <v>100</v>
      </c>
      <c r="C23" s="76" t="s">
        <v>53</v>
      </c>
      <c r="D23" s="75" t="s">
        <v>96</v>
      </c>
      <c r="E23" s="80">
        <v>36.229999999999997</v>
      </c>
      <c r="F23" s="78">
        <f>SUM(E23/100)</f>
        <v>0.36229999999999996</v>
      </c>
      <c r="G23" s="78">
        <v>58.08</v>
      </c>
      <c r="H23" s="79">
        <f t="shared" si="0"/>
        <v>2.1042383999999997E-2</v>
      </c>
      <c r="I23" s="13">
        <f>0.3623*G23</f>
        <v>21.042383999999998</v>
      </c>
    </row>
    <row r="24" spans="1:9" hidden="1">
      <c r="A24" s="29">
        <v>9</v>
      </c>
      <c r="B24" s="75" t="s">
        <v>101</v>
      </c>
      <c r="C24" s="76" t="s">
        <v>53</v>
      </c>
      <c r="D24" s="75" t="s">
        <v>54</v>
      </c>
      <c r="E24" s="77">
        <v>15</v>
      </c>
      <c r="F24" s="78">
        <f>SUM(E24/100)</f>
        <v>0.15</v>
      </c>
      <c r="G24" s="78">
        <v>511.12</v>
      </c>
      <c r="H24" s="79">
        <f t="shared" si="0"/>
        <v>7.6667999999999986E-2</v>
      </c>
      <c r="I24" s="13">
        <f>0.15*G24</f>
        <v>76.667999999999992</v>
      </c>
    </row>
    <row r="25" spans="1:9" hidden="1">
      <c r="A25" s="29">
        <v>10</v>
      </c>
      <c r="B25" s="75" t="s">
        <v>102</v>
      </c>
      <c r="C25" s="76" t="s">
        <v>53</v>
      </c>
      <c r="D25" s="75" t="s">
        <v>54</v>
      </c>
      <c r="E25" s="77">
        <v>6.38</v>
      </c>
      <c r="F25" s="78">
        <f>SUM(E25/100)</f>
        <v>6.3799999999999996E-2</v>
      </c>
      <c r="G25" s="78">
        <v>683.05</v>
      </c>
      <c r="H25" s="79">
        <f t="shared" si="0"/>
        <v>4.3578589999999993E-2</v>
      </c>
      <c r="I25" s="13">
        <f>0.0638*G25</f>
        <v>43.578589999999991</v>
      </c>
    </row>
    <row r="26" spans="1:9" ht="30" hidden="1">
      <c r="A26" s="29">
        <v>11</v>
      </c>
      <c r="B26" s="75" t="s">
        <v>122</v>
      </c>
      <c r="C26" s="76" t="s">
        <v>53</v>
      </c>
      <c r="D26" s="75" t="s">
        <v>54</v>
      </c>
      <c r="E26" s="77">
        <v>14.25</v>
      </c>
      <c r="F26" s="78">
        <v>0.14000000000000001</v>
      </c>
      <c r="G26" s="78">
        <v>283.44</v>
      </c>
      <c r="H26" s="79">
        <f>G26*F26/1000</f>
        <v>3.9681600000000004E-2</v>
      </c>
      <c r="I26" s="13">
        <f>0.14*G26</f>
        <v>39.681600000000003</v>
      </c>
    </row>
    <row r="27" spans="1:9" ht="21" customHeight="1">
      <c r="A27" s="29">
        <v>5</v>
      </c>
      <c r="B27" s="75" t="s">
        <v>64</v>
      </c>
      <c r="C27" s="76" t="s">
        <v>33</v>
      </c>
      <c r="D27" s="75" t="s">
        <v>63</v>
      </c>
      <c r="E27" s="82">
        <v>0.1</v>
      </c>
      <c r="F27" s="78">
        <f>SUM(E27*155)</f>
        <v>15.5</v>
      </c>
      <c r="G27" s="78">
        <v>264.85000000000002</v>
      </c>
      <c r="H27" s="79">
        <f>SUM(F27*G27/1000)</f>
        <v>4.105175</v>
      </c>
      <c r="I27" s="13">
        <f>F27/12*G27</f>
        <v>342.09791666666672</v>
      </c>
    </row>
    <row r="28" spans="1:9">
      <c r="A28" s="29">
        <v>6</v>
      </c>
      <c r="B28" s="83" t="s">
        <v>23</v>
      </c>
      <c r="C28" s="76" t="s">
        <v>24</v>
      </c>
      <c r="D28" s="83" t="s">
        <v>136</v>
      </c>
      <c r="E28" s="77">
        <v>2626.5</v>
      </c>
      <c r="F28" s="78">
        <f>SUM(E28*12)</f>
        <v>31518</v>
      </c>
      <c r="G28" s="78">
        <v>3.36</v>
      </c>
      <c r="H28" s="79">
        <f>SUM(F28*G28/1000)</f>
        <v>105.90048</v>
      </c>
      <c r="I28" s="13">
        <f t="shared" ref="I28" si="1">F28/12*G28</f>
        <v>8825.0399999999991</v>
      </c>
    </row>
    <row r="29" spans="1:9">
      <c r="A29" s="185" t="s">
        <v>84</v>
      </c>
      <c r="B29" s="185"/>
      <c r="C29" s="185"/>
      <c r="D29" s="185"/>
      <c r="E29" s="185"/>
      <c r="F29" s="185"/>
      <c r="G29" s="185"/>
      <c r="H29" s="185"/>
      <c r="I29" s="185"/>
    </row>
    <row r="30" spans="1:9" ht="17.25" customHeight="1">
      <c r="A30" s="29"/>
      <c r="B30" s="106" t="s">
        <v>28</v>
      </c>
      <c r="C30" s="76"/>
      <c r="D30" s="75"/>
      <c r="E30" s="77"/>
      <c r="F30" s="78"/>
      <c r="G30" s="78"/>
      <c r="H30" s="79"/>
      <c r="I30" s="13"/>
    </row>
    <row r="31" spans="1:9" ht="16.5" customHeight="1">
      <c r="A31" s="29">
        <v>7</v>
      </c>
      <c r="B31" s="75" t="s">
        <v>104</v>
      </c>
      <c r="C31" s="76" t="s">
        <v>89</v>
      </c>
      <c r="D31" s="75" t="s">
        <v>149</v>
      </c>
      <c r="E31" s="78">
        <v>665</v>
      </c>
      <c r="F31" s="78">
        <f>SUM(E31*52/1000)</f>
        <v>34.58</v>
      </c>
      <c r="G31" s="78">
        <v>204.44</v>
      </c>
      <c r="H31" s="79">
        <f t="shared" ref="H31:H36" si="2">SUM(F31*G31/1000)</f>
        <v>7.0695351999999989</v>
      </c>
      <c r="I31" s="13">
        <f t="shared" ref="I31:I32" si="3">F31/6*G31</f>
        <v>1178.2558666666666</v>
      </c>
    </row>
    <row r="32" spans="1:9" ht="50.25" customHeight="1">
      <c r="A32" s="29">
        <v>8</v>
      </c>
      <c r="B32" s="75" t="s">
        <v>117</v>
      </c>
      <c r="C32" s="76" t="s">
        <v>89</v>
      </c>
      <c r="D32" s="75" t="s">
        <v>150</v>
      </c>
      <c r="E32" s="78">
        <v>81.5</v>
      </c>
      <c r="F32" s="78">
        <f>SUM(E32*78/1000)</f>
        <v>6.3570000000000002</v>
      </c>
      <c r="G32" s="78">
        <v>339.21</v>
      </c>
      <c r="H32" s="79">
        <f t="shared" si="2"/>
        <v>2.1563579700000002</v>
      </c>
      <c r="I32" s="13">
        <f t="shared" si="3"/>
        <v>359.39299500000004</v>
      </c>
    </row>
    <row r="33" spans="1:9" ht="17.25" customHeight="1">
      <c r="A33" s="29">
        <v>9</v>
      </c>
      <c r="B33" s="75" t="s">
        <v>116</v>
      </c>
      <c r="C33" s="76" t="s">
        <v>40</v>
      </c>
      <c r="D33" s="75" t="s">
        <v>63</v>
      </c>
      <c r="E33" s="78">
        <v>3</v>
      </c>
      <c r="F33" s="78">
        <f>E33*155/100</f>
        <v>4.6500000000000004</v>
      </c>
      <c r="G33" s="78">
        <v>1707.63</v>
      </c>
      <c r="H33" s="79">
        <f>G33*F33/1000</f>
        <v>7.9404795000000012</v>
      </c>
      <c r="I33" s="13">
        <f>F33/6*G33</f>
        <v>1323.4132500000001</v>
      </c>
    </row>
    <row r="34" spans="1:9" ht="18" customHeight="1">
      <c r="A34" s="29">
        <v>10</v>
      </c>
      <c r="B34" s="75" t="s">
        <v>103</v>
      </c>
      <c r="C34" s="76" t="s">
        <v>31</v>
      </c>
      <c r="D34" s="75" t="s">
        <v>63</v>
      </c>
      <c r="E34" s="81">
        <f>1/3</f>
        <v>0.33333333333333331</v>
      </c>
      <c r="F34" s="78">
        <f>155/3</f>
        <v>51.666666666666664</v>
      </c>
      <c r="G34" s="78">
        <v>74.349999999999994</v>
      </c>
      <c r="H34" s="79">
        <f>SUM(G34*155/3/1000)</f>
        <v>3.8414166666666665</v>
      </c>
      <c r="I34" s="13">
        <f>F34/6*G34</f>
        <v>640.23611111111109</v>
      </c>
    </row>
    <row r="35" spans="1:9" hidden="1">
      <c r="A35" s="29"/>
      <c r="B35" s="75" t="s">
        <v>65</v>
      </c>
      <c r="C35" s="76" t="s">
        <v>33</v>
      </c>
      <c r="D35" s="75" t="s">
        <v>67</v>
      </c>
      <c r="E35" s="77"/>
      <c r="F35" s="78">
        <v>1</v>
      </c>
      <c r="G35" s="78">
        <v>250.92</v>
      </c>
      <c r="H35" s="79">
        <f t="shared" si="2"/>
        <v>0.25091999999999998</v>
      </c>
      <c r="I35" s="13">
        <v>0</v>
      </c>
    </row>
    <row r="36" spans="1:9" hidden="1">
      <c r="A36" s="29"/>
      <c r="B36" s="75" t="s">
        <v>66</v>
      </c>
      <c r="C36" s="76" t="s">
        <v>32</v>
      </c>
      <c r="D36" s="75" t="s">
        <v>67</v>
      </c>
      <c r="E36" s="77"/>
      <c r="F36" s="78">
        <v>1</v>
      </c>
      <c r="G36" s="78">
        <v>1490.31</v>
      </c>
      <c r="H36" s="79">
        <f t="shared" si="2"/>
        <v>1.49031</v>
      </c>
      <c r="I36" s="13">
        <v>0</v>
      </c>
    </row>
    <row r="37" spans="1:9" hidden="1">
      <c r="A37" s="29"/>
      <c r="B37" s="106" t="s">
        <v>5</v>
      </c>
      <c r="C37" s="76"/>
      <c r="D37" s="75"/>
      <c r="E37" s="77"/>
      <c r="F37" s="78"/>
      <c r="G37" s="78"/>
      <c r="H37" s="79" t="s">
        <v>136</v>
      </c>
      <c r="I37" s="13"/>
    </row>
    <row r="38" spans="1:9" hidden="1">
      <c r="A38" s="29">
        <v>7</v>
      </c>
      <c r="B38" s="84" t="s">
        <v>26</v>
      </c>
      <c r="C38" s="76" t="s">
        <v>32</v>
      </c>
      <c r="D38" s="75"/>
      <c r="E38" s="77"/>
      <c r="F38" s="78">
        <v>5</v>
      </c>
      <c r="G38" s="78">
        <v>2003</v>
      </c>
      <c r="H38" s="79">
        <f t="shared" ref="H38:H45" si="4">SUM(F38*G38/1000)</f>
        <v>10.015000000000001</v>
      </c>
      <c r="I38" s="13">
        <f t="shared" ref="I38:I42" si="5">F38/6*G38</f>
        <v>1669.1666666666667</v>
      </c>
    </row>
    <row r="39" spans="1:9" ht="30" hidden="1">
      <c r="A39" s="29">
        <v>8</v>
      </c>
      <c r="B39" s="84" t="s">
        <v>105</v>
      </c>
      <c r="C39" s="85" t="s">
        <v>29</v>
      </c>
      <c r="D39" s="75" t="s">
        <v>123</v>
      </c>
      <c r="E39" s="77">
        <v>81.5</v>
      </c>
      <c r="F39" s="86">
        <f>E39*30/1000</f>
        <v>2.4449999999999998</v>
      </c>
      <c r="G39" s="78">
        <v>2757.78</v>
      </c>
      <c r="H39" s="79">
        <f t="shared" si="4"/>
        <v>6.7427720999999998</v>
      </c>
      <c r="I39" s="13">
        <f t="shared" si="5"/>
        <v>1123.7953500000001</v>
      </c>
    </row>
    <row r="40" spans="1:9" ht="30" hidden="1">
      <c r="A40" s="29">
        <v>9</v>
      </c>
      <c r="B40" s="75" t="s">
        <v>68</v>
      </c>
      <c r="C40" s="76" t="s">
        <v>29</v>
      </c>
      <c r="D40" s="75" t="s">
        <v>88</v>
      </c>
      <c r="E40" s="78">
        <v>81.5</v>
      </c>
      <c r="F40" s="86">
        <f>SUM(E40*155/1000)</f>
        <v>12.6325</v>
      </c>
      <c r="G40" s="78">
        <v>460.02</v>
      </c>
      <c r="H40" s="79">
        <f t="shared" si="4"/>
        <v>5.8112026500000002</v>
      </c>
      <c r="I40" s="13">
        <f t="shared" si="5"/>
        <v>968.53377499999999</v>
      </c>
    </row>
    <row r="41" spans="1:9" hidden="1">
      <c r="A41" s="29"/>
      <c r="B41" s="75" t="s">
        <v>118</v>
      </c>
      <c r="C41" s="76" t="s">
        <v>119</v>
      </c>
      <c r="D41" s="75" t="s">
        <v>67</v>
      </c>
      <c r="E41" s="77"/>
      <c r="F41" s="86">
        <v>26</v>
      </c>
      <c r="G41" s="78">
        <v>314</v>
      </c>
      <c r="H41" s="79">
        <f t="shared" si="4"/>
        <v>8.1639999999999997</v>
      </c>
      <c r="I41" s="13">
        <v>0</v>
      </c>
    </row>
    <row r="42" spans="1:9" ht="60" hidden="1">
      <c r="A42" s="29">
        <v>10</v>
      </c>
      <c r="B42" s="75" t="s">
        <v>82</v>
      </c>
      <c r="C42" s="76" t="s">
        <v>89</v>
      </c>
      <c r="D42" s="75" t="s">
        <v>124</v>
      </c>
      <c r="E42" s="78">
        <v>81.5</v>
      </c>
      <c r="F42" s="86">
        <f>SUM(E42*35/1000)</f>
        <v>2.8525</v>
      </c>
      <c r="G42" s="78">
        <v>7611.16</v>
      </c>
      <c r="H42" s="79">
        <f t="shared" si="4"/>
        <v>21.710833900000001</v>
      </c>
      <c r="I42" s="13">
        <f t="shared" si="5"/>
        <v>3618.4723166666663</v>
      </c>
    </row>
    <row r="43" spans="1:9" hidden="1">
      <c r="A43" s="29">
        <v>11</v>
      </c>
      <c r="B43" s="75" t="s">
        <v>90</v>
      </c>
      <c r="C43" s="76" t="s">
        <v>89</v>
      </c>
      <c r="D43" s="75" t="s">
        <v>69</v>
      </c>
      <c r="E43" s="78">
        <v>81.5</v>
      </c>
      <c r="F43" s="86">
        <f>SUM(E43*45/1000)</f>
        <v>3.6675</v>
      </c>
      <c r="G43" s="78">
        <v>562.25</v>
      </c>
      <c r="H43" s="79">
        <f t="shared" si="4"/>
        <v>2.0620518750000003</v>
      </c>
      <c r="I43" s="13">
        <f>(F43/7.5*1.5)*G43</f>
        <v>412.41037500000004</v>
      </c>
    </row>
    <row r="44" spans="1:9" hidden="1">
      <c r="A44" s="29">
        <v>12</v>
      </c>
      <c r="B44" s="84" t="s">
        <v>70</v>
      </c>
      <c r="C44" s="85" t="s">
        <v>33</v>
      </c>
      <c r="D44" s="84"/>
      <c r="E44" s="82"/>
      <c r="F44" s="86">
        <v>0.9</v>
      </c>
      <c r="G44" s="86">
        <v>974.83</v>
      </c>
      <c r="H44" s="79">
        <f t="shared" si="4"/>
        <v>0.8773470000000001</v>
      </c>
      <c r="I44" s="13">
        <f>(F44/7.5*1.5)*G44</f>
        <v>175.46940000000004</v>
      </c>
    </row>
    <row r="45" spans="1:9" ht="30" hidden="1">
      <c r="A45" s="29">
        <v>13</v>
      </c>
      <c r="B45" s="47" t="s">
        <v>156</v>
      </c>
      <c r="C45" s="48" t="s">
        <v>29</v>
      </c>
      <c r="D45" s="84" t="s">
        <v>157</v>
      </c>
      <c r="E45" s="82">
        <v>2.4</v>
      </c>
      <c r="F45" s="86">
        <f>SUM(E45*12/1000)</f>
        <v>2.8799999999999996E-2</v>
      </c>
      <c r="G45" s="86">
        <v>260.2</v>
      </c>
      <c r="H45" s="79">
        <f t="shared" si="4"/>
        <v>7.4937599999999986E-3</v>
      </c>
      <c r="I45" s="13">
        <f>F45/6*G45</f>
        <v>1.2489599999999998</v>
      </c>
    </row>
    <row r="46" spans="1:9">
      <c r="A46" s="186" t="s">
        <v>129</v>
      </c>
      <c r="B46" s="187"/>
      <c r="C46" s="187"/>
      <c r="D46" s="187"/>
      <c r="E46" s="187"/>
      <c r="F46" s="187"/>
      <c r="G46" s="187"/>
      <c r="H46" s="187"/>
      <c r="I46" s="188"/>
    </row>
    <row r="47" spans="1:9" hidden="1">
      <c r="A47" s="29">
        <v>12</v>
      </c>
      <c r="B47" s="75" t="s">
        <v>125</v>
      </c>
      <c r="C47" s="76" t="s">
        <v>89</v>
      </c>
      <c r="D47" s="75" t="s">
        <v>206</v>
      </c>
      <c r="E47" s="77">
        <v>1080</v>
      </c>
      <c r="F47" s="78">
        <f>SUM(E47*2/1000)</f>
        <v>2.16</v>
      </c>
      <c r="G47" s="33">
        <v>1172.4100000000001</v>
      </c>
      <c r="H47" s="79">
        <f t="shared" ref="H47:H55" si="6">SUM(F47*G47/1000)</f>
        <v>2.5324056000000006</v>
      </c>
      <c r="I47" s="13">
        <f t="shared" ref="I47:I50" si="7">F47/2*G47</f>
        <v>1266.2028000000003</v>
      </c>
    </row>
    <row r="48" spans="1:9" hidden="1">
      <c r="A48" s="29">
        <v>13</v>
      </c>
      <c r="B48" s="75" t="s">
        <v>35</v>
      </c>
      <c r="C48" s="76" t="s">
        <v>89</v>
      </c>
      <c r="D48" s="75" t="s">
        <v>206</v>
      </c>
      <c r="E48" s="77">
        <v>39</v>
      </c>
      <c r="F48" s="78">
        <f>SUM(E48*2/1000)</f>
        <v>7.8E-2</v>
      </c>
      <c r="G48" s="33">
        <v>4419.05</v>
      </c>
      <c r="H48" s="79">
        <f t="shared" si="6"/>
        <v>0.34468589999999999</v>
      </c>
      <c r="I48" s="13">
        <f t="shared" si="7"/>
        <v>172.34295</v>
      </c>
    </row>
    <row r="49" spans="1:9" hidden="1">
      <c r="A49" s="29">
        <v>14</v>
      </c>
      <c r="B49" s="75" t="s">
        <v>36</v>
      </c>
      <c r="C49" s="76" t="s">
        <v>89</v>
      </c>
      <c r="D49" s="75" t="s">
        <v>231</v>
      </c>
      <c r="E49" s="77">
        <v>1037</v>
      </c>
      <c r="F49" s="78">
        <f>SUM(E49*2/1000)</f>
        <v>2.0739999999999998</v>
      </c>
      <c r="G49" s="33">
        <v>1803.69</v>
      </c>
      <c r="H49" s="79">
        <f t="shared" si="6"/>
        <v>3.7408530600000001</v>
      </c>
      <c r="I49" s="13">
        <f t="shared" si="7"/>
        <v>1870.42653</v>
      </c>
    </row>
    <row r="50" spans="1:9" hidden="1">
      <c r="A50" s="29">
        <v>15</v>
      </c>
      <c r="B50" s="75" t="s">
        <v>37</v>
      </c>
      <c r="C50" s="76" t="s">
        <v>89</v>
      </c>
      <c r="D50" s="75" t="s">
        <v>206</v>
      </c>
      <c r="E50" s="77">
        <v>2274</v>
      </c>
      <c r="F50" s="78">
        <f>SUM(E50*2/1000)</f>
        <v>4.548</v>
      </c>
      <c r="G50" s="33">
        <v>1243.43</v>
      </c>
      <c r="H50" s="79">
        <f t="shared" si="6"/>
        <v>5.6551196399999997</v>
      </c>
      <c r="I50" s="13">
        <f t="shared" si="7"/>
        <v>2827.5598199999999</v>
      </c>
    </row>
    <row r="51" spans="1:9" hidden="1">
      <c r="A51" s="29">
        <v>16</v>
      </c>
      <c r="B51" s="75" t="s">
        <v>34</v>
      </c>
      <c r="C51" s="76" t="s">
        <v>53</v>
      </c>
      <c r="D51" s="75" t="s">
        <v>206</v>
      </c>
      <c r="E51" s="77">
        <v>83.04</v>
      </c>
      <c r="F51" s="78">
        <v>1.66</v>
      </c>
      <c r="G51" s="33">
        <v>1352.76</v>
      </c>
      <c r="H51" s="79">
        <f>SUM(F51*G51/1000)</f>
        <v>2.2455816</v>
      </c>
      <c r="I51" s="13">
        <f>F51/2*G51</f>
        <v>1122.7908</v>
      </c>
    </row>
    <row r="52" spans="1:9" hidden="1">
      <c r="A52" s="29">
        <v>17</v>
      </c>
      <c r="B52" s="75" t="s">
        <v>329</v>
      </c>
      <c r="C52" s="76" t="s">
        <v>89</v>
      </c>
      <c r="D52" s="75" t="s">
        <v>206</v>
      </c>
      <c r="E52" s="77">
        <v>2626.5</v>
      </c>
      <c r="F52" s="78">
        <f>SUM(E52*5/1000)</f>
        <v>13.1325</v>
      </c>
      <c r="G52" s="33">
        <v>1803.69</v>
      </c>
      <c r="H52" s="79">
        <f t="shared" ref="H52:H54" si="8">SUM(F52*G52/1000)</f>
        <v>23.686958925000003</v>
      </c>
      <c r="I52" s="13">
        <f>F52/5*G52</f>
        <v>4737.3917849999998</v>
      </c>
    </row>
    <row r="53" spans="1:9" ht="46.5" customHeight="1">
      <c r="A53" s="29">
        <v>11</v>
      </c>
      <c r="B53" s="75" t="s">
        <v>91</v>
      </c>
      <c r="C53" s="76" t="s">
        <v>89</v>
      </c>
      <c r="D53" s="75" t="s">
        <v>206</v>
      </c>
      <c r="E53" s="77">
        <v>2626.5</v>
      </c>
      <c r="F53" s="78">
        <f>SUM(E53*2/1000)</f>
        <v>5.2530000000000001</v>
      </c>
      <c r="G53" s="33">
        <v>1591.6</v>
      </c>
      <c r="H53" s="79">
        <f t="shared" si="8"/>
        <v>8.3606747999999982</v>
      </c>
      <c r="I53" s="13">
        <f>F53/2*G53</f>
        <v>4180.3373999999994</v>
      </c>
    </row>
    <row r="54" spans="1:9" ht="30" customHeight="1">
      <c r="A54" s="29">
        <v>12</v>
      </c>
      <c r="B54" s="75" t="s">
        <v>92</v>
      </c>
      <c r="C54" s="76" t="s">
        <v>38</v>
      </c>
      <c r="D54" s="75" t="s">
        <v>206</v>
      </c>
      <c r="E54" s="77">
        <v>15</v>
      </c>
      <c r="F54" s="78">
        <f>SUM(E54*2/100)</f>
        <v>0.3</v>
      </c>
      <c r="G54" s="33">
        <v>4058.32</v>
      </c>
      <c r="H54" s="79">
        <f t="shared" si="8"/>
        <v>1.2174960000000001</v>
      </c>
      <c r="I54" s="13">
        <f t="shared" ref="I54:I55" si="9">F54/2*G54</f>
        <v>608.74800000000005</v>
      </c>
    </row>
    <row r="55" spans="1:9" ht="16.5" customHeight="1">
      <c r="A55" s="29">
        <v>13</v>
      </c>
      <c r="B55" s="75" t="s">
        <v>39</v>
      </c>
      <c r="C55" s="76" t="s">
        <v>40</v>
      </c>
      <c r="D55" s="75" t="s">
        <v>206</v>
      </c>
      <c r="E55" s="77">
        <v>1</v>
      </c>
      <c r="F55" s="78">
        <v>0.02</v>
      </c>
      <c r="G55" s="33">
        <v>7412.92</v>
      </c>
      <c r="H55" s="79">
        <f t="shared" si="6"/>
        <v>0.14825839999999998</v>
      </c>
      <c r="I55" s="13">
        <f t="shared" si="9"/>
        <v>74.129199999999997</v>
      </c>
    </row>
    <row r="56" spans="1:9" hidden="1">
      <c r="A56" s="29">
        <v>11</v>
      </c>
      <c r="B56" s="75" t="s">
        <v>41</v>
      </c>
      <c r="C56" s="76" t="s">
        <v>106</v>
      </c>
      <c r="D56" s="75" t="s">
        <v>71</v>
      </c>
      <c r="E56" s="77">
        <v>90</v>
      </c>
      <c r="F56" s="78">
        <f>SUM(E56)*3</f>
        <v>270</v>
      </c>
      <c r="G56" s="74">
        <v>86.15</v>
      </c>
      <c r="H56" s="79">
        <f>SUM(F56*G56/1000)</f>
        <v>23.2605</v>
      </c>
      <c r="I56" s="13">
        <f>F56/3*G56</f>
        <v>7753.5000000000009</v>
      </c>
    </row>
    <row r="57" spans="1:9">
      <c r="A57" s="186" t="s">
        <v>130</v>
      </c>
      <c r="B57" s="187"/>
      <c r="C57" s="187"/>
      <c r="D57" s="187"/>
      <c r="E57" s="187"/>
      <c r="F57" s="187"/>
      <c r="G57" s="187"/>
      <c r="H57" s="187"/>
      <c r="I57" s="188"/>
    </row>
    <row r="58" spans="1:9" hidden="1">
      <c r="A58" s="29"/>
      <c r="B58" s="106" t="s">
        <v>43</v>
      </c>
      <c r="C58" s="76"/>
      <c r="D58" s="75"/>
      <c r="E58" s="77"/>
      <c r="F58" s="78"/>
      <c r="G58" s="78"/>
      <c r="H58" s="79"/>
      <c r="I58" s="13"/>
    </row>
    <row r="59" spans="1:9" ht="45" hidden="1">
      <c r="A59" s="29">
        <v>15</v>
      </c>
      <c r="B59" s="75" t="s">
        <v>195</v>
      </c>
      <c r="C59" s="76" t="s">
        <v>87</v>
      </c>
      <c r="D59" s="75" t="s">
        <v>107</v>
      </c>
      <c r="E59" s="77">
        <v>111</v>
      </c>
      <c r="F59" s="78">
        <f>SUM(E59*6/100)</f>
        <v>6.66</v>
      </c>
      <c r="G59" s="33">
        <v>2029.3</v>
      </c>
      <c r="H59" s="79">
        <f>SUM(F59*G59/1000)</f>
        <v>13.515138</v>
      </c>
      <c r="I59" s="13">
        <f>G59*0.76</f>
        <v>1542.268</v>
      </c>
    </row>
    <row r="60" spans="1:9" hidden="1">
      <c r="A60" s="29">
        <v>16</v>
      </c>
      <c r="B60" s="75" t="s">
        <v>194</v>
      </c>
      <c r="C60" s="76" t="s">
        <v>159</v>
      </c>
      <c r="D60" s="75" t="s">
        <v>67</v>
      </c>
      <c r="E60" s="77"/>
      <c r="F60" s="78">
        <v>3</v>
      </c>
      <c r="G60" s="33">
        <v>1582.05</v>
      </c>
      <c r="H60" s="79">
        <f>SUM(F60*G60/1000)</f>
        <v>4.7461499999999992</v>
      </c>
      <c r="I60" s="13">
        <f>G60*2</f>
        <v>3164.1</v>
      </c>
    </row>
    <row r="61" spans="1:9" ht="17.25" customHeight="1">
      <c r="A61" s="29"/>
      <c r="B61" s="107" t="s">
        <v>44</v>
      </c>
      <c r="C61" s="87"/>
      <c r="D61" s="88"/>
      <c r="E61" s="89"/>
      <c r="F61" s="90"/>
      <c r="G61" s="33"/>
      <c r="H61" s="91"/>
      <c r="I61" s="13"/>
    </row>
    <row r="62" spans="1:9" hidden="1">
      <c r="A62" s="29"/>
      <c r="B62" s="88" t="s">
        <v>45</v>
      </c>
      <c r="C62" s="87" t="s">
        <v>53</v>
      </c>
      <c r="D62" s="88" t="s">
        <v>54</v>
      </c>
      <c r="E62" s="89">
        <v>130</v>
      </c>
      <c r="F62" s="90">
        <f>E62/100</f>
        <v>1.3</v>
      </c>
      <c r="G62" s="33">
        <v>1040.8399999999999</v>
      </c>
      <c r="H62" s="91">
        <f>F62*G62/1000</f>
        <v>1.353092</v>
      </c>
      <c r="I62" s="13">
        <v>0</v>
      </c>
    </row>
    <row r="63" spans="1:9" ht="18.75" customHeight="1">
      <c r="A63" s="29">
        <v>14</v>
      </c>
      <c r="B63" s="88" t="s">
        <v>120</v>
      </c>
      <c r="C63" s="87" t="s">
        <v>25</v>
      </c>
      <c r="D63" s="88" t="s">
        <v>205</v>
      </c>
      <c r="E63" s="89">
        <v>130</v>
      </c>
      <c r="F63" s="92">
        <f>E63*12</f>
        <v>1560</v>
      </c>
      <c r="G63" s="93">
        <v>1.2</v>
      </c>
      <c r="H63" s="90">
        <f>F63*G63/1000</f>
        <v>1.8720000000000001</v>
      </c>
      <c r="I63" s="13">
        <f t="shared" ref="I63" si="10">F63/12*G63</f>
        <v>156</v>
      </c>
    </row>
    <row r="64" spans="1:9" hidden="1">
      <c r="A64" s="29"/>
      <c r="B64" s="108" t="s">
        <v>46</v>
      </c>
      <c r="C64" s="87"/>
      <c r="D64" s="88"/>
      <c r="E64" s="89"/>
      <c r="F64" s="92"/>
      <c r="G64" s="92"/>
      <c r="H64" s="90" t="s">
        <v>136</v>
      </c>
      <c r="I64" s="13"/>
    </row>
    <row r="65" spans="1:9" hidden="1">
      <c r="A65" s="29">
        <v>19</v>
      </c>
      <c r="B65" s="94" t="s">
        <v>47</v>
      </c>
      <c r="C65" s="95" t="s">
        <v>106</v>
      </c>
      <c r="D65" s="75" t="s">
        <v>67</v>
      </c>
      <c r="E65" s="16">
        <v>9</v>
      </c>
      <c r="F65" s="74">
        <f>SUM(E65)</f>
        <v>9</v>
      </c>
      <c r="G65" s="33">
        <v>291.68</v>
      </c>
      <c r="H65" s="68">
        <f t="shared" ref="H65:H83" si="11">SUM(F65*G65/1000)</f>
        <v>2.6251199999999999</v>
      </c>
      <c r="I65" s="13">
        <f>G65*2</f>
        <v>583.36</v>
      </c>
    </row>
    <row r="66" spans="1:9" hidden="1">
      <c r="A66" s="29"/>
      <c r="B66" s="94" t="s">
        <v>48</v>
      </c>
      <c r="C66" s="95" t="s">
        <v>106</v>
      </c>
      <c r="D66" s="75" t="s">
        <v>67</v>
      </c>
      <c r="E66" s="16">
        <v>4</v>
      </c>
      <c r="F66" s="74">
        <f>SUM(E66)</f>
        <v>4</v>
      </c>
      <c r="G66" s="33">
        <v>100.01</v>
      </c>
      <c r="H66" s="68">
        <f t="shared" si="11"/>
        <v>0.40004000000000001</v>
      </c>
      <c r="I66" s="13">
        <v>0</v>
      </c>
    </row>
    <row r="67" spans="1:9" hidden="1">
      <c r="A67" s="29">
        <v>29</v>
      </c>
      <c r="B67" s="94" t="s">
        <v>49</v>
      </c>
      <c r="C67" s="96" t="s">
        <v>108</v>
      </c>
      <c r="D67" s="35" t="s">
        <v>205</v>
      </c>
      <c r="E67" s="77">
        <v>13287</v>
      </c>
      <c r="F67" s="74">
        <f>SUM(E67/100)</f>
        <v>132.87</v>
      </c>
      <c r="G67" s="33">
        <v>278.24</v>
      </c>
      <c r="H67" s="68">
        <f t="shared" si="11"/>
        <v>36.969748799999998</v>
      </c>
      <c r="I67" s="13">
        <f>132.87*G67</f>
        <v>36969.748800000001</v>
      </c>
    </row>
    <row r="68" spans="1:9" hidden="1">
      <c r="A68" s="29">
        <v>30</v>
      </c>
      <c r="B68" s="94" t="s">
        <v>50</v>
      </c>
      <c r="C68" s="95" t="s">
        <v>109</v>
      </c>
      <c r="D68" s="35" t="s">
        <v>205</v>
      </c>
      <c r="E68" s="77">
        <v>13287</v>
      </c>
      <c r="F68" s="33">
        <f>SUM(E68/1000)</f>
        <v>13.287000000000001</v>
      </c>
      <c r="G68" s="33">
        <v>216.68</v>
      </c>
      <c r="H68" s="68">
        <f t="shared" si="11"/>
        <v>2.8790271600000001</v>
      </c>
      <c r="I68" s="13">
        <f>13.287*G68</f>
        <v>2879.0271600000001</v>
      </c>
    </row>
    <row r="69" spans="1:9" hidden="1">
      <c r="A69" s="29">
        <v>31</v>
      </c>
      <c r="B69" s="94" t="s">
        <v>51</v>
      </c>
      <c r="C69" s="95" t="s">
        <v>76</v>
      </c>
      <c r="D69" s="35" t="s">
        <v>205</v>
      </c>
      <c r="E69" s="77">
        <v>2110</v>
      </c>
      <c r="F69" s="33">
        <f>SUM(E69/100)</f>
        <v>21.1</v>
      </c>
      <c r="G69" s="33">
        <v>2720.94</v>
      </c>
      <c r="H69" s="68">
        <f>SUM(F69*G69/1000)</f>
        <v>57.411834000000006</v>
      </c>
      <c r="I69" s="13">
        <f>21.1*G69</f>
        <v>57411.834000000003</v>
      </c>
    </row>
    <row r="70" spans="1:9" hidden="1">
      <c r="A70" s="29">
        <v>32</v>
      </c>
      <c r="B70" s="97" t="s">
        <v>110</v>
      </c>
      <c r="C70" s="95" t="s">
        <v>33</v>
      </c>
      <c r="D70" s="35"/>
      <c r="E70" s="77">
        <v>8.6</v>
      </c>
      <c r="F70" s="33">
        <f>SUM(E70)</f>
        <v>8.6</v>
      </c>
      <c r="G70" s="33">
        <v>42.61</v>
      </c>
      <c r="H70" s="68">
        <f t="shared" si="11"/>
        <v>0.36644599999999999</v>
      </c>
      <c r="I70" s="13">
        <f>8.6*G70</f>
        <v>366.44599999999997</v>
      </c>
    </row>
    <row r="71" spans="1:9" hidden="1">
      <c r="A71" s="29">
        <v>33</v>
      </c>
      <c r="B71" s="97" t="s">
        <v>111</v>
      </c>
      <c r="C71" s="95" t="s">
        <v>33</v>
      </c>
      <c r="D71" s="35"/>
      <c r="E71" s="77">
        <v>8.6</v>
      </c>
      <c r="F71" s="33">
        <f>SUM(E71)</f>
        <v>8.6</v>
      </c>
      <c r="G71" s="33">
        <v>46.04</v>
      </c>
      <c r="H71" s="68">
        <f t="shared" si="11"/>
        <v>0.39594399999999996</v>
      </c>
      <c r="I71" s="13">
        <f>8.6*G71</f>
        <v>395.94399999999996</v>
      </c>
    </row>
    <row r="72" spans="1:9" hidden="1">
      <c r="A72" s="29">
        <v>19</v>
      </c>
      <c r="B72" s="35" t="s">
        <v>57</v>
      </c>
      <c r="C72" s="95" t="s">
        <v>58</v>
      </c>
      <c r="D72" s="35" t="s">
        <v>54</v>
      </c>
      <c r="E72" s="16">
        <v>3</v>
      </c>
      <c r="F72" s="33">
        <f>SUM(E72)</f>
        <v>3</v>
      </c>
      <c r="G72" s="33">
        <v>65.42</v>
      </c>
      <c r="H72" s="68">
        <f t="shared" si="11"/>
        <v>0.19625999999999999</v>
      </c>
      <c r="I72" s="13">
        <f>3*G72</f>
        <v>196.26</v>
      </c>
    </row>
    <row r="73" spans="1:9" ht="17.25" customHeight="1">
      <c r="A73" s="29"/>
      <c r="B73" s="109" t="s">
        <v>72</v>
      </c>
      <c r="C73" s="95"/>
      <c r="D73" s="35"/>
      <c r="E73" s="16"/>
      <c r="F73" s="33"/>
      <c r="G73" s="33"/>
      <c r="H73" s="68" t="s">
        <v>136</v>
      </c>
      <c r="I73" s="13"/>
    </row>
    <row r="74" spans="1:9" ht="30" hidden="1">
      <c r="A74" s="29"/>
      <c r="B74" s="35" t="s">
        <v>160</v>
      </c>
      <c r="C74" s="95" t="s">
        <v>106</v>
      </c>
      <c r="D74" s="75" t="s">
        <v>67</v>
      </c>
      <c r="E74" s="16">
        <v>1</v>
      </c>
      <c r="F74" s="33">
        <v>1</v>
      </c>
      <c r="G74" s="33">
        <v>1543.4</v>
      </c>
      <c r="H74" s="68">
        <f t="shared" ref="H74:H76" si="12">SUM(F74*G74/1000)</f>
        <v>1.5434000000000001</v>
      </c>
      <c r="I74" s="13">
        <v>0</v>
      </c>
    </row>
    <row r="75" spans="1:9" hidden="1">
      <c r="A75" s="29">
        <v>17</v>
      </c>
      <c r="B75" s="35" t="s">
        <v>73</v>
      </c>
      <c r="C75" s="95" t="s">
        <v>74</v>
      </c>
      <c r="D75" s="75" t="s">
        <v>67</v>
      </c>
      <c r="E75" s="16">
        <v>3</v>
      </c>
      <c r="F75" s="33">
        <f>E75/10</f>
        <v>0.3</v>
      </c>
      <c r="G75" s="33">
        <v>657.87</v>
      </c>
      <c r="H75" s="68">
        <f t="shared" si="12"/>
        <v>0.19736099999999998</v>
      </c>
      <c r="I75" s="13">
        <f>G75*0.9</f>
        <v>592.08299999999997</v>
      </c>
    </row>
    <row r="76" spans="1:9" hidden="1">
      <c r="A76" s="29"/>
      <c r="B76" s="35" t="s">
        <v>161</v>
      </c>
      <c r="C76" s="95" t="s">
        <v>106</v>
      </c>
      <c r="D76" s="75" t="s">
        <v>67</v>
      </c>
      <c r="E76" s="16">
        <v>2</v>
      </c>
      <c r="F76" s="78">
        <f>SUM(E76)</f>
        <v>2</v>
      </c>
      <c r="G76" s="33">
        <v>1118.72</v>
      </c>
      <c r="H76" s="68">
        <f t="shared" si="12"/>
        <v>2.2374399999999999</v>
      </c>
      <c r="I76" s="13">
        <v>0</v>
      </c>
    </row>
    <row r="77" spans="1:9" hidden="1">
      <c r="A77" s="29"/>
      <c r="B77" s="47" t="s">
        <v>162</v>
      </c>
      <c r="C77" s="48" t="s">
        <v>106</v>
      </c>
      <c r="D77" s="75" t="s">
        <v>67</v>
      </c>
      <c r="E77" s="16">
        <v>1</v>
      </c>
      <c r="F77" s="93">
        <v>1</v>
      </c>
      <c r="G77" s="33">
        <v>1605.83</v>
      </c>
      <c r="H77" s="68">
        <f>SUM(F77*G77/1000)</f>
        <v>1.6058299999999999</v>
      </c>
      <c r="I77" s="13">
        <v>0</v>
      </c>
    </row>
    <row r="78" spans="1:9" ht="32.25" customHeight="1">
      <c r="A78" s="29">
        <v>15</v>
      </c>
      <c r="B78" s="47" t="s">
        <v>163</v>
      </c>
      <c r="C78" s="48" t="s">
        <v>106</v>
      </c>
      <c r="D78" s="35" t="s">
        <v>205</v>
      </c>
      <c r="E78" s="98">
        <v>2</v>
      </c>
      <c r="F78" s="92">
        <f>E78*12</f>
        <v>24</v>
      </c>
      <c r="G78" s="99">
        <v>53.42</v>
      </c>
      <c r="H78" s="68">
        <f t="shared" ref="H78:H79" si="13">SUM(F78*G78/1000)</f>
        <v>1.2820799999999999</v>
      </c>
      <c r="I78" s="13">
        <f t="shared" ref="I78:I81" si="14">F78/12*G78</f>
        <v>106.84</v>
      </c>
    </row>
    <row r="79" spans="1:9" ht="18" customHeight="1">
      <c r="A79" s="29">
        <v>16</v>
      </c>
      <c r="B79" s="57" t="s">
        <v>164</v>
      </c>
      <c r="C79" s="95"/>
      <c r="D79" s="35" t="s">
        <v>205</v>
      </c>
      <c r="E79" s="16">
        <v>1</v>
      </c>
      <c r="F79" s="33">
        <v>12</v>
      </c>
      <c r="G79" s="33">
        <v>1194</v>
      </c>
      <c r="H79" s="68">
        <f t="shared" si="13"/>
        <v>14.327999999999999</v>
      </c>
      <c r="I79" s="13">
        <f t="shared" si="14"/>
        <v>1194</v>
      </c>
    </row>
    <row r="80" spans="1:9" ht="14.25" customHeight="1">
      <c r="A80" s="29"/>
      <c r="B80" s="110" t="s">
        <v>165</v>
      </c>
      <c r="C80" s="48"/>
      <c r="D80" s="35"/>
      <c r="E80" s="16"/>
      <c r="F80" s="33"/>
      <c r="G80" s="33"/>
      <c r="H80" s="68"/>
      <c r="I80" s="13"/>
    </row>
    <row r="81" spans="1:9" ht="21" customHeight="1">
      <c r="A81" s="29">
        <v>17</v>
      </c>
      <c r="B81" s="35" t="s">
        <v>166</v>
      </c>
      <c r="C81" s="100" t="s">
        <v>167</v>
      </c>
      <c r="D81" s="75" t="s">
        <v>206</v>
      </c>
      <c r="E81" s="16">
        <v>2626.5</v>
      </c>
      <c r="F81" s="33">
        <f>SUM(E81*12)</f>
        <v>31518</v>
      </c>
      <c r="G81" s="33">
        <v>2.2799999999999998</v>
      </c>
      <c r="H81" s="68">
        <f t="shared" ref="H81" si="15">SUM(F81*G81/1000)</f>
        <v>71.861039999999988</v>
      </c>
      <c r="I81" s="13">
        <f t="shared" si="14"/>
        <v>5988.4199999999992</v>
      </c>
    </row>
    <row r="82" spans="1:9" hidden="1">
      <c r="A82" s="29"/>
      <c r="B82" s="111" t="s">
        <v>75</v>
      </c>
      <c r="C82" s="95"/>
      <c r="D82" s="35"/>
      <c r="E82" s="16"/>
      <c r="F82" s="33"/>
      <c r="G82" s="33" t="s">
        <v>136</v>
      </c>
      <c r="H82" s="68" t="s">
        <v>136</v>
      </c>
      <c r="I82" s="13"/>
    </row>
    <row r="83" spans="1:9" hidden="1">
      <c r="A83" s="29"/>
      <c r="B83" s="101" t="s">
        <v>126</v>
      </c>
      <c r="C83" s="96" t="s">
        <v>76</v>
      </c>
      <c r="D83" s="94"/>
      <c r="E83" s="102"/>
      <c r="F83" s="74">
        <v>0.5</v>
      </c>
      <c r="G83" s="74">
        <v>3619.09</v>
      </c>
      <c r="H83" s="68">
        <f t="shared" si="11"/>
        <v>1.8095450000000002</v>
      </c>
      <c r="I83" s="13"/>
    </row>
    <row r="84" spans="1:9" ht="28.5" hidden="1">
      <c r="A84" s="29"/>
      <c r="B84" s="62" t="s">
        <v>93</v>
      </c>
      <c r="C84" s="13"/>
      <c r="D84" s="13"/>
      <c r="E84" s="13"/>
      <c r="F84" s="13"/>
      <c r="G84" s="13"/>
      <c r="H84" s="13"/>
      <c r="I84" s="13"/>
    </row>
    <row r="85" spans="1:9" hidden="1">
      <c r="A85" s="29"/>
      <c r="B85" s="75" t="s">
        <v>112</v>
      </c>
      <c r="C85" s="103"/>
      <c r="D85" s="104"/>
      <c r="E85" s="105"/>
      <c r="F85" s="34">
        <v>1</v>
      </c>
      <c r="G85" s="34">
        <v>8275.7000000000007</v>
      </c>
      <c r="H85" s="68">
        <f>G85*F85/1000</f>
        <v>8.2757000000000005</v>
      </c>
      <c r="I85" s="13"/>
    </row>
    <row r="86" spans="1:9">
      <c r="A86" s="174" t="s">
        <v>131</v>
      </c>
      <c r="B86" s="175"/>
      <c r="C86" s="175"/>
      <c r="D86" s="175"/>
      <c r="E86" s="175"/>
      <c r="F86" s="175"/>
      <c r="G86" s="175"/>
      <c r="H86" s="175"/>
      <c r="I86" s="176"/>
    </row>
    <row r="87" spans="1:9" ht="17.25" customHeight="1">
      <c r="A87" s="29">
        <v>18</v>
      </c>
      <c r="B87" s="75" t="s">
        <v>113</v>
      </c>
      <c r="C87" s="95" t="s">
        <v>55</v>
      </c>
      <c r="D87" s="61" t="s">
        <v>142</v>
      </c>
      <c r="E87" s="33">
        <v>2626.5</v>
      </c>
      <c r="F87" s="33">
        <f>SUM(E87*12)</f>
        <v>31518</v>
      </c>
      <c r="G87" s="33">
        <v>3.1</v>
      </c>
      <c r="H87" s="68">
        <f>SUM(F87*G87/1000)</f>
        <v>97.705799999999996</v>
      </c>
      <c r="I87" s="13">
        <f t="shared" ref="I87:I88" si="16">F87/12*G87</f>
        <v>8142.1500000000005</v>
      </c>
    </row>
    <row r="88" spans="1:9" ht="33.75" customHeight="1">
      <c r="A88" s="29">
        <v>19</v>
      </c>
      <c r="B88" s="35" t="s">
        <v>77</v>
      </c>
      <c r="C88" s="95"/>
      <c r="D88" s="61" t="s">
        <v>142</v>
      </c>
      <c r="E88" s="77">
        <f>E87</f>
        <v>2626.5</v>
      </c>
      <c r="F88" s="33">
        <f>E88*12</f>
        <v>31518</v>
      </c>
      <c r="G88" s="33">
        <v>3.5</v>
      </c>
      <c r="H88" s="68">
        <f>F88*G88/1000</f>
        <v>110.313</v>
      </c>
      <c r="I88" s="13">
        <f t="shared" si="16"/>
        <v>9192.75</v>
      </c>
    </row>
    <row r="89" spans="1:9">
      <c r="A89" s="29"/>
      <c r="B89" s="36" t="s">
        <v>80</v>
      </c>
      <c r="C89" s="59"/>
      <c r="D89" s="58"/>
      <c r="E89" s="55"/>
      <c r="F89" s="55"/>
      <c r="G89" s="55"/>
      <c r="H89" s="60">
        <f>H79</f>
        <v>14.327999999999999</v>
      </c>
      <c r="I89" s="55">
        <f>I88+I87+I81+I79+I78+I63+I55+I54+I53+I34+I33+I32+I31+I28+I27+I20+I18+I17+I16</f>
        <v>51082.608112777772</v>
      </c>
    </row>
    <row r="90" spans="1:9">
      <c r="A90" s="163" t="s">
        <v>60</v>
      </c>
      <c r="B90" s="164"/>
      <c r="C90" s="164"/>
      <c r="D90" s="164"/>
      <c r="E90" s="164"/>
      <c r="F90" s="164"/>
      <c r="G90" s="164"/>
      <c r="H90" s="164"/>
      <c r="I90" s="165"/>
    </row>
    <row r="91" spans="1:9" ht="28.5" customHeight="1">
      <c r="A91" s="29" t="s">
        <v>351</v>
      </c>
      <c r="B91" s="46" t="s">
        <v>121</v>
      </c>
      <c r="C91" s="49" t="s">
        <v>106</v>
      </c>
      <c r="D91" s="14"/>
      <c r="E91" s="17"/>
      <c r="F91" s="13">
        <v>135</v>
      </c>
      <c r="G91" s="13">
        <v>55.55</v>
      </c>
      <c r="H91" s="56">
        <f t="shared" ref="H91:H92" si="17">G91*F91/1000</f>
        <v>7.49925</v>
      </c>
      <c r="I91" s="13">
        <f>G91*46</f>
        <v>2555.2999999999997</v>
      </c>
    </row>
    <row r="92" spans="1:9">
      <c r="A92" s="29">
        <v>21</v>
      </c>
      <c r="B92" s="112" t="s">
        <v>168</v>
      </c>
      <c r="C92" s="113" t="s">
        <v>106</v>
      </c>
      <c r="D92" s="35"/>
      <c r="E92" s="16"/>
      <c r="F92" s="33">
        <v>1</v>
      </c>
      <c r="G92" s="33">
        <v>324.01</v>
      </c>
      <c r="H92" s="68">
        <f t="shared" si="17"/>
        <v>0.32400999999999996</v>
      </c>
      <c r="I92" s="13">
        <f>G92*1</f>
        <v>324.01</v>
      </c>
    </row>
    <row r="93" spans="1:9" ht="30">
      <c r="A93" s="29">
        <v>22</v>
      </c>
      <c r="B93" s="54" t="s">
        <v>347</v>
      </c>
      <c r="C93" s="29" t="s">
        <v>81</v>
      </c>
      <c r="D93" s="35"/>
      <c r="E93" s="16"/>
      <c r="F93" s="33"/>
      <c r="G93" s="13">
        <v>1187</v>
      </c>
      <c r="H93" s="68"/>
      <c r="I93" s="13">
        <f>G93*2</f>
        <v>2374</v>
      </c>
    </row>
    <row r="94" spans="1:9" ht="30">
      <c r="A94" s="29">
        <v>23</v>
      </c>
      <c r="B94" s="46" t="s">
        <v>170</v>
      </c>
      <c r="C94" s="49" t="s">
        <v>138</v>
      </c>
      <c r="D94" s="35"/>
      <c r="E94" s="16"/>
      <c r="F94" s="33"/>
      <c r="G94" s="13">
        <v>835.68</v>
      </c>
      <c r="H94" s="68"/>
      <c r="I94" s="13">
        <f>G94*1</f>
        <v>835.68</v>
      </c>
    </row>
    <row r="95" spans="1:9">
      <c r="A95" s="29">
        <v>24</v>
      </c>
      <c r="B95" s="54" t="s">
        <v>348</v>
      </c>
      <c r="C95" s="29" t="s">
        <v>106</v>
      </c>
      <c r="D95" s="35"/>
      <c r="E95" s="16"/>
      <c r="F95" s="33"/>
      <c r="G95" s="13">
        <v>5.43</v>
      </c>
      <c r="H95" s="68"/>
      <c r="I95" s="13">
        <f>G95*4</f>
        <v>21.72</v>
      </c>
    </row>
    <row r="96" spans="1:9">
      <c r="A96" s="29">
        <v>25</v>
      </c>
      <c r="B96" s="54" t="s">
        <v>349</v>
      </c>
      <c r="C96" s="29" t="s">
        <v>106</v>
      </c>
      <c r="D96" s="35"/>
      <c r="E96" s="16"/>
      <c r="F96" s="33"/>
      <c r="G96" s="13">
        <v>89.92</v>
      </c>
      <c r="H96" s="68"/>
      <c r="I96" s="13">
        <f>G96*2</f>
        <v>179.84</v>
      </c>
    </row>
    <row r="97" spans="1:9">
      <c r="A97" s="29">
        <v>26</v>
      </c>
      <c r="B97" s="54" t="s">
        <v>333</v>
      </c>
      <c r="C97" s="29" t="s">
        <v>106</v>
      </c>
      <c r="D97" s="35"/>
      <c r="E97" s="16"/>
      <c r="F97" s="33"/>
      <c r="G97" s="13">
        <v>169.27</v>
      </c>
      <c r="H97" s="68"/>
      <c r="I97" s="13">
        <f>G97*2</f>
        <v>338.54</v>
      </c>
    </row>
    <row r="98" spans="1:9">
      <c r="A98" s="29">
        <v>27</v>
      </c>
      <c r="B98" s="54" t="s">
        <v>350</v>
      </c>
      <c r="C98" s="29" t="s">
        <v>106</v>
      </c>
      <c r="D98" s="35"/>
      <c r="E98" s="16"/>
      <c r="F98" s="33"/>
      <c r="G98" s="13">
        <v>5.42</v>
      </c>
      <c r="H98" s="68"/>
      <c r="I98" s="13">
        <f>G98*6</f>
        <v>32.519999999999996</v>
      </c>
    </row>
    <row r="99" spans="1:9" ht="16.5" customHeight="1">
      <c r="A99" s="29"/>
      <c r="B99" s="41" t="s">
        <v>52</v>
      </c>
      <c r="C99" s="37"/>
      <c r="D99" s="44"/>
      <c r="E99" s="37">
        <v>1</v>
      </c>
      <c r="F99" s="37"/>
      <c r="G99" s="37"/>
      <c r="H99" s="37"/>
      <c r="I99" s="31">
        <f>SUM(I92:I98)</f>
        <v>4106.3100000000004</v>
      </c>
    </row>
    <row r="100" spans="1:9">
      <c r="A100" s="29"/>
      <c r="B100" s="43" t="s">
        <v>78</v>
      </c>
      <c r="C100" s="15"/>
      <c r="D100" s="15"/>
      <c r="E100" s="38"/>
      <c r="F100" s="38"/>
      <c r="G100" s="39"/>
      <c r="H100" s="39"/>
      <c r="I100" s="16">
        <v>0</v>
      </c>
    </row>
    <row r="101" spans="1:9">
      <c r="A101" s="45"/>
      <c r="B101" s="42" t="s">
        <v>148</v>
      </c>
      <c r="C101" s="32"/>
      <c r="D101" s="32"/>
      <c r="E101" s="32"/>
      <c r="F101" s="32"/>
      <c r="G101" s="32"/>
      <c r="H101" s="32"/>
      <c r="I101" s="40">
        <f>I89+I99</f>
        <v>55188.91811277777</v>
      </c>
    </row>
    <row r="102" spans="1:9">
      <c r="A102" s="191" t="s">
        <v>352</v>
      </c>
      <c r="B102" s="192"/>
      <c r="C102" s="192"/>
      <c r="D102" s="192"/>
      <c r="E102" s="192"/>
      <c r="F102" s="192"/>
      <c r="G102" s="192"/>
      <c r="H102" s="192"/>
      <c r="I102" s="192"/>
    </row>
    <row r="103" spans="1:9" ht="15.75">
      <c r="A103" s="166" t="s">
        <v>353</v>
      </c>
      <c r="B103" s="166"/>
      <c r="C103" s="166"/>
      <c r="D103" s="166"/>
      <c r="E103" s="166"/>
      <c r="F103" s="166"/>
      <c r="G103" s="166"/>
      <c r="H103" s="166"/>
      <c r="I103" s="166"/>
    </row>
    <row r="104" spans="1:9" ht="15.75">
      <c r="A104" s="50"/>
      <c r="B104" s="167" t="s">
        <v>354</v>
      </c>
      <c r="C104" s="167"/>
      <c r="D104" s="167"/>
      <c r="E104" s="167"/>
      <c r="F104" s="167"/>
      <c r="G104" s="167"/>
      <c r="H104" s="53"/>
      <c r="I104" s="3"/>
    </row>
    <row r="105" spans="1:9">
      <c r="A105" s="157"/>
      <c r="B105" s="168" t="s">
        <v>6</v>
      </c>
      <c r="C105" s="168"/>
      <c r="D105" s="168"/>
      <c r="E105" s="168"/>
      <c r="F105" s="168"/>
      <c r="G105" s="168"/>
      <c r="H105" s="24"/>
      <c r="I105" s="5"/>
    </row>
    <row r="106" spans="1:9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>
      <c r="A107" s="169" t="s">
        <v>7</v>
      </c>
      <c r="B107" s="169"/>
      <c r="C107" s="169"/>
      <c r="D107" s="169"/>
      <c r="E107" s="169"/>
      <c r="F107" s="169"/>
      <c r="G107" s="169"/>
      <c r="H107" s="169"/>
      <c r="I107" s="169"/>
    </row>
    <row r="108" spans="1:9" ht="15.75">
      <c r="A108" s="169" t="s">
        <v>8</v>
      </c>
      <c r="B108" s="169"/>
      <c r="C108" s="169"/>
      <c r="D108" s="169"/>
      <c r="E108" s="169"/>
      <c r="F108" s="169"/>
      <c r="G108" s="169"/>
      <c r="H108" s="169"/>
      <c r="I108" s="169"/>
    </row>
    <row r="109" spans="1:9" ht="15.75">
      <c r="A109" s="170" t="s">
        <v>61</v>
      </c>
      <c r="B109" s="170"/>
      <c r="C109" s="170"/>
      <c r="D109" s="170"/>
      <c r="E109" s="170"/>
      <c r="F109" s="170"/>
      <c r="G109" s="170"/>
      <c r="H109" s="170"/>
      <c r="I109" s="170"/>
    </row>
    <row r="110" spans="1:9" ht="15.75">
      <c r="A110" s="11"/>
    </row>
    <row r="111" spans="1:9" ht="15.75">
      <c r="A111" s="171" t="s">
        <v>9</v>
      </c>
      <c r="B111" s="171"/>
      <c r="C111" s="171"/>
      <c r="D111" s="171"/>
      <c r="E111" s="171"/>
      <c r="F111" s="171"/>
      <c r="G111" s="171"/>
      <c r="H111" s="171"/>
      <c r="I111" s="171"/>
    </row>
    <row r="112" spans="1:9" ht="15.75">
      <c r="A112" s="4"/>
    </row>
    <row r="113" spans="1:9" ht="15.75">
      <c r="B113" s="159" t="s">
        <v>10</v>
      </c>
      <c r="C113" s="172" t="s">
        <v>132</v>
      </c>
      <c r="D113" s="172"/>
      <c r="E113" s="172"/>
      <c r="F113" s="51"/>
      <c r="I113" s="160"/>
    </row>
    <row r="114" spans="1:9">
      <c r="A114" s="157"/>
      <c r="C114" s="168" t="s">
        <v>11</v>
      </c>
      <c r="D114" s="168"/>
      <c r="E114" s="168"/>
      <c r="F114" s="24"/>
      <c r="I114" s="158" t="s">
        <v>12</v>
      </c>
    </row>
    <row r="115" spans="1:9" ht="15.75">
      <c r="A115" s="25"/>
      <c r="C115" s="12"/>
      <c r="D115" s="12"/>
      <c r="G115" s="12"/>
      <c r="H115" s="12"/>
    </row>
    <row r="116" spans="1:9" ht="15.75">
      <c r="B116" s="159" t="s">
        <v>13</v>
      </c>
      <c r="C116" s="173"/>
      <c r="D116" s="173"/>
      <c r="E116" s="173"/>
      <c r="F116" s="52"/>
      <c r="I116" s="160"/>
    </row>
    <row r="117" spans="1:9">
      <c r="A117" s="157"/>
      <c r="C117" s="162" t="s">
        <v>11</v>
      </c>
      <c r="D117" s="162"/>
      <c r="E117" s="162"/>
      <c r="F117" s="157"/>
      <c r="I117" s="158" t="s">
        <v>12</v>
      </c>
    </row>
    <row r="118" spans="1:9" ht="15.75">
      <c r="A118" s="4" t="s">
        <v>14</v>
      </c>
    </row>
    <row r="119" spans="1:9">
      <c r="A119" s="195" t="s">
        <v>15</v>
      </c>
      <c r="B119" s="195"/>
      <c r="C119" s="195"/>
      <c r="D119" s="195"/>
      <c r="E119" s="195"/>
      <c r="F119" s="195"/>
      <c r="G119" s="195"/>
      <c r="H119" s="195"/>
      <c r="I119" s="195"/>
    </row>
    <row r="120" spans="1:9" ht="48.75" customHeight="1">
      <c r="A120" s="196" t="s">
        <v>16</v>
      </c>
      <c r="B120" s="196"/>
      <c r="C120" s="196"/>
      <c r="D120" s="196"/>
      <c r="E120" s="196"/>
      <c r="F120" s="196"/>
      <c r="G120" s="196"/>
      <c r="H120" s="196"/>
      <c r="I120" s="196"/>
    </row>
    <row r="121" spans="1:9" ht="40.5" customHeight="1">
      <c r="A121" s="196" t="s">
        <v>17</v>
      </c>
      <c r="B121" s="196"/>
      <c r="C121" s="196"/>
      <c r="D121" s="196"/>
      <c r="E121" s="196"/>
      <c r="F121" s="196"/>
      <c r="G121" s="196"/>
      <c r="H121" s="196"/>
      <c r="I121" s="196"/>
    </row>
    <row r="122" spans="1:9" ht="34.5" customHeight="1">
      <c r="A122" s="196" t="s">
        <v>21</v>
      </c>
      <c r="B122" s="196"/>
      <c r="C122" s="196"/>
      <c r="D122" s="196"/>
      <c r="E122" s="196"/>
      <c r="F122" s="196"/>
      <c r="G122" s="196"/>
      <c r="H122" s="196"/>
      <c r="I122" s="196"/>
    </row>
    <row r="123" spans="1:9" ht="15.75">
      <c r="A123" s="196" t="s">
        <v>20</v>
      </c>
      <c r="B123" s="196"/>
      <c r="C123" s="196"/>
      <c r="D123" s="196"/>
      <c r="E123" s="196"/>
      <c r="F123" s="196"/>
      <c r="G123" s="196"/>
      <c r="H123" s="196"/>
      <c r="I123" s="196"/>
    </row>
  </sheetData>
  <mergeCells count="29">
    <mergeCell ref="A14:I14"/>
    <mergeCell ref="A3:I3"/>
    <mergeCell ref="A4:I4"/>
    <mergeCell ref="A5:I5"/>
    <mergeCell ref="A8:I8"/>
    <mergeCell ref="A10:I10"/>
    <mergeCell ref="A108:I108"/>
    <mergeCell ref="A15:I15"/>
    <mergeCell ref="A29:I29"/>
    <mergeCell ref="A46:I46"/>
    <mergeCell ref="A57:I57"/>
    <mergeCell ref="A86:I86"/>
    <mergeCell ref="A90:I90"/>
    <mergeCell ref="A102:I102"/>
    <mergeCell ref="A103:I103"/>
    <mergeCell ref="B104:G104"/>
    <mergeCell ref="B105:G105"/>
    <mergeCell ref="A107:I107"/>
    <mergeCell ref="A109:I109"/>
    <mergeCell ref="A111:I111"/>
    <mergeCell ref="C113:E113"/>
    <mergeCell ref="C114:E114"/>
    <mergeCell ref="C116:E116"/>
    <mergeCell ref="C117:E117"/>
    <mergeCell ref="A119:I119"/>
    <mergeCell ref="A120:I120"/>
    <mergeCell ref="A121:I121"/>
    <mergeCell ref="A122:I122"/>
    <mergeCell ref="A123:I123"/>
  </mergeCells>
  <pageMargins left="0.70866141732283472" right="0.70866141732283472" top="0.74803149606299213" bottom="0.74803149606299213" header="0.31496062992125984" footer="0.31496062992125984"/>
  <pageSetup paperSize="9" scale="67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125"/>
  <sheetViews>
    <sheetView topLeftCell="A114" workbookViewId="0">
      <selection activeCell="K103" sqref="K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355</v>
      </c>
      <c r="I1" s="26"/>
      <c r="J1" s="1"/>
      <c r="K1" s="1"/>
      <c r="L1" s="1"/>
      <c r="M1" s="1"/>
    </row>
    <row r="2" spans="1:13" ht="15.75">
      <c r="A2" s="28" t="s">
        <v>62</v>
      </c>
      <c r="J2" s="2"/>
      <c r="K2" s="2"/>
      <c r="L2" s="2"/>
      <c r="M2" s="2"/>
    </row>
    <row r="3" spans="1:13" ht="15.75" customHeight="1">
      <c r="A3" s="179" t="s">
        <v>152</v>
      </c>
      <c r="B3" s="179"/>
      <c r="C3" s="179"/>
      <c r="D3" s="179"/>
      <c r="E3" s="179"/>
      <c r="F3" s="179"/>
      <c r="G3" s="179"/>
      <c r="H3" s="179"/>
      <c r="I3" s="179"/>
      <c r="J3" s="3"/>
      <c r="K3" s="3"/>
      <c r="L3" s="3"/>
    </row>
    <row r="4" spans="1:13" ht="31.5" customHeight="1">
      <c r="A4" s="180" t="s">
        <v>128</v>
      </c>
      <c r="B4" s="180"/>
      <c r="C4" s="180"/>
      <c r="D4" s="180"/>
      <c r="E4" s="180"/>
      <c r="F4" s="180"/>
      <c r="G4" s="180"/>
      <c r="H4" s="180"/>
      <c r="I4" s="180"/>
    </row>
    <row r="5" spans="1:13" ht="15.75">
      <c r="A5" s="179" t="s">
        <v>356</v>
      </c>
      <c r="B5" s="181"/>
      <c r="C5" s="181"/>
      <c r="D5" s="181"/>
      <c r="E5" s="181"/>
      <c r="F5" s="181"/>
      <c r="G5" s="181"/>
      <c r="H5" s="181"/>
      <c r="I5" s="181"/>
      <c r="J5" s="2"/>
      <c r="K5" s="2"/>
      <c r="L5" s="2"/>
      <c r="M5" s="2"/>
    </row>
    <row r="6" spans="1:13" ht="15.75">
      <c r="A6" s="2"/>
      <c r="B6" s="63"/>
      <c r="C6" s="63"/>
      <c r="D6" s="63"/>
      <c r="E6" s="63"/>
      <c r="F6" s="63"/>
      <c r="G6" s="63"/>
      <c r="H6" s="63"/>
      <c r="I6" s="30">
        <v>43434</v>
      </c>
      <c r="J6" s="2"/>
      <c r="K6" s="2"/>
      <c r="L6" s="2"/>
      <c r="M6" s="2"/>
    </row>
    <row r="7" spans="1:13" ht="15.75">
      <c r="B7" s="66"/>
      <c r="C7" s="66"/>
      <c r="D7" s="6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2" t="s">
        <v>300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3" t="s">
        <v>143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4" t="s">
        <v>59</v>
      </c>
      <c r="B14" s="184"/>
      <c r="C14" s="184"/>
      <c r="D14" s="184"/>
      <c r="E14" s="184"/>
      <c r="F14" s="184"/>
      <c r="G14" s="184"/>
      <c r="H14" s="184"/>
      <c r="I14" s="184"/>
      <c r="J14" s="8"/>
      <c r="K14" s="8"/>
      <c r="L14" s="8"/>
      <c r="M14" s="8"/>
    </row>
    <row r="15" spans="1:13" ht="15" customHeight="1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  <c r="J15" s="8"/>
      <c r="K15" s="8"/>
      <c r="L15" s="8"/>
      <c r="M15" s="8"/>
    </row>
    <row r="16" spans="1:13" ht="15.75" customHeight="1">
      <c r="A16" s="29">
        <v>1</v>
      </c>
      <c r="B16" s="75" t="s">
        <v>86</v>
      </c>
      <c r="C16" s="76" t="s">
        <v>87</v>
      </c>
      <c r="D16" s="75" t="s">
        <v>144</v>
      </c>
      <c r="E16" s="77">
        <v>49.72</v>
      </c>
      <c r="F16" s="78">
        <f>SUM(E16*156/100)</f>
        <v>77.563199999999995</v>
      </c>
      <c r="G16" s="78">
        <v>230</v>
      </c>
      <c r="H16" s="79">
        <f t="shared" ref="H16:H25" si="0">SUM(F16*G16/1000)</f>
        <v>17.839535999999999</v>
      </c>
      <c r="I16" s="13">
        <f>F16/12*G16</f>
        <v>1486.6279999999999</v>
      </c>
      <c r="J16" s="21"/>
      <c r="K16" s="8"/>
      <c r="L16" s="8"/>
      <c r="M16" s="8"/>
    </row>
    <row r="17" spans="1:13" ht="15.75" customHeight="1">
      <c r="A17" s="29">
        <v>2</v>
      </c>
      <c r="B17" s="75" t="s">
        <v>114</v>
      </c>
      <c r="C17" s="76" t="s">
        <v>87</v>
      </c>
      <c r="D17" s="75" t="s">
        <v>145</v>
      </c>
      <c r="E17" s="77">
        <v>198.88</v>
      </c>
      <c r="F17" s="78">
        <f>SUM(E17*104/100)</f>
        <v>206.83520000000001</v>
      </c>
      <c r="G17" s="78">
        <v>230</v>
      </c>
      <c r="H17" s="79">
        <f t="shared" si="0"/>
        <v>47.572096000000002</v>
      </c>
      <c r="I17" s="13">
        <f>F17/12*G17</f>
        <v>3964.3413333333338</v>
      </c>
      <c r="J17" s="22"/>
      <c r="K17" s="8"/>
      <c r="L17" s="8"/>
      <c r="M17" s="8"/>
    </row>
    <row r="18" spans="1:13" ht="15.75" customHeight="1">
      <c r="A18" s="29">
        <v>3</v>
      </c>
      <c r="B18" s="75" t="s">
        <v>115</v>
      </c>
      <c r="C18" s="76" t="s">
        <v>87</v>
      </c>
      <c r="D18" s="75" t="s">
        <v>146</v>
      </c>
      <c r="E18" s="77">
        <v>248.6</v>
      </c>
      <c r="F18" s="78">
        <f>SUM(E18*24/100)</f>
        <v>59.663999999999994</v>
      </c>
      <c r="G18" s="78">
        <v>661.67</v>
      </c>
      <c r="H18" s="79">
        <f t="shared" si="0"/>
        <v>39.477878879999999</v>
      </c>
      <c r="I18" s="13">
        <f>F18/12*G18</f>
        <v>3289.8232399999993</v>
      </c>
      <c r="J18" s="22"/>
      <c r="K18" s="8"/>
      <c r="L18" s="8"/>
      <c r="M18" s="8"/>
    </row>
    <row r="19" spans="1:13" ht="15.75" hidden="1" customHeight="1">
      <c r="A19" s="29"/>
      <c r="B19" s="75" t="s">
        <v>94</v>
      </c>
      <c r="C19" s="76" t="s">
        <v>95</v>
      </c>
      <c r="D19" s="75" t="s">
        <v>96</v>
      </c>
      <c r="E19" s="77">
        <v>18.48</v>
      </c>
      <c r="F19" s="78">
        <f>SUM(E19/10)</f>
        <v>1.8480000000000001</v>
      </c>
      <c r="G19" s="78">
        <v>223.17</v>
      </c>
      <c r="H19" s="79">
        <f t="shared" si="0"/>
        <v>0.41241815999999998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75" t="s">
        <v>97</v>
      </c>
      <c r="C20" s="76" t="s">
        <v>87</v>
      </c>
      <c r="D20" s="75" t="s">
        <v>155</v>
      </c>
      <c r="E20" s="77">
        <v>10.5</v>
      </c>
      <c r="F20" s="78">
        <f>SUM(E20*12/100)</f>
        <v>1.26</v>
      </c>
      <c r="G20" s="78">
        <v>285.76</v>
      </c>
      <c r="H20" s="79">
        <f t="shared" si="0"/>
        <v>0.36005759999999998</v>
      </c>
      <c r="I20" s="13">
        <f>F20/12*G20</f>
        <v>30.004799999999999</v>
      </c>
      <c r="J20" s="22"/>
      <c r="K20" s="8"/>
      <c r="L20" s="8"/>
      <c r="M20" s="8"/>
    </row>
    <row r="21" spans="1:13" ht="15.75" hidden="1" customHeight="1">
      <c r="A21" s="29">
        <v>5</v>
      </c>
      <c r="B21" s="75" t="s">
        <v>98</v>
      </c>
      <c r="C21" s="76" t="s">
        <v>87</v>
      </c>
      <c r="D21" s="75" t="s">
        <v>42</v>
      </c>
      <c r="E21" s="77">
        <v>3</v>
      </c>
      <c r="F21" s="78">
        <f>SUM(E21*2/100)</f>
        <v>0.06</v>
      </c>
      <c r="G21" s="78">
        <v>283.44</v>
      </c>
      <c r="H21" s="79">
        <f t="shared" si="0"/>
        <v>1.7006399999999998E-2</v>
      </c>
      <c r="I21" s="13">
        <f>F21/6*G21</f>
        <v>2.8344</v>
      </c>
      <c r="J21" s="22"/>
      <c r="K21" s="8"/>
      <c r="L21" s="8"/>
      <c r="M21" s="8"/>
    </row>
    <row r="22" spans="1:13" ht="15.75" hidden="1" customHeight="1">
      <c r="A22" s="29"/>
      <c r="B22" s="75" t="s">
        <v>99</v>
      </c>
      <c r="C22" s="76" t="s">
        <v>53</v>
      </c>
      <c r="D22" s="75" t="s">
        <v>96</v>
      </c>
      <c r="E22" s="77">
        <v>267.75</v>
      </c>
      <c r="F22" s="78">
        <f>SUM(E22/100)</f>
        <v>2.6775000000000002</v>
      </c>
      <c r="G22" s="78">
        <v>353.14</v>
      </c>
      <c r="H22" s="79">
        <f t="shared" si="0"/>
        <v>0.94553235000000002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75" t="s">
        <v>100</v>
      </c>
      <c r="C23" s="76" t="s">
        <v>53</v>
      </c>
      <c r="D23" s="75" t="s">
        <v>96</v>
      </c>
      <c r="E23" s="80">
        <v>36.229999999999997</v>
      </c>
      <c r="F23" s="78">
        <f>SUM(E23/100)</f>
        <v>0.36229999999999996</v>
      </c>
      <c r="G23" s="78">
        <v>58.08</v>
      </c>
      <c r="H23" s="79">
        <f t="shared" si="0"/>
        <v>2.1042383999999997E-2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75" t="s">
        <v>101</v>
      </c>
      <c r="C24" s="76" t="s">
        <v>53</v>
      </c>
      <c r="D24" s="75" t="s">
        <v>54</v>
      </c>
      <c r="E24" s="77">
        <v>15</v>
      </c>
      <c r="F24" s="78">
        <f>SUM(E24/100)</f>
        <v>0.15</v>
      </c>
      <c r="G24" s="78">
        <v>511.12</v>
      </c>
      <c r="H24" s="79">
        <f t="shared" si="0"/>
        <v>7.6667999999999986E-2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75" t="s">
        <v>102</v>
      </c>
      <c r="C25" s="76" t="s">
        <v>53</v>
      </c>
      <c r="D25" s="75" t="s">
        <v>54</v>
      </c>
      <c r="E25" s="77">
        <v>6.38</v>
      </c>
      <c r="F25" s="78">
        <f>SUM(E25/100)</f>
        <v>6.3799999999999996E-2</v>
      </c>
      <c r="G25" s="78">
        <v>683.05</v>
      </c>
      <c r="H25" s="79">
        <f t="shared" si="0"/>
        <v>4.3578589999999993E-2</v>
      </c>
      <c r="I25" s="13">
        <v>0</v>
      </c>
      <c r="J25" s="22"/>
      <c r="K25" s="8"/>
      <c r="L25" s="8"/>
      <c r="M25" s="8"/>
    </row>
    <row r="26" spans="1:13" ht="15.75" hidden="1" customHeight="1">
      <c r="A26" s="29"/>
      <c r="B26" s="75" t="s">
        <v>122</v>
      </c>
      <c r="C26" s="76" t="s">
        <v>53</v>
      </c>
      <c r="D26" s="75" t="s">
        <v>54</v>
      </c>
      <c r="E26" s="77">
        <v>14.25</v>
      </c>
      <c r="F26" s="78">
        <v>0.14000000000000001</v>
      </c>
      <c r="G26" s="78">
        <v>283.44</v>
      </c>
      <c r="H26" s="79">
        <f>G26*F26/1000</f>
        <v>3.9681600000000004E-2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5</v>
      </c>
      <c r="B27" s="75" t="s">
        <v>64</v>
      </c>
      <c r="C27" s="76" t="s">
        <v>33</v>
      </c>
      <c r="D27" s="75" t="s">
        <v>63</v>
      </c>
      <c r="E27" s="82">
        <v>0.1</v>
      </c>
      <c r="F27" s="78">
        <f>SUM(E27*155)</f>
        <v>15.5</v>
      </c>
      <c r="G27" s="78">
        <v>264.85000000000002</v>
      </c>
      <c r="H27" s="79">
        <f>SUM(F27*G27/1000)</f>
        <v>4.105175</v>
      </c>
      <c r="I27" s="13">
        <f>F27/12*G27</f>
        <v>342.09791666666672</v>
      </c>
      <c r="J27" s="23"/>
    </row>
    <row r="28" spans="1:13" ht="15.75" hidden="1" customHeight="1">
      <c r="A28" s="29">
        <v>6</v>
      </c>
      <c r="B28" s="83" t="s">
        <v>23</v>
      </c>
      <c r="C28" s="76" t="s">
        <v>24</v>
      </c>
      <c r="D28" s="83" t="s">
        <v>136</v>
      </c>
      <c r="E28" s="77">
        <v>2626.5</v>
      </c>
      <c r="F28" s="78">
        <f>SUM(E28*12)</f>
        <v>31518</v>
      </c>
      <c r="G28" s="78">
        <v>3.36</v>
      </c>
      <c r="H28" s="79">
        <f>SUM(F28*G28/1000)</f>
        <v>105.90048</v>
      </c>
      <c r="I28" s="13">
        <f t="shared" ref="I28" si="1">F28/12*G28</f>
        <v>8825.0399999999991</v>
      </c>
      <c r="J28" s="23"/>
    </row>
    <row r="29" spans="1:13" ht="15.75" customHeight="1">
      <c r="A29" s="185" t="s">
        <v>84</v>
      </c>
      <c r="B29" s="185"/>
      <c r="C29" s="185"/>
      <c r="D29" s="185"/>
      <c r="E29" s="185"/>
      <c r="F29" s="185"/>
      <c r="G29" s="185"/>
      <c r="H29" s="185"/>
      <c r="I29" s="185"/>
      <c r="J29" s="22"/>
      <c r="K29" s="8"/>
      <c r="L29" s="8"/>
      <c r="M29" s="8"/>
    </row>
    <row r="30" spans="1:13" ht="15.75" hidden="1" customHeight="1">
      <c r="A30" s="29"/>
      <c r="B30" s="106" t="s">
        <v>28</v>
      </c>
      <c r="C30" s="76"/>
      <c r="D30" s="75"/>
      <c r="E30" s="77"/>
      <c r="F30" s="78"/>
      <c r="G30" s="78"/>
      <c r="H30" s="79"/>
      <c r="I30" s="13"/>
      <c r="J30" s="23"/>
    </row>
    <row r="31" spans="1:13" ht="15.75" hidden="1" customHeight="1">
      <c r="A31" s="29"/>
      <c r="B31" s="75" t="s">
        <v>104</v>
      </c>
      <c r="C31" s="76" t="s">
        <v>89</v>
      </c>
      <c r="D31" s="75" t="s">
        <v>149</v>
      </c>
      <c r="E31" s="78">
        <v>665</v>
      </c>
      <c r="F31" s="78">
        <f>SUM(E31*52/1000)</f>
        <v>34.58</v>
      </c>
      <c r="G31" s="78">
        <v>204.44</v>
      </c>
      <c r="H31" s="79">
        <f t="shared" ref="H31:H37" si="2">SUM(F31*G31/1000)</f>
        <v>7.0695351999999989</v>
      </c>
      <c r="I31" s="13">
        <f t="shared" ref="I31:I32" si="3">F31/6*G31</f>
        <v>1178.2558666666666</v>
      </c>
      <c r="J31" s="22"/>
      <c r="K31" s="8"/>
      <c r="L31" s="8"/>
      <c r="M31" s="8"/>
    </row>
    <row r="32" spans="1:13" ht="15.75" hidden="1" customHeight="1">
      <c r="A32" s="29"/>
      <c r="B32" s="75" t="s">
        <v>117</v>
      </c>
      <c r="C32" s="76" t="s">
        <v>89</v>
      </c>
      <c r="D32" s="75" t="s">
        <v>150</v>
      </c>
      <c r="E32" s="78">
        <v>81.5</v>
      </c>
      <c r="F32" s="78">
        <f>SUM(E32*78/1000)</f>
        <v>6.3570000000000002</v>
      </c>
      <c r="G32" s="78">
        <v>339.21</v>
      </c>
      <c r="H32" s="79">
        <f t="shared" si="2"/>
        <v>2.1563579700000002</v>
      </c>
      <c r="I32" s="13">
        <f t="shared" si="3"/>
        <v>359.39299500000004</v>
      </c>
      <c r="J32" s="22"/>
      <c r="K32" s="8"/>
      <c r="L32" s="8"/>
      <c r="M32" s="8"/>
    </row>
    <row r="33" spans="1:14" ht="15.75" hidden="1" customHeight="1">
      <c r="A33" s="29"/>
      <c r="B33" s="75" t="s">
        <v>27</v>
      </c>
      <c r="C33" s="76" t="s">
        <v>89</v>
      </c>
      <c r="D33" s="75" t="s">
        <v>54</v>
      </c>
      <c r="E33" s="78">
        <v>665</v>
      </c>
      <c r="F33" s="78">
        <f>SUM(E33/1000)</f>
        <v>0.66500000000000004</v>
      </c>
      <c r="G33" s="78">
        <v>3961.23</v>
      </c>
      <c r="H33" s="79">
        <f t="shared" si="2"/>
        <v>2.63421795</v>
      </c>
      <c r="I33" s="13">
        <f>F33*G33</f>
        <v>2634.2179500000002</v>
      </c>
      <c r="J33" s="22"/>
      <c r="K33" s="8"/>
      <c r="L33" s="8"/>
      <c r="M33" s="8"/>
    </row>
    <row r="34" spans="1:14" ht="15.75" hidden="1" customHeight="1">
      <c r="A34" s="29"/>
      <c r="B34" s="75" t="s">
        <v>116</v>
      </c>
      <c r="C34" s="76" t="s">
        <v>40</v>
      </c>
      <c r="D34" s="75" t="s">
        <v>63</v>
      </c>
      <c r="E34" s="78">
        <v>3</v>
      </c>
      <c r="F34" s="78">
        <f>E34*155/100</f>
        <v>4.6500000000000004</v>
      </c>
      <c r="G34" s="78">
        <v>1707.63</v>
      </c>
      <c r="H34" s="79">
        <f>G34*F34/1000</f>
        <v>7.9404795000000012</v>
      </c>
      <c r="I34" s="13">
        <f>F34/6*G34</f>
        <v>1323.4132500000001</v>
      </c>
      <c r="J34" s="22"/>
      <c r="K34" s="8"/>
      <c r="L34" s="8"/>
      <c r="M34" s="8"/>
    </row>
    <row r="35" spans="1:14" ht="15.75" hidden="1" customHeight="1">
      <c r="A35" s="29"/>
      <c r="B35" s="75" t="s">
        <v>103</v>
      </c>
      <c r="C35" s="76" t="s">
        <v>31</v>
      </c>
      <c r="D35" s="75" t="s">
        <v>63</v>
      </c>
      <c r="E35" s="81">
        <f>1/3</f>
        <v>0.33333333333333331</v>
      </c>
      <c r="F35" s="78">
        <f>155/3</f>
        <v>51.666666666666664</v>
      </c>
      <c r="G35" s="78">
        <v>74.349999999999994</v>
      </c>
      <c r="H35" s="79">
        <f>SUM(G35*155/3/1000)</f>
        <v>3.8414166666666665</v>
      </c>
      <c r="I35" s="13">
        <f>F35/6*G35</f>
        <v>640.23611111111109</v>
      </c>
      <c r="J35" s="22"/>
      <c r="K35" s="8"/>
    </row>
    <row r="36" spans="1:14" ht="15.75" hidden="1" customHeight="1">
      <c r="A36" s="29"/>
      <c r="B36" s="75" t="s">
        <v>65</v>
      </c>
      <c r="C36" s="76" t="s">
        <v>33</v>
      </c>
      <c r="D36" s="75" t="s">
        <v>67</v>
      </c>
      <c r="E36" s="77"/>
      <c r="F36" s="78">
        <v>1</v>
      </c>
      <c r="G36" s="78">
        <v>250.92</v>
      </c>
      <c r="H36" s="79">
        <f t="shared" si="2"/>
        <v>0.25091999999999998</v>
      </c>
      <c r="I36" s="13">
        <v>0</v>
      </c>
      <c r="J36" s="23"/>
    </row>
    <row r="37" spans="1:14" ht="15.75" hidden="1" customHeight="1">
      <c r="A37" s="29"/>
      <c r="B37" s="75" t="s">
        <v>66</v>
      </c>
      <c r="C37" s="76" t="s">
        <v>32</v>
      </c>
      <c r="D37" s="75" t="s">
        <v>67</v>
      </c>
      <c r="E37" s="77"/>
      <c r="F37" s="78">
        <v>1</v>
      </c>
      <c r="G37" s="78">
        <v>1490.31</v>
      </c>
      <c r="H37" s="79">
        <f t="shared" si="2"/>
        <v>1.49031</v>
      </c>
      <c r="I37" s="13">
        <v>0</v>
      </c>
      <c r="J37" s="23"/>
    </row>
    <row r="38" spans="1:14" ht="15.75" customHeight="1">
      <c r="A38" s="29"/>
      <c r="B38" s="106" t="s">
        <v>5</v>
      </c>
      <c r="C38" s="76"/>
      <c r="D38" s="75"/>
      <c r="E38" s="77"/>
      <c r="F38" s="78"/>
      <c r="G38" s="78"/>
      <c r="H38" s="79" t="s">
        <v>136</v>
      </c>
      <c r="I38" s="13"/>
      <c r="J38" s="23"/>
    </row>
    <row r="39" spans="1:14" ht="15.75" customHeight="1">
      <c r="A39" s="29">
        <v>6</v>
      </c>
      <c r="B39" s="84" t="s">
        <v>26</v>
      </c>
      <c r="C39" s="76" t="s">
        <v>32</v>
      </c>
      <c r="D39" s="75"/>
      <c r="E39" s="77"/>
      <c r="F39" s="78">
        <v>5</v>
      </c>
      <c r="G39" s="78">
        <v>2003</v>
      </c>
      <c r="H39" s="79">
        <f t="shared" ref="H39:H46" si="4">SUM(F39*G39/1000)</f>
        <v>10.015000000000001</v>
      </c>
      <c r="I39" s="13">
        <f t="shared" ref="I39:I46" si="5">F39/6*G39</f>
        <v>1669.1666666666667</v>
      </c>
      <c r="J39" s="23"/>
    </row>
    <row r="40" spans="1:14" ht="15.75" customHeight="1">
      <c r="A40" s="29">
        <v>7</v>
      </c>
      <c r="B40" s="84" t="s">
        <v>105</v>
      </c>
      <c r="C40" s="85" t="s">
        <v>29</v>
      </c>
      <c r="D40" s="75" t="s">
        <v>123</v>
      </c>
      <c r="E40" s="77">
        <v>81.5</v>
      </c>
      <c r="F40" s="86">
        <f>E40*30/1000</f>
        <v>2.4449999999999998</v>
      </c>
      <c r="G40" s="78">
        <v>2757.78</v>
      </c>
      <c r="H40" s="79">
        <f t="shared" si="4"/>
        <v>6.7427720999999998</v>
      </c>
      <c r="I40" s="13">
        <f t="shared" si="5"/>
        <v>1123.7953500000001</v>
      </c>
      <c r="J40" s="23"/>
    </row>
    <row r="41" spans="1:14" ht="15.75" customHeight="1">
      <c r="A41" s="29">
        <v>8</v>
      </c>
      <c r="B41" s="75" t="s">
        <v>68</v>
      </c>
      <c r="C41" s="76" t="s">
        <v>29</v>
      </c>
      <c r="D41" s="75" t="s">
        <v>88</v>
      </c>
      <c r="E41" s="78">
        <v>81.5</v>
      </c>
      <c r="F41" s="86">
        <f>SUM(E41*155/1000)</f>
        <v>12.6325</v>
      </c>
      <c r="G41" s="78">
        <v>460.02</v>
      </c>
      <c r="H41" s="79">
        <f t="shared" si="4"/>
        <v>5.8112026500000002</v>
      </c>
      <c r="I41" s="13">
        <f t="shared" si="5"/>
        <v>968.53377499999999</v>
      </c>
      <c r="J41" s="23"/>
      <c r="L41" s="18"/>
      <c r="M41" s="19"/>
      <c r="N41" s="20"/>
    </row>
    <row r="42" spans="1:14" ht="15.75" hidden="1" customHeight="1">
      <c r="A42" s="29"/>
      <c r="B42" s="75" t="s">
        <v>118</v>
      </c>
      <c r="C42" s="76" t="s">
        <v>119</v>
      </c>
      <c r="D42" s="75" t="s">
        <v>67</v>
      </c>
      <c r="E42" s="77"/>
      <c r="F42" s="86">
        <v>26</v>
      </c>
      <c r="G42" s="78">
        <v>314</v>
      </c>
      <c r="H42" s="79">
        <f t="shared" si="4"/>
        <v>8.1639999999999997</v>
      </c>
      <c r="I42" s="13">
        <v>0</v>
      </c>
      <c r="J42" s="23"/>
      <c r="L42" s="18"/>
      <c r="M42" s="19"/>
      <c r="N42" s="20"/>
    </row>
    <row r="43" spans="1:14" ht="47.25" customHeight="1">
      <c r="A43" s="29">
        <v>9</v>
      </c>
      <c r="B43" s="75" t="s">
        <v>82</v>
      </c>
      <c r="C43" s="76" t="s">
        <v>89</v>
      </c>
      <c r="D43" s="75" t="s">
        <v>124</v>
      </c>
      <c r="E43" s="78">
        <v>81.5</v>
      </c>
      <c r="F43" s="86">
        <f>SUM(E43*35/1000)</f>
        <v>2.8525</v>
      </c>
      <c r="G43" s="78">
        <v>7611.16</v>
      </c>
      <c r="H43" s="79">
        <f t="shared" si="4"/>
        <v>21.710833900000001</v>
      </c>
      <c r="I43" s="13">
        <f t="shared" si="5"/>
        <v>3618.4723166666663</v>
      </c>
      <c r="J43" s="23"/>
      <c r="L43" s="18"/>
      <c r="M43" s="19"/>
      <c r="N43" s="20"/>
    </row>
    <row r="44" spans="1:14" ht="15.75" customHeight="1">
      <c r="A44" s="29">
        <v>10</v>
      </c>
      <c r="B44" s="75" t="s">
        <v>90</v>
      </c>
      <c r="C44" s="76" t="s">
        <v>89</v>
      </c>
      <c r="D44" s="75" t="s">
        <v>69</v>
      </c>
      <c r="E44" s="78">
        <v>81.5</v>
      </c>
      <c r="F44" s="86">
        <f>SUM(E44*45/1000)</f>
        <v>3.6675</v>
      </c>
      <c r="G44" s="78">
        <v>562.25</v>
      </c>
      <c r="H44" s="79">
        <f t="shared" si="4"/>
        <v>2.0620518750000003</v>
      </c>
      <c r="I44" s="13">
        <f>F44/7.5*G44</f>
        <v>274.94024999999999</v>
      </c>
      <c r="J44" s="23"/>
      <c r="L44" s="18"/>
      <c r="M44" s="19"/>
      <c r="N44" s="20"/>
    </row>
    <row r="45" spans="1:14" ht="15.75" customHeight="1">
      <c r="A45" s="29">
        <v>11</v>
      </c>
      <c r="B45" s="84" t="s">
        <v>70</v>
      </c>
      <c r="C45" s="85" t="s">
        <v>33</v>
      </c>
      <c r="D45" s="84"/>
      <c r="E45" s="82"/>
      <c r="F45" s="86">
        <v>0.9</v>
      </c>
      <c r="G45" s="86">
        <v>974.83</v>
      </c>
      <c r="H45" s="79">
        <f t="shared" si="4"/>
        <v>0.8773470000000001</v>
      </c>
      <c r="I45" s="13">
        <f>F45/7.5*G45</f>
        <v>116.97960000000002</v>
      </c>
      <c r="J45" s="23"/>
      <c r="L45" s="18"/>
      <c r="M45" s="19"/>
      <c r="N45" s="20"/>
    </row>
    <row r="46" spans="1:14" ht="15.75" customHeight="1">
      <c r="A46" s="29">
        <v>12</v>
      </c>
      <c r="B46" s="47" t="s">
        <v>156</v>
      </c>
      <c r="C46" s="48" t="s">
        <v>29</v>
      </c>
      <c r="D46" s="84" t="s">
        <v>157</v>
      </c>
      <c r="E46" s="82">
        <v>2.4</v>
      </c>
      <c r="F46" s="86">
        <f>SUM(E46*12/1000)</f>
        <v>2.8799999999999996E-2</v>
      </c>
      <c r="G46" s="86">
        <v>260.2</v>
      </c>
      <c r="H46" s="79">
        <f t="shared" si="4"/>
        <v>7.4937599999999986E-3</v>
      </c>
      <c r="I46" s="13">
        <f t="shared" si="5"/>
        <v>1.2489599999999998</v>
      </c>
      <c r="J46" s="23"/>
      <c r="L46" s="18"/>
      <c r="M46" s="19"/>
      <c r="N46" s="20"/>
    </row>
    <row r="47" spans="1:14" ht="15.75" hidden="1" customHeight="1">
      <c r="A47" s="186" t="s">
        <v>129</v>
      </c>
      <c r="B47" s="187"/>
      <c r="C47" s="187"/>
      <c r="D47" s="187"/>
      <c r="E47" s="187"/>
      <c r="F47" s="187"/>
      <c r="G47" s="187"/>
      <c r="H47" s="187"/>
      <c r="I47" s="188"/>
      <c r="J47" s="23"/>
      <c r="L47" s="18"/>
      <c r="M47" s="19"/>
      <c r="N47" s="20"/>
    </row>
    <row r="48" spans="1:14" ht="15.75" hidden="1" customHeight="1">
      <c r="A48" s="29"/>
      <c r="B48" s="75" t="s">
        <v>125</v>
      </c>
      <c r="C48" s="76" t="s">
        <v>89</v>
      </c>
      <c r="D48" s="75" t="s">
        <v>42</v>
      </c>
      <c r="E48" s="77">
        <v>1080</v>
      </c>
      <c r="F48" s="78">
        <f>SUM(E48*2/1000)</f>
        <v>2.16</v>
      </c>
      <c r="G48" s="33">
        <v>1172.4100000000001</v>
      </c>
      <c r="H48" s="79">
        <f t="shared" ref="H48:H56" si="6">SUM(F48*G48/1000)</f>
        <v>2.5324056000000006</v>
      </c>
      <c r="I48" s="13">
        <f t="shared" ref="I48:I51" si="7">F48/2*G48</f>
        <v>1266.2028000000003</v>
      </c>
      <c r="J48" s="23"/>
      <c r="L48" s="18"/>
      <c r="M48" s="19"/>
      <c r="N48" s="20"/>
    </row>
    <row r="49" spans="1:22" ht="15.75" hidden="1" customHeight="1">
      <c r="A49" s="29"/>
      <c r="B49" s="75" t="s">
        <v>35</v>
      </c>
      <c r="C49" s="76" t="s">
        <v>89</v>
      </c>
      <c r="D49" s="75" t="s">
        <v>42</v>
      </c>
      <c r="E49" s="77">
        <v>39</v>
      </c>
      <c r="F49" s="78">
        <f>SUM(E49*2/1000)</f>
        <v>7.8E-2</v>
      </c>
      <c r="G49" s="33">
        <v>4419.05</v>
      </c>
      <c r="H49" s="79">
        <f t="shared" si="6"/>
        <v>0.34468589999999999</v>
      </c>
      <c r="I49" s="13">
        <f t="shared" si="7"/>
        <v>172.34295</v>
      </c>
      <c r="J49" s="23"/>
      <c r="L49" s="18"/>
      <c r="M49" s="19"/>
      <c r="N49" s="20"/>
    </row>
    <row r="50" spans="1:22" ht="15.75" hidden="1" customHeight="1">
      <c r="A50" s="29"/>
      <c r="B50" s="75" t="s">
        <v>36</v>
      </c>
      <c r="C50" s="76" t="s">
        <v>89</v>
      </c>
      <c r="D50" s="75" t="s">
        <v>42</v>
      </c>
      <c r="E50" s="77">
        <v>1037</v>
      </c>
      <c r="F50" s="78">
        <f>SUM(E50*2/1000)</f>
        <v>2.0739999999999998</v>
      </c>
      <c r="G50" s="33">
        <v>1803.69</v>
      </c>
      <c r="H50" s="79">
        <f t="shared" si="6"/>
        <v>3.7408530600000001</v>
      </c>
      <c r="I50" s="13">
        <f t="shared" si="7"/>
        <v>1870.42653</v>
      </c>
      <c r="J50" s="23"/>
      <c r="L50" s="18"/>
      <c r="M50" s="19"/>
      <c r="N50" s="20"/>
    </row>
    <row r="51" spans="1:22" ht="15.75" hidden="1" customHeight="1">
      <c r="A51" s="29"/>
      <c r="B51" s="75" t="s">
        <v>37</v>
      </c>
      <c r="C51" s="76" t="s">
        <v>89</v>
      </c>
      <c r="D51" s="75" t="s">
        <v>42</v>
      </c>
      <c r="E51" s="77">
        <v>2274</v>
      </c>
      <c r="F51" s="78">
        <f>SUM(E51*2/1000)</f>
        <v>4.548</v>
      </c>
      <c r="G51" s="33">
        <v>1243.43</v>
      </c>
      <c r="H51" s="79">
        <f t="shared" si="6"/>
        <v>5.6551196399999997</v>
      </c>
      <c r="I51" s="13">
        <f t="shared" si="7"/>
        <v>2827.5598199999999</v>
      </c>
      <c r="J51" s="23"/>
      <c r="L51" s="18"/>
      <c r="M51" s="19"/>
      <c r="N51" s="20"/>
    </row>
    <row r="52" spans="1:22" ht="15.75" hidden="1" customHeight="1">
      <c r="A52" s="29"/>
      <c r="B52" s="75" t="s">
        <v>34</v>
      </c>
      <c r="C52" s="76" t="s">
        <v>53</v>
      </c>
      <c r="D52" s="75" t="s">
        <v>42</v>
      </c>
      <c r="E52" s="77">
        <v>83.04</v>
      </c>
      <c r="F52" s="78">
        <v>1.66</v>
      </c>
      <c r="G52" s="33">
        <v>1352.76</v>
      </c>
      <c r="H52" s="79">
        <f>SUM(F52*G52/1000)</f>
        <v>2.2455816</v>
      </c>
      <c r="I52" s="13">
        <f>F52/2*G52</f>
        <v>1122.7908</v>
      </c>
      <c r="J52" s="23"/>
      <c r="L52" s="18"/>
      <c r="M52" s="19"/>
      <c r="N52" s="20"/>
    </row>
    <row r="53" spans="1:22" ht="15.75" hidden="1" customHeight="1">
      <c r="A53" s="29"/>
      <c r="B53" s="75" t="s">
        <v>56</v>
      </c>
      <c r="C53" s="76" t="s">
        <v>89</v>
      </c>
      <c r="D53" s="75" t="s">
        <v>140</v>
      </c>
      <c r="E53" s="77">
        <v>2626.5</v>
      </c>
      <c r="F53" s="78">
        <f>SUM(E53*5/1000)</f>
        <v>13.1325</v>
      </c>
      <c r="G53" s="33">
        <v>1803.69</v>
      </c>
      <c r="H53" s="79">
        <f t="shared" ref="H53:H55" si="8">SUM(F53*G53/1000)</f>
        <v>23.686958925000003</v>
      </c>
      <c r="I53" s="13">
        <f>F53/5*G53</f>
        <v>4737.3917849999998</v>
      </c>
      <c r="J53" s="23"/>
      <c r="L53" s="18"/>
      <c r="M53" s="19"/>
      <c r="N53" s="20"/>
    </row>
    <row r="54" spans="1:22" ht="31.5" hidden="1" customHeight="1">
      <c r="A54" s="29"/>
      <c r="B54" s="75" t="s">
        <v>91</v>
      </c>
      <c r="C54" s="76" t="s">
        <v>89</v>
      </c>
      <c r="D54" s="75" t="s">
        <v>42</v>
      </c>
      <c r="E54" s="77">
        <v>2626.5</v>
      </c>
      <c r="F54" s="78">
        <f>SUM(E54*2/1000)</f>
        <v>5.2530000000000001</v>
      </c>
      <c r="G54" s="33">
        <v>1591.6</v>
      </c>
      <c r="H54" s="79">
        <f t="shared" si="8"/>
        <v>8.3606747999999982</v>
      </c>
      <c r="I54" s="13">
        <f>F54/2*G54</f>
        <v>4180.3373999999994</v>
      </c>
      <c r="J54" s="23"/>
      <c r="L54" s="18"/>
      <c r="M54" s="19"/>
      <c r="N54" s="20"/>
    </row>
    <row r="55" spans="1:22" ht="31.5" hidden="1" customHeight="1">
      <c r="A55" s="29"/>
      <c r="B55" s="75" t="s">
        <v>92</v>
      </c>
      <c r="C55" s="76" t="s">
        <v>38</v>
      </c>
      <c r="D55" s="75" t="s">
        <v>42</v>
      </c>
      <c r="E55" s="77">
        <v>15</v>
      </c>
      <c r="F55" s="78">
        <f>SUM(E55*2/100)</f>
        <v>0.3</v>
      </c>
      <c r="G55" s="33">
        <v>4058.32</v>
      </c>
      <c r="H55" s="79">
        <f t="shared" si="8"/>
        <v>1.2174960000000001</v>
      </c>
      <c r="I55" s="13">
        <f t="shared" ref="I55:I56" si="9">F55/2*G55</f>
        <v>608.74800000000005</v>
      </c>
      <c r="J55" s="23"/>
      <c r="L55" s="18"/>
      <c r="M55" s="19"/>
      <c r="N55" s="20"/>
    </row>
    <row r="56" spans="1:22" ht="15.75" hidden="1" customHeight="1">
      <c r="A56" s="29"/>
      <c r="B56" s="75" t="s">
        <v>39</v>
      </c>
      <c r="C56" s="76" t="s">
        <v>40</v>
      </c>
      <c r="D56" s="75" t="s">
        <v>42</v>
      </c>
      <c r="E56" s="77">
        <v>1</v>
      </c>
      <c r="F56" s="78">
        <v>0.02</v>
      </c>
      <c r="G56" s="33">
        <v>7412.92</v>
      </c>
      <c r="H56" s="79">
        <f t="shared" si="6"/>
        <v>0.14825839999999998</v>
      </c>
      <c r="I56" s="13">
        <f t="shared" si="9"/>
        <v>74.129199999999997</v>
      </c>
      <c r="J56" s="23"/>
      <c r="L56" s="18"/>
      <c r="M56" s="19"/>
      <c r="N56" s="20"/>
    </row>
    <row r="57" spans="1:22" ht="15.75" hidden="1" customHeight="1">
      <c r="A57" s="29"/>
      <c r="B57" s="75" t="s">
        <v>41</v>
      </c>
      <c r="C57" s="76" t="s">
        <v>106</v>
      </c>
      <c r="D57" s="75" t="s">
        <v>71</v>
      </c>
      <c r="E57" s="77">
        <v>90</v>
      </c>
      <c r="F57" s="78">
        <f>SUM(E57)*3</f>
        <v>270</v>
      </c>
      <c r="G57" s="74">
        <v>86.15</v>
      </c>
      <c r="H57" s="79">
        <f>SUM(F57*G57/1000)</f>
        <v>23.2605</v>
      </c>
      <c r="I57" s="13">
        <f>F57/3*G57</f>
        <v>7753.5000000000009</v>
      </c>
      <c r="J57" s="23"/>
      <c r="L57" s="18"/>
      <c r="M57" s="19"/>
      <c r="N57" s="20"/>
    </row>
    <row r="58" spans="1:22" ht="15.75" customHeight="1">
      <c r="A58" s="186" t="s">
        <v>134</v>
      </c>
      <c r="B58" s="187"/>
      <c r="C58" s="187"/>
      <c r="D58" s="187"/>
      <c r="E58" s="187"/>
      <c r="F58" s="187"/>
      <c r="G58" s="187"/>
      <c r="H58" s="187"/>
      <c r="I58" s="188"/>
      <c r="J58" s="23"/>
      <c r="L58" s="18"/>
    </row>
    <row r="59" spans="1:22" ht="15.75" hidden="1" customHeight="1">
      <c r="A59" s="29"/>
      <c r="B59" s="106" t="s">
        <v>43</v>
      </c>
      <c r="C59" s="76"/>
      <c r="D59" s="75"/>
      <c r="E59" s="77"/>
      <c r="F59" s="78"/>
      <c r="G59" s="78"/>
      <c r="H59" s="79"/>
      <c r="I59" s="13"/>
    </row>
    <row r="60" spans="1:22" ht="31.5" hidden="1" customHeight="1">
      <c r="A60" s="29">
        <v>14</v>
      </c>
      <c r="B60" s="75" t="s">
        <v>137</v>
      </c>
      <c r="C60" s="76" t="s">
        <v>87</v>
      </c>
      <c r="D60" s="75" t="s">
        <v>107</v>
      </c>
      <c r="E60" s="77">
        <v>111</v>
      </c>
      <c r="F60" s="78">
        <f>SUM(E60*6/100)</f>
        <v>6.66</v>
      </c>
      <c r="G60" s="33">
        <v>2029.3</v>
      </c>
      <c r="H60" s="79">
        <f>SUM(F60*G60/1000)</f>
        <v>13.515138</v>
      </c>
      <c r="I60" s="13">
        <f t="shared" ref="I60" si="10">F60/6*G60</f>
        <v>2252.5230000000001</v>
      </c>
    </row>
    <row r="61" spans="1:22" ht="15.75" hidden="1" customHeight="1">
      <c r="A61" s="29">
        <v>15</v>
      </c>
      <c r="B61" s="75" t="s">
        <v>158</v>
      </c>
      <c r="C61" s="76" t="s">
        <v>159</v>
      </c>
      <c r="D61" s="75" t="s">
        <v>67</v>
      </c>
      <c r="E61" s="77"/>
      <c r="F61" s="78">
        <v>3</v>
      </c>
      <c r="G61" s="33">
        <v>1582.05</v>
      </c>
      <c r="H61" s="79">
        <f>SUM(F61*G61/1000)</f>
        <v>4.7461499999999992</v>
      </c>
      <c r="I61" s="13">
        <f>G61*2.5</f>
        <v>3955.125</v>
      </c>
    </row>
    <row r="62" spans="1:22" ht="15.75" customHeight="1">
      <c r="A62" s="29"/>
      <c r="B62" s="107" t="s">
        <v>44</v>
      </c>
      <c r="C62" s="87"/>
      <c r="D62" s="88"/>
      <c r="E62" s="89"/>
      <c r="F62" s="90"/>
      <c r="G62" s="33"/>
      <c r="H62" s="91"/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29"/>
      <c r="B63" s="88" t="s">
        <v>45</v>
      </c>
      <c r="C63" s="87" t="s">
        <v>53</v>
      </c>
      <c r="D63" s="88" t="s">
        <v>54</v>
      </c>
      <c r="E63" s="89">
        <v>130</v>
      </c>
      <c r="F63" s="90">
        <f>E63/100</f>
        <v>1.3</v>
      </c>
      <c r="G63" s="33">
        <v>1040.8399999999999</v>
      </c>
      <c r="H63" s="91">
        <f>F63*G63/1000</f>
        <v>1.353092</v>
      </c>
      <c r="I63" s="13">
        <v>0</v>
      </c>
      <c r="J63" s="25"/>
      <c r="K63" s="25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29">
        <v>13</v>
      </c>
      <c r="B64" s="88" t="s">
        <v>120</v>
      </c>
      <c r="C64" s="87" t="s">
        <v>25</v>
      </c>
      <c r="D64" s="88" t="s">
        <v>30</v>
      </c>
      <c r="E64" s="89">
        <v>130</v>
      </c>
      <c r="F64" s="92">
        <f>E64*12</f>
        <v>1560</v>
      </c>
      <c r="G64" s="93">
        <v>1.2</v>
      </c>
      <c r="H64" s="90">
        <f>F64*G64/1000</f>
        <v>1.8720000000000001</v>
      </c>
      <c r="I64" s="13">
        <f t="shared" ref="I64" si="11">F64/12*G64</f>
        <v>156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29"/>
      <c r="B65" s="108" t="s">
        <v>46</v>
      </c>
      <c r="C65" s="87"/>
      <c r="D65" s="88"/>
      <c r="E65" s="89"/>
      <c r="F65" s="92"/>
      <c r="G65" s="92"/>
      <c r="H65" s="90" t="s">
        <v>136</v>
      </c>
      <c r="I65" s="13"/>
      <c r="J65" s="5"/>
      <c r="K65" s="5"/>
      <c r="L65" s="5"/>
      <c r="M65" s="5"/>
      <c r="N65" s="5"/>
      <c r="O65" s="5"/>
      <c r="P65" s="5"/>
      <c r="Q65" s="5"/>
      <c r="R65" s="162"/>
      <c r="S65" s="162"/>
      <c r="T65" s="162"/>
      <c r="U65" s="162"/>
    </row>
    <row r="66" spans="1:21" ht="15.75" hidden="1" customHeight="1">
      <c r="A66" s="29"/>
      <c r="B66" s="94" t="s">
        <v>47</v>
      </c>
      <c r="C66" s="95" t="s">
        <v>106</v>
      </c>
      <c r="D66" s="75" t="s">
        <v>67</v>
      </c>
      <c r="E66" s="16">
        <v>9</v>
      </c>
      <c r="F66" s="74">
        <f>SUM(E66)</f>
        <v>9</v>
      </c>
      <c r="G66" s="33">
        <v>291.68</v>
      </c>
      <c r="H66" s="68">
        <f t="shared" ref="H66:H84" si="12">SUM(F66*G66/1000)</f>
        <v>2.6251199999999999</v>
      </c>
      <c r="I66" s="13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29"/>
      <c r="B67" s="94" t="s">
        <v>48</v>
      </c>
      <c r="C67" s="95" t="s">
        <v>106</v>
      </c>
      <c r="D67" s="75" t="s">
        <v>67</v>
      </c>
      <c r="E67" s="16">
        <v>4</v>
      </c>
      <c r="F67" s="74">
        <f>SUM(E67)</f>
        <v>4</v>
      </c>
      <c r="G67" s="33">
        <v>100.01</v>
      </c>
      <c r="H67" s="68">
        <f t="shared" si="12"/>
        <v>0.40004000000000001</v>
      </c>
      <c r="I67" s="13">
        <v>0</v>
      </c>
    </row>
    <row r="68" spans="1:21" ht="15.75" hidden="1" customHeight="1">
      <c r="A68" s="29"/>
      <c r="B68" s="94" t="s">
        <v>49</v>
      </c>
      <c r="C68" s="96" t="s">
        <v>108</v>
      </c>
      <c r="D68" s="35" t="s">
        <v>54</v>
      </c>
      <c r="E68" s="77">
        <v>13287</v>
      </c>
      <c r="F68" s="74">
        <f>SUM(E68/100)</f>
        <v>132.87</v>
      </c>
      <c r="G68" s="33">
        <v>278.24</v>
      </c>
      <c r="H68" s="68">
        <f t="shared" si="12"/>
        <v>36.969748799999998</v>
      </c>
      <c r="I68" s="13">
        <v>0</v>
      </c>
    </row>
    <row r="69" spans="1:21" ht="15.75" hidden="1" customHeight="1">
      <c r="A69" s="29"/>
      <c r="B69" s="94" t="s">
        <v>50</v>
      </c>
      <c r="C69" s="95" t="s">
        <v>109</v>
      </c>
      <c r="D69" s="35" t="s">
        <v>54</v>
      </c>
      <c r="E69" s="77">
        <v>13287</v>
      </c>
      <c r="F69" s="33">
        <f>SUM(E69/1000)</f>
        <v>13.287000000000001</v>
      </c>
      <c r="G69" s="33">
        <v>216.68</v>
      </c>
      <c r="H69" s="68">
        <f t="shared" si="12"/>
        <v>2.8790271600000001</v>
      </c>
      <c r="I69" s="13">
        <v>0</v>
      </c>
    </row>
    <row r="70" spans="1:21" ht="15.75" hidden="1" customHeight="1">
      <c r="A70" s="29"/>
      <c r="B70" s="94" t="s">
        <v>51</v>
      </c>
      <c r="C70" s="95" t="s">
        <v>76</v>
      </c>
      <c r="D70" s="35" t="s">
        <v>54</v>
      </c>
      <c r="E70" s="77">
        <v>2110</v>
      </c>
      <c r="F70" s="33">
        <f>SUM(E70/100)</f>
        <v>21.1</v>
      </c>
      <c r="G70" s="33">
        <v>2720.94</v>
      </c>
      <c r="H70" s="68">
        <f>SUM(F70*G70/1000)</f>
        <v>57.411834000000006</v>
      </c>
      <c r="I70" s="13">
        <v>0</v>
      </c>
    </row>
    <row r="71" spans="1:21" ht="15.75" hidden="1" customHeight="1">
      <c r="A71" s="29"/>
      <c r="B71" s="97" t="s">
        <v>110</v>
      </c>
      <c r="C71" s="95" t="s">
        <v>33</v>
      </c>
      <c r="D71" s="35"/>
      <c r="E71" s="77">
        <v>8.6</v>
      </c>
      <c r="F71" s="33">
        <f>SUM(E71)</f>
        <v>8.6</v>
      </c>
      <c r="G71" s="33">
        <v>42.61</v>
      </c>
      <c r="H71" s="68">
        <f t="shared" si="12"/>
        <v>0.36644599999999999</v>
      </c>
      <c r="I71" s="13">
        <v>0</v>
      </c>
    </row>
    <row r="72" spans="1:21" ht="15.75" hidden="1" customHeight="1">
      <c r="A72" s="29"/>
      <c r="B72" s="97" t="s">
        <v>111</v>
      </c>
      <c r="C72" s="95" t="s">
        <v>33</v>
      </c>
      <c r="D72" s="35"/>
      <c r="E72" s="77">
        <v>8.6</v>
      </c>
      <c r="F72" s="33">
        <f>SUM(E72)</f>
        <v>8.6</v>
      </c>
      <c r="G72" s="33">
        <v>46.04</v>
      </c>
      <c r="H72" s="68">
        <f t="shared" si="12"/>
        <v>0.39594399999999996</v>
      </c>
      <c r="I72" s="13">
        <v>0</v>
      </c>
    </row>
    <row r="73" spans="1:21" ht="15.75" hidden="1" customHeight="1">
      <c r="A73" s="29"/>
      <c r="B73" s="35" t="s">
        <v>57</v>
      </c>
      <c r="C73" s="95" t="s">
        <v>58</v>
      </c>
      <c r="D73" s="35" t="s">
        <v>54</v>
      </c>
      <c r="E73" s="16">
        <v>3</v>
      </c>
      <c r="F73" s="33">
        <f>SUM(E73)</f>
        <v>3</v>
      </c>
      <c r="G73" s="33">
        <v>65.42</v>
      </c>
      <c r="H73" s="68">
        <f t="shared" si="12"/>
        <v>0.19625999999999999</v>
      </c>
      <c r="I73" s="13">
        <v>0</v>
      </c>
    </row>
    <row r="74" spans="1:21" ht="15.75" customHeight="1">
      <c r="A74" s="29"/>
      <c r="B74" s="109" t="s">
        <v>72</v>
      </c>
      <c r="C74" s="95"/>
      <c r="D74" s="35"/>
      <c r="E74" s="16"/>
      <c r="F74" s="33"/>
      <c r="G74" s="33"/>
      <c r="H74" s="68" t="s">
        <v>136</v>
      </c>
      <c r="I74" s="13"/>
    </row>
    <row r="75" spans="1:21" ht="31.5" hidden="1" customHeight="1">
      <c r="A75" s="29"/>
      <c r="B75" s="35" t="s">
        <v>160</v>
      </c>
      <c r="C75" s="95" t="s">
        <v>106</v>
      </c>
      <c r="D75" s="75" t="s">
        <v>67</v>
      </c>
      <c r="E75" s="16">
        <v>1</v>
      </c>
      <c r="F75" s="33">
        <v>1</v>
      </c>
      <c r="G75" s="33">
        <v>1543.4</v>
      </c>
      <c r="H75" s="68">
        <f t="shared" ref="H75:H77" si="13">SUM(F75*G75/1000)</f>
        <v>1.5434000000000001</v>
      </c>
      <c r="I75" s="13">
        <v>0</v>
      </c>
    </row>
    <row r="76" spans="1:21" ht="15.75" hidden="1" customHeight="1">
      <c r="A76" s="29">
        <v>17</v>
      </c>
      <c r="B76" s="35" t="s">
        <v>73</v>
      </c>
      <c r="C76" s="95" t="s">
        <v>74</v>
      </c>
      <c r="D76" s="75" t="s">
        <v>67</v>
      </c>
      <c r="E76" s="16">
        <v>3</v>
      </c>
      <c r="F76" s="33">
        <f>E76/10</f>
        <v>0.3</v>
      </c>
      <c r="G76" s="33">
        <v>657.87</v>
      </c>
      <c r="H76" s="68">
        <f t="shared" si="13"/>
        <v>0.19736099999999998</v>
      </c>
      <c r="I76" s="13">
        <f>G76*0.9</f>
        <v>592.08299999999997</v>
      </c>
    </row>
    <row r="77" spans="1:21" ht="15.75" hidden="1" customHeight="1">
      <c r="A77" s="29"/>
      <c r="B77" s="35" t="s">
        <v>161</v>
      </c>
      <c r="C77" s="95" t="s">
        <v>106</v>
      </c>
      <c r="D77" s="75" t="s">
        <v>67</v>
      </c>
      <c r="E77" s="16">
        <v>2</v>
      </c>
      <c r="F77" s="78">
        <f>SUM(E77)</f>
        <v>2</v>
      </c>
      <c r="G77" s="33">
        <v>1118.72</v>
      </c>
      <c r="H77" s="68">
        <f t="shared" si="13"/>
        <v>2.2374399999999999</v>
      </c>
      <c r="I77" s="13">
        <v>0</v>
      </c>
    </row>
    <row r="78" spans="1:21" ht="15.75" hidden="1" customHeight="1">
      <c r="A78" s="29"/>
      <c r="B78" s="47" t="s">
        <v>162</v>
      </c>
      <c r="C78" s="48" t="s">
        <v>106</v>
      </c>
      <c r="D78" s="75" t="s">
        <v>67</v>
      </c>
      <c r="E78" s="16">
        <v>1</v>
      </c>
      <c r="F78" s="93">
        <v>1</v>
      </c>
      <c r="G78" s="33">
        <v>1605.83</v>
      </c>
      <c r="H78" s="68">
        <f>SUM(F78*G78/1000)</f>
        <v>1.6058299999999999</v>
      </c>
      <c r="I78" s="13">
        <v>0</v>
      </c>
    </row>
    <row r="79" spans="1:21" ht="15.75" customHeight="1">
      <c r="A79" s="29">
        <v>14</v>
      </c>
      <c r="B79" s="47" t="s">
        <v>163</v>
      </c>
      <c r="C79" s="48" t="s">
        <v>106</v>
      </c>
      <c r="D79" s="35" t="s">
        <v>30</v>
      </c>
      <c r="E79" s="98">
        <v>2</v>
      </c>
      <c r="F79" s="92">
        <f>E79*12</f>
        <v>24</v>
      </c>
      <c r="G79" s="99">
        <v>53.42</v>
      </c>
      <c r="H79" s="68">
        <f t="shared" ref="H79:H80" si="14">SUM(F79*G79/1000)</f>
        <v>1.2820799999999999</v>
      </c>
      <c r="I79" s="13">
        <f t="shared" ref="I79:I82" si="15">F79/12*G79</f>
        <v>106.84</v>
      </c>
    </row>
    <row r="80" spans="1:21" ht="15.75" customHeight="1">
      <c r="A80" s="29">
        <v>15</v>
      </c>
      <c r="B80" s="57" t="s">
        <v>164</v>
      </c>
      <c r="C80" s="95"/>
      <c r="D80" s="35" t="s">
        <v>30</v>
      </c>
      <c r="E80" s="16">
        <v>1</v>
      </c>
      <c r="F80" s="33">
        <v>12</v>
      </c>
      <c r="G80" s="33">
        <v>1194</v>
      </c>
      <c r="H80" s="68">
        <f t="shared" si="14"/>
        <v>14.327999999999999</v>
      </c>
      <c r="I80" s="13">
        <f t="shared" si="15"/>
        <v>1194</v>
      </c>
    </row>
    <row r="81" spans="1:9" ht="15.75" customHeight="1">
      <c r="A81" s="29"/>
      <c r="B81" s="110" t="s">
        <v>165</v>
      </c>
      <c r="C81" s="48"/>
      <c r="D81" s="35"/>
      <c r="E81" s="16"/>
      <c r="F81" s="33"/>
      <c r="G81" s="33"/>
      <c r="H81" s="68"/>
      <c r="I81" s="13"/>
    </row>
    <row r="82" spans="1:9" ht="15.75" customHeight="1">
      <c r="A82" s="29">
        <v>16</v>
      </c>
      <c r="B82" s="35" t="s">
        <v>166</v>
      </c>
      <c r="C82" s="100" t="s">
        <v>167</v>
      </c>
      <c r="D82" s="75" t="s">
        <v>67</v>
      </c>
      <c r="E82" s="16">
        <v>2626.5</v>
      </c>
      <c r="F82" s="33">
        <f>SUM(E82*12)</f>
        <v>31518</v>
      </c>
      <c r="G82" s="33">
        <v>2.2799999999999998</v>
      </c>
      <c r="H82" s="68">
        <f t="shared" ref="H82" si="16">SUM(F82*G82/1000)</f>
        <v>71.861039999999988</v>
      </c>
      <c r="I82" s="13">
        <f t="shared" si="15"/>
        <v>5988.4199999999992</v>
      </c>
    </row>
    <row r="83" spans="1:9" ht="15.75" hidden="1" customHeight="1">
      <c r="A83" s="29"/>
      <c r="B83" s="111" t="s">
        <v>75</v>
      </c>
      <c r="C83" s="95"/>
      <c r="D83" s="35"/>
      <c r="E83" s="16"/>
      <c r="F83" s="33"/>
      <c r="G83" s="33" t="s">
        <v>136</v>
      </c>
      <c r="H83" s="68" t="s">
        <v>136</v>
      </c>
      <c r="I83" s="13"/>
    </row>
    <row r="84" spans="1:9" ht="15.75" hidden="1" customHeight="1">
      <c r="A84" s="29"/>
      <c r="B84" s="101" t="s">
        <v>126</v>
      </c>
      <c r="C84" s="96" t="s">
        <v>76</v>
      </c>
      <c r="D84" s="94"/>
      <c r="E84" s="102"/>
      <c r="F84" s="74">
        <v>0.5</v>
      </c>
      <c r="G84" s="74">
        <v>3619.09</v>
      </c>
      <c r="H84" s="68">
        <f t="shared" si="12"/>
        <v>1.8095450000000002</v>
      </c>
      <c r="I84" s="13"/>
    </row>
    <row r="85" spans="1:9" ht="15.75" hidden="1" customHeight="1">
      <c r="A85" s="29"/>
      <c r="B85" s="62" t="s">
        <v>93</v>
      </c>
      <c r="C85" s="13"/>
      <c r="D85" s="13"/>
      <c r="E85" s="13"/>
      <c r="F85" s="13"/>
      <c r="G85" s="13"/>
      <c r="H85" s="13"/>
      <c r="I85" s="13"/>
    </row>
    <row r="86" spans="1:9" ht="15.75" hidden="1" customHeight="1">
      <c r="A86" s="29"/>
      <c r="B86" s="75" t="s">
        <v>112</v>
      </c>
      <c r="C86" s="103"/>
      <c r="D86" s="104"/>
      <c r="E86" s="105"/>
      <c r="F86" s="34">
        <v>1</v>
      </c>
      <c r="G86" s="34">
        <v>8275.7000000000007</v>
      </c>
      <c r="H86" s="68">
        <f>G86*F86/1000</f>
        <v>8.2757000000000005</v>
      </c>
      <c r="I86" s="13"/>
    </row>
    <row r="87" spans="1:9" ht="15" customHeight="1">
      <c r="A87" s="174" t="s">
        <v>133</v>
      </c>
      <c r="B87" s="175"/>
      <c r="C87" s="175"/>
      <c r="D87" s="175"/>
      <c r="E87" s="175"/>
      <c r="F87" s="175"/>
      <c r="G87" s="175"/>
      <c r="H87" s="175"/>
      <c r="I87" s="176"/>
    </row>
    <row r="88" spans="1:9" ht="15.75" customHeight="1">
      <c r="A88" s="29">
        <v>17</v>
      </c>
      <c r="B88" s="75" t="s">
        <v>113</v>
      </c>
      <c r="C88" s="95" t="s">
        <v>55</v>
      </c>
      <c r="D88" s="61" t="s">
        <v>142</v>
      </c>
      <c r="E88" s="33">
        <v>2626.5</v>
      </c>
      <c r="F88" s="33">
        <f>SUM(E88*12)</f>
        <v>31518</v>
      </c>
      <c r="G88" s="33">
        <v>3.1</v>
      </c>
      <c r="H88" s="68">
        <f>SUM(F88*G88/1000)</f>
        <v>97.705799999999996</v>
      </c>
      <c r="I88" s="13">
        <f t="shared" ref="I88:I89" si="17">F88/12*G88</f>
        <v>8142.1500000000005</v>
      </c>
    </row>
    <row r="89" spans="1:9" ht="31.5" customHeight="1">
      <c r="A89" s="29">
        <v>18</v>
      </c>
      <c r="B89" s="35" t="s">
        <v>77</v>
      </c>
      <c r="C89" s="95"/>
      <c r="D89" s="61" t="s">
        <v>142</v>
      </c>
      <c r="E89" s="77">
        <f>E88</f>
        <v>2626.5</v>
      </c>
      <c r="F89" s="33">
        <f>E89*12</f>
        <v>31518</v>
      </c>
      <c r="G89" s="33">
        <v>3.5</v>
      </c>
      <c r="H89" s="68">
        <f>F89*G89/1000</f>
        <v>110.313</v>
      </c>
      <c r="I89" s="13">
        <f t="shared" si="17"/>
        <v>9192.75</v>
      </c>
    </row>
    <row r="90" spans="1:9" ht="15.75" customHeight="1">
      <c r="A90" s="29"/>
      <c r="B90" s="36" t="s">
        <v>80</v>
      </c>
      <c r="C90" s="59"/>
      <c r="D90" s="58"/>
      <c r="E90" s="55"/>
      <c r="F90" s="55"/>
      <c r="G90" s="55"/>
      <c r="H90" s="60">
        <f>H80</f>
        <v>14.327999999999999</v>
      </c>
      <c r="I90" s="55">
        <f>I89+I88+I82+I80+I79+I64+I46+I45+I44+I43+I41+I40+I39+I27+I20+I18+I17+I16</f>
        <v>41666.192208333334</v>
      </c>
    </row>
    <row r="91" spans="1:9" ht="15.75" customHeight="1">
      <c r="A91" s="163" t="s">
        <v>60</v>
      </c>
      <c r="B91" s="164"/>
      <c r="C91" s="164"/>
      <c r="D91" s="164"/>
      <c r="E91" s="164"/>
      <c r="F91" s="164"/>
      <c r="G91" s="164"/>
      <c r="H91" s="164"/>
      <c r="I91" s="165"/>
    </row>
    <row r="92" spans="1:9" ht="16.5" customHeight="1">
      <c r="A92" s="29">
        <v>19</v>
      </c>
      <c r="B92" s="47" t="s">
        <v>147</v>
      </c>
      <c r="C92" s="48" t="s">
        <v>106</v>
      </c>
      <c r="D92" s="35"/>
      <c r="E92" s="16"/>
      <c r="F92" s="33">
        <v>2</v>
      </c>
      <c r="G92" s="33">
        <v>197.48</v>
      </c>
      <c r="H92" s="68">
        <f>G92*F92/1000</f>
        <v>0.39495999999999998</v>
      </c>
      <c r="I92" s="13">
        <f>G92*1</f>
        <v>197.48</v>
      </c>
    </row>
    <row r="93" spans="1:9" ht="31.5" customHeight="1">
      <c r="A93" s="29">
        <v>20</v>
      </c>
      <c r="B93" s="54" t="s">
        <v>359</v>
      </c>
      <c r="C93" s="29" t="s">
        <v>81</v>
      </c>
      <c r="D93" s="35"/>
      <c r="E93" s="16"/>
      <c r="F93" s="33"/>
      <c r="G93" s="13">
        <v>1187</v>
      </c>
      <c r="H93" s="68"/>
      <c r="I93" s="13">
        <f>G93*1</f>
        <v>1187</v>
      </c>
    </row>
    <row r="94" spans="1:9" ht="31.5" customHeight="1">
      <c r="A94" s="29">
        <v>21</v>
      </c>
      <c r="B94" s="54" t="s">
        <v>360</v>
      </c>
      <c r="C94" s="29" t="s">
        <v>81</v>
      </c>
      <c r="D94" s="35"/>
      <c r="E94" s="16"/>
      <c r="F94" s="33"/>
      <c r="G94" s="13">
        <v>1146</v>
      </c>
      <c r="H94" s="68"/>
      <c r="I94" s="13">
        <f>G94*1</f>
        <v>1146</v>
      </c>
    </row>
    <row r="95" spans="1:9" ht="15" customHeight="1">
      <c r="A95" s="29">
        <v>22</v>
      </c>
      <c r="B95" s="54" t="s">
        <v>335</v>
      </c>
      <c r="C95" s="29" t="s">
        <v>106</v>
      </c>
      <c r="D95" s="35"/>
      <c r="E95" s="16"/>
      <c r="F95" s="33"/>
      <c r="G95" s="13">
        <v>151.31</v>
      </c>
      <c r="H95" s="68"/>
      <c r="I95" s="13">
        <f>G95*3</f>
        <v>453.93</v>
      </c>
    </row>
    <row r="96" spans="1:9" ht="15" customHeight="1">
      <c r="A96" s="29">
        <v>23</v>
      </c>
      <c r="B96" s="54" t="s">
        <v>349</v>
      </c>
      <c r="C96" s="29" t="s">
        <v>106</v>
      </c>
      <c r="D96" s="35"/>
      <c r="E96" s="16"/>
      <c r="F96" s="33"/>
      <c r="G96" s="13">
        <v>89.92</v>
      </c>
      <c r="H96" s="68"/>
      <c r="I96" s="13">
        <f>G96*2</f>
        <v>179.84</v>
      </c>
    </row>
    <row r="97" spans="1:9" ht="15" customHeight="1">
      <c r="A97" s="29">
        <v>24</v>
      </c>
      <c r="B97" s="54" t="s">
        <v>357</v>
      </c>
      <c r="C97" s="29" t="s">
        <v>106</v>
      </c>
      <c r="D97" s="35"/>
      <c r="E97" s="16"/>
      <c r="F97" s="33"/>
      <c r="G97" s="13">
        <v>95.25</v>
      </c>
      <c r="H97" s="68"/>
      <c r="I97" s="13">
        <f>G97*2</f>
        <v>190.5</v>
      </c>
    </row>
    <row r="98" spans="1:9" ht="15" customHeight="1">
      <c r="A98" s="29">
        <v>25</v>
      </c>
      <c r="B98" s="54" t="s">
        <v>350</v>
      </c>
      <c r="C98" s="29" t="s">
        <v>106</v>
      </c>
      <c r="D98" s="35"/>
      <c r="E98" s="16"/>
      <c r="F98" s="33"/>
      <c r="G98" s="13">
        <v>5.42</v>
      </c>
      <c r="H98" s="68"/>
      <c r="I98" s="13">
        <f>G98*10</f>
        <v>54.2</v>
      </c>
    </row>
    <row r="99" spans="1:9" ht="15" customHeight="1">
      <c r="A99" s="29">
        <v>26</v>
      </c>
      <c r="B99" s="54" t="s">
        <v>348</v>
      </c>
      <c r="C99" s="29" t="s">
        <v>106</v>
      </c>
      <c r="D99" s="35"/>
      <c r="E99" s="16"/>
      <c r="F99" s="33"/>
      <c r="G99" s="13">
        <v>5.43</v>
      </c>
      <c r="H99" s="68"/>
      <c r="I99" s="13">
        <f>G99*3</f>
        <v>16.29</v>
      </c>
    </row>
    <row r="100" spans="1:9" ht="15" customHeight="1">
      <c r="A100" s="29">
        <v>27</v>
      </c>
      <c r="B100" s="54" t="s">
        <v>358</v>
      </c>
      <c r="C100" s="29" t="s">
        <v>106</v>
      </c>
      <c r="D100" s="35"/>
      <c r="E100" s="16"/>
      <c r="F100" s="33"/>
      <c r="G100" s="13">
        <v>6.84</v>
      </c>
      <c r="H100" s="68"/>
      <c r="I100" s="13">
        <f>G100*1</f>
        <v>6.84</v>
      </c>
    </row>
    <row r="101" spans="1:9" ht="15" customHeight="1">
      <c r="A101" s="29">
        <v>28</v>
      </c>
      <c r="B101" s="46" t="s">
        <v>127</v>
      </c>
      <c r="C101" s="49" t="s">
        <v>83</v>
      </c>
      <c r="D101" s="35"/>
      <c r="E101" s="16"/>
      <c r="F101" s="33"/>
      <c r="G101" s="33">
        <v>203.68</v>
      </c>
      <c r="H101" s="68"/>
      <c r="I101" s="13">
        <f>G101*1</f>
        <v>203.68</v>
      </c>
    </row>
    <row r="102" spans="1:9" ht="16.5" customHeight="1">
      <c r="A102" s="29"/>
      <c r="B102" s="41" t="s">
        <v>52</v>
      </c>
      <c r="C102" s="37"/>
      <c r="D102" s="44"/>
      <c r="E102" s="37">
        <v>1</v>
      </c>
      <c r="F102" s="37"/>
      <c r="G102" s="37"/>
      <c r="H102" s="37"/>
      <c r="I102" s="31">
        <f>SUM(I92:I101)</f>
        <v>3635.7599999999998</v>
      </c>
    </row>
    <row r="103" spans="1:9" ht="15.75" customHeight="1">
      <c r="A103" s="29"/>
      <c r="B103" s="43" t="s">
        <v>78</v>
      </c>
      <c r="C103" s="15"/>
      <c r="D103" s="15"/>
      <c r="E103" s="38"/>
      <c r="F103" s="38"/>
      <c r="G103" s="39"/>
      <c r="H103" s="39"/>
      <c r="I103" s="16">
        <v>0</v>
      </c>
    </row>
    <row r="104" spans="1:9" ht="15.75" customHeight="1">
      <c r="A104" s="45"/>
      <c r="B104" s="42" t="s">
        <v>148</v>
      </c>
      <c r="C104" s="32"/>
      <c r="D104" s="32"/>
      <c r="E104" s="32"/>
      <c r="F104" s="32"/>
      <c r="G104" s="32"/>
      <c r="H104" s="32"/>
      <c r="I104" s="40">
        <f>I90+I102</f>
        <v>45301.952208333336</v>
      </c>
    </row>
    <row r="105" spans="1:9" ht="15.75" customHeight="1">
      <c r="A105" s="166" t="s">
        <v>361</v>
      </c>
      <c r="B105" s="166"/>
      <c r="C105" s="166"/>
      <c r="D105" s="166"/>
      <c r="E105" s="166"/>
      <c r="F105" s="166"/>
      <c r="G105" s="166"/>
      <c r="H105" s="166"/>
      <c r="I105" s="166"/>
    </row>
    <row r="106" spans="1:9" ht="15.75">
      <c r="A106" s="50"/>
      <c r="B106" s="167" t="s">
        <v>362</v>
      </c>
      <c r="C106" s="167"/>
      <c r="D106" s="167"/>
      <c r="E106" s="167"/>
      <c r="F106" s="167"/>
      <c r="G106" s="167"/>
      <c r="H106" s="53"/>
      <c r="I106" s="3"/>
    </row>
    <row r="107" spans="1:9">
      <c r="A107" s="64"/>
      <c r="B107" s="168" t="s">
        <v>6</v>
      </c>
      <c r="C107" s="168"/>
      <c r="D107" s="168"/>
      <c r="E107" s="168"/>
      <c r="F107" s="168"/>
      <c r="G107" s="168"/>
      <c r="H107" s="24"/>
      <c r="I107" s="5"/>
    </row>
    <row r="108" spans="1:9" ht="15.75" customHeight="1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5.75" customHeight="1">
      <c r="A109" s="169" t="s">
        <v>7</v>
      </c>
      <c r="B109" s="169"/>
      <c r="C109" s="169"/>
      <c r="D109" s="169"/>
      <c r="E109" s="169"/>
      <c r="F109" s="169"/>
      <c r="G109" s="169"/>
      <c r="H109" s="169"/>
      <c r="I109" s="169"/>
    </row>
    <row r="110" spans="1:9" ht="15.75">
      <c r="A110" s="169" t="s">
        <v>8</v>
      </c>
      <c r="B110" s="169"/>
      <c r="C110" s="169"/>
      <c r="D110" s="169"/>
      <c r="E110" s="169"/>
      <c r="F110" s="169"/>
      <c r="G110" s="169"/>
      <c r="H110" s="169"/>
      <c r="I110" s="169"/>
    </row>
    <row r="111" spans="1:9" ht="15.75">
      <c r="A111" s="170" t="s">
        <v>61</v>
      </c>
      <c r="B111" s="170"/>
      <c r="C111" s="170"/>
      <c r="D111" s="170"/>
      <c r="E111" s="170"/>
      <c r="F111" s="170"/>
      <c r="G111" s="170"/>
      <c r="H111" s="170"/>
      <c r="I111" s="170"/>
    </row>
    <row r="112" spans="1:9" ht="15.75">
      <c r="A112" s="11"/>
    </row>
    <row r="113" spans="1:9" ht="15.75">
      <c r="A113" s="171" t="s">
        <v>9</v>
      </c>
      <c r="B113" s="171"/>
      <c r="C113" s="171"/>
      <c r="D113" s="171"/>
      <c r="E113" s="171"/>
      <c r="F113" s="171"/>
      <c r="G113" s="171"/>
      <c r="H113" s="171"/>
      <c r="I113" s="171"/>
    </row>
    <row r="114" spans="1:9" ht="15.75" customHeight="1">
      <c r="A114" s="4"/>
    </row>
    <row r="115" spans="1:9" ht="15.75">
      <c r="B115" s="66" t="s">
        <v>10</v>
      </c>
      <c r="C115" s="172" t="s">
        <v>132</v>
      </c>
      <c r="D115" s="172"/>
      <c r="E115" s="172"/>
      <c r="F115" s="51"/>
      <c r="I115" s="67"/>
    </row>
    <row r="116" spans="1:9">
      <c r="A116" s="64"/>
      <c r="C116" s="168" t="s">
        <v>11</v>
      </c>
      <c r="D116" s="168"/>
      <c r="E116" s="168"/>
      <c r="F116" s="24"/>
      <c r="I116" s="65" t="s">
        <v>12</v>
      </c>
    </row>
    <row r="117" spans="1:9" ht="15.75" customHeight="1">
      <c r="A117" s="25"/>
      <c r="C117" s="12"/>
      <c r="D117" s="12"/>
      <c r="G117" s="12"/>
      <c r="H117" s="12"/>
    </row>
    <row r="118" spans="1:9" ht="15.75" customHeight="1">
      <c r="B118" s="66" t="s">
        <v>13</v>
      </c>
      <c r="C118" s="173"/>
      <c r="D118" s="173"/>
      <c r="E118" s="173"/>
      <c r="F118" s="52"/>
      <c r="I118" s="67"/>
    </row>
    <row r="119" spans="1:9" ht="15.75" customHeight="1">
      <c r="A119" s="64"/>
      <c r="C119" s="162" t="s">
        <v>11</v>
      </c>
      <c r="D119" s="162"/>
      <c r="E119" s="162"/>
      <c r="F119" s="64"/>
      <c r="I119" s="65" t="s">
        <v>12</v>
      </c>
    </row>
    <row r="120" spans="1:9" ht="15.75">
      <c r="A120" s="4" t="s">
        <v>14</v>
      </c>
    </row>
    <row r="121" spans="1:9">
      <c r="A121" s="195" t="s">
        <v>15</v>
      </c>
      <c r="B121" s="195"/>
      <c r="C121" s="195"/>
      <c r="D121" s="195"/>
      <c r="E121" s="195"/>
      <c r="F121" s="195"/>
      <c r="G121" s="195"/>
      <c r="H121" s="195"/>
      <c r="I121" s="195"/>
    </row>
    <row r="122" spans="1:9" ht="45" customHeight="1">
      <c r="A122" s="196" t="s">
        <v>16</v>
      </c>
      <c r="B122" s="196"/>
      <c r="C122" s="196"/>
      <c r="D122" s="196"/>
      <c r="E122" s="196"/>
      <c r="F122" s="196"/>
      <c r="G122" s="196"/>
      <c r="H122" s="196"/>
      <c r="I122" s="196"/>
    </row>
    <row r="123" spans="1:9" ht="30" customHeight="1">
      <c r="A123" s="196" t="s">
        <v>17</v>
      </c>
      <c r="B123" s="196"/>
      <c r="C123" s="196"/>
      <c r="D123" s="196"/>
      <c r="E123" s="196"/>
      <c r="F123" s="196"/>
      <c r="G123" s="196"/>
      <c r="H123" s="196"/>
      <c r="I123" s="196"/>
    </row>
    <row r="124" spans="1:9" ht="30" customHeight="1">
      <c r="A124" s="196" t="s">
        <v>21</v>
      </c>
      <c r="B124" s="196"/>
      <c r="C124" s="196"/>
      <c r="D124" s="196"/>
      <c r="E124" s="196"/>
      <c r="F124" s="196"/>
      <c r="G124" s="196"/>
      <c r="H124" s="196"/>
      <c r="I124" s="196"/>
    </row>
    <row r="125" spans="1:9" ht="15" customHeight="1">
      <c r="A125" s="196" t="s">
        <v>20</v>
      </c>
      <c r="B125" s="196"/>
      <c r="C125" s="196"/>
      <c r="D125" s="196"/>
      <c r="E125" s="196"/>
      <c r="F125" s="196"/>
      <c r="G125" s="196"/>
      <c r="H125" s="196"/>
      <c r="I125" s="196"/>
    </row>
  </sheetData>
  <autoFilter ref="I12:I60"/>
  <mergeCells count="29">
    <mergeCell ref="A121:I121"/>
    <mergeCell ref="A122:I122"/>
    <mergeCell ref="A123:I123"/>
    <mergeCell ref="A124:I124"/>
    <mergeCell ref="A125:I125"/>
    <mergeCell ref="A87:I87"/>
    <mergeCell ref="A111:I111"/>
    <mergeCell ref="A91:I91"/>
    <mergeCell ref="A105:I105"/>
    <mergeCell ref="B106:G106"/>
    <mergeCell ref="B107:G107"/>
    <mergeCell ref="A109:I109"/>
    <mergeCell ref="A110:I110"/>
    <mergeCell ref="A113:I113"/>
    <mergeCell ref="C115:E115"/>
    <mergeCell ref="C116:E116"/>
    <mergeCell ref="C118:E118"/>
    <mergeCell ref="C119:E119"/>
    <mergeCell ref="A15:I15"/>
    <mergeCell ref="R65:U65"/>
    <mergeCell ref="A3:I3"/>
    <mergeCell ref="A4:I4"/>
    <mergeCell ref="A5:I5"/>
    <mergeCell ref="A8:I8"/>
    <mergeCell ref="A10:I10"/>
    <mergeCell ref="A14:I14"/>
    <mergeCell ref="A29:I29"/>
    <mergeCell ref="A47:I47"/>
    <mergeCell ref="A58:I58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1"/>
  <sheetViews>
    <sheetView tabSelected="1" view="pageBreakPreview" topLeftCell="A93" zoomScale="60" workbookViewId="0">
      <selection activeCell="M116" sqref="M11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5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355</v>
      </c>
      <c r="I1" s="26"/>
      <c r="J1" s="1"/>
      <c r="K1" s="1"/>
      <c r="L1" s="1"/>
      <c r="M1" s="1"/>
    </row>
    <row r="2" spans="1:13" ht="15.75">
      <c r="A2" s="28" t="s">
        <v>62</v>
      </c>
      <c r="J2" s="2"/>
      <c r="K2" s="2"/>
      <c r="L2" s="2"/>
      <c r="M2" s="2"/>
    </row>
    <row r="3" spans="1:13" ht="15.75" customHeight="1">
      <c r="A3" s="179" t="s">
        <v>153</v>
      </c>
      <c r="B3" s="179"/>
      <c r="C3" s="179"/>
      <c r="D3" s="179"/>
      <c r="E3" s="179"/>
      <c r="F3" s="179"/>
      <c r="G3" s="179"/>
      <c r="H3" s="179"/>
      <c r="I3" s="179"/>
      <c r="J3" s="3"/>
      <c r="K3" s="3"/>
      <c r="L3" s="3"/>
    </row>
    <row r="4" spans="1:13" ht="31.5" customHeight="1">
      <c r="A4" s="180" t="s">
        <v>128</v>
      </c>
      <c r="B4" s="180"/>
      <c r="C4" s="180"/>
      <c r="D4" s="180"/>
      <c r="E4" s="180"/>
      <c r="F4" s="180"/>
      <c r="G4" s="180"/>
      <c r="H4" s="180"/>
      <c r="I4" s="180"/>
    </row>
    <row r="5" spans="1:13" ht="15.75">
      <c r="A5" s="179" t="s">
        <v>363</v>
      </c>
      <c r="B5" s="181"/>
      <c r="C5" s="181"/>
      <c r="D5" s="181"/>
      <c r="E5" s="181"/>
      <c r="F5" s="181"/>
      <c r="G5" s="181"/>
      <c r="H5" s="181"/>
      <c r="I5" s="181"/>
      <c r="J5" s="2"/>
      <c r="K5" s="2"/>
      <c r="L5" s="2"/>
      <c r="M5" s="2"/>
    </row>
    <row r="6" spans="1:13" ht="15.75">
      <c r="A6" s="2"/>
      <c r="B6" s="63"/>
      <c r="C6" s="63"/>
      <c r="D6" s="63"/>
      <c r="E6" s="63"/>
      <c r="F6" s="63"/>
      <c r="G6" s="63"/>
      <c r="H6" s="63"/>
      <c r="I6" s="30">
        <v>43465</v>
      </c>
      <c r="J6" s="2"/>
      <c r="K6" s="2"/>
      <c r="L6" s="2"/>
      <c r="M6" s="2"/>
    </row>
    <row r="7" spans="1:13" ht="15.75">
      <c r="B7" s="66"/>
      <c r="C7" s="66"/>
      <c r="D7" s="6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2" t="s">
        <v>300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3" t="s">
        <v>143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4" t="s">
        <v>59</v>
      </c>
      <c r="B14" s="184"/>
      <c r="C14" s="184"/>
      <c r="D14" s="184"/>
      <c r="E14" s="184"/>
      <c r="F14" s="184"/>
      <c r="G14" s="184"/>
      <c r="H14" s="184"/>
      <c r="I14" s="184"/>
      <c r="J14" s="8"/>
      <c r="K14" s="8"/>
      <c r="L14" s="8"/>
      <c r="M14" s="8"/>
    </row>
    <row r="15" spans="1:13" ht="15" customHeight="1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  <c r="J15" s="8"/>
      <c r="K15" s="8"/>
      <c r="L15" s="8"/>
      <c r="M15" s="8"/>
    </row>
    <row r="16" spans="1:13" ht="15.75" customHeight="1">
      <c r="A16" s="29">
        <v>1</v>
      </c>
      <c r="B16" s="75" t="s">
        <v>86</v>
      </c>
      <c r="C16" s="76" t="s">
        <v>87</v>
      </c>
      <c r="D16" s="75" t="s">
        <v>144</v>
      </c>
      <c r="E16" s="77">
        <v>49.72</v>
      </c>
      <c r="F16" s="78">
        <f>SUM(E16*156/100)</f>
        <v>77.563199999999995</v>
      </c>
      <c r="G16" s="78">
        <v>230</v>
      </c>
      <c r="H16" s="79">
        <f t="shared" ref="H16:H25" si="0">SUM(F16*G16/1000)</f>
        <v>17.839535999999999</v>
      </c>
      <c r="I16" s="13">
        <f>F16/12*G16</f>
        <v>1486.6279999999999</v>
      </c>
      <c r="J16" s="21"/>
      <c r="K16" s="8"/>
      <c r="L16" s="8"/>
      <c r="M16" s="8"/>
    </row>
    <row r="17" spans="1:13" ht="15.75" customHeight="1">
      <c r="A17" s="29">
        <v>2</v>
      </c>
      <c r="B17" s="75" t="s">
        <v>114</v>
      </c>
      <c r="C17" s="76" t="s">
        <v>87</v>
      </c>
      <c r="D17" s="75" t="s">
        <v>145</v>
      </c>
      <c r="E17" s="77">
        <v>198.88</v>
      </c>
      <c r="F17" s="78">
        <f>SUM(E17*104/100)</f>
        <v>206.83520000000001</v>
      </c>
      <c r="G17" s="78">
        <v>230</v>
      </c>
      <c r="H17" s="79">
        <f t="shared" si="0"/>
        <v>47.572096000000002</v>
      </c>
      <c r="I17" s="13">
        <f>F17/12*G17</f>
        <v>3964.3413333333338</v>
      </c>
      <c r="J17" s="22"/>
      <c r="K17" s="8"/>
      <c r="L17" s="8"/>
      <c r="M17" s="8"/>
    </row>
    <row r="18" spans="1:13" ht="15.75" customHeight="1">
      <c r="A18" s="29">
        <v>3</v>
      </c>
      <c r="B18" s="75" t="s">
        <v>115</v>
      </c>
      <c r="C18" s="76" t="s">
        <v>87</v>
      </c>
      <c r="D18" s="75" t="s">
        <v>146</v>
      </c>
      <c r="E18" s="77">
        <v>248.6</v>
      </c>
      <c r="F18" s="78">
        <f>SUM(E18*24/100)</f>
        <v>59.663999999999994</v>
      </c>
      <c r="G18" s="78">
        <v>661.67</v>
      </c>
      <c r="H18" s="79">
        <f t="shared" si="0"/>
        <v>39.477878879999999</v>
      </c>
      <c r="I18" s="13">
        <f>F18/12*G18</f>
        <v>3289.8232399999993</v>
      </c>
      <c r="J18" s="22"/>
      <c r="K18" s="8"/>
      <c r="L18" s="8"/>
      <c r="M18" s="8"/>
    </row>
    <row r="19" spans="1:13" ht="15.75" hidden="1" customHeight="1">
      <c r="A19" s="29"/>
      <c r="B19" s="75" t="s">
        <v>94</v>
      </c>
      <c r="C19" s="76" t="s">
        <v>95</v>
      </c>
      <c r="D19" s="75" t="s">
        <v>96</v>
      </c>
      <c r="E19" s="77">
        <v>18.48</v>
      </c>
      <c r="F19" s="78">
        <f>SUM(E19/10)</f>
        <v>1.8480000000000001</v>
      </c>
      <c r="G19" s="78">
        <v>223.17</v>
      </c>
      <c r="H19" s="79">
        <f t="shared" si="0"/>
        <v>0.41241815999999998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75" t="s">
        <v>97</v>
      </c>
      <c r="C20" s="76" t="s">
        <v>87</v>
      </c>
      <c r="D20" s="75" t="s">
        <v>155</v>
      </c>
      <c r="E20" s="77">
        <v>10.5</v>
      </c>
      <c r="F20" s="78">
        <f>SUM(E20*12/100)</f>
        <v>1.26</v>
      </c>
      <c r="G20" s="78">
        <v>285.76</v>
      </c>
      <c r="H20" s="79">
        <f t="shared" si="0"/>
        <v>0.36005759999999998</v>
      </c>
      <c r="I20" s="13">
        <f>F20/12*G20</f>
        <v>30.004799999999999</v>
      </c>
      <c r="J20" s="22"/>
      <c r="K20" s="8"/>
      <c r="L20" s="8"/>
      <c r="M20" s="8"/>
    </row>
    <row r="21" spans="1:13" ht="15.75" hidden="1" customHeight="1">
      <c r="A21" s="29">
        <v>5</v>
      </c>
      <c r="B21" s="75" t="s">
        <v>98</v>
      </c>
      <c r="C21" s="76" t="s">
        <v>87</v>
      </c>
      <c r="D21" s="75" t="s">
        <v>42</v>
      </c>
      <c r="E21" s="77">
        <v>3</v>
      </c>
      <c r="F21" s="78">
        <f>SUM(E21*2/100)</f>
        <v>0.06</v>
      </c>
      <c r="G21" s="78">
        <v>283.44</v>
      </c>
      <c r="H21" s="79">
        <f t="shared" si="0"/>
        <v>1.7006399999999998E-2</v>
      </c>
      <c r="I21" s="13">
        <f>F21/6*G21</f>
        <v>2.8344</v>
      </c>
      <c r="J21" s="22"/>
      <c r="K21" s="8"/>
      <c r="L21" s="8"/>
      <c r="M21" s="8"/>
    </row>
    <row r="22" spans="1:13" ht="15.75" hidden="1" customHeight="1">
      <c r="A22" s="29"/>
      <c r="B22" s="75" t="s">
        <v>99</v>
      </c>
      <c r="C22" s="76" t="s">
        <v>53</v>
      </c>
      <c r="D22" s="75" t="s">
        <v>96</v>
      </c>
      <c r="E22" s="77">
        <v>267.75</v>
      </c>
      <c r="F22" s="78">
        <f>SUM(E22/100)</f>
        <v>2.6775000000000002</v>
      </c>
      <c r="G22" s="78">
        <v>353.14</v>
      </c>
      <c r="H22" s="79">
        <f t="shared" si="0"/>
        <v>0.94553235000000002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75" t="s">
        <v>100</v>
      </c>
      <c r="C23" s="76" t="s">
        <v>53</v>
      </c>
      <c r="D23" s="75" t="s">
        <v>96</v>
      </c>
      <c r="E23" s="80">
        <v>36.229999999999997</v>
      </c>
      <c r="F23" s="78">
        <f>SUM(E23/100)</f>
        <v>0.36229999999999996</v>
      </c>
      <c r="G23" s="78">
        <v>58.08</v>
      </c>
      <c r="H23" s="79">
        <f t="shared" si="0"/>
        <v>2.1042383999999997E-2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75" t="s">
        <v>101</v>
      </c>
      <c r="C24" s="76" t="s">
        <v>53</v>
      </c>
      <c r="D24" s="75" t="s">
        <v>54</v>
      </c>
      <c r="E24" s="77">
        <v>15</v>
      </c>
      <c r="F24" s="78">
        <f>SUM(E24/100)</f>
        <v>0.15</v>
      </c>
      <c r="G24" s="78">
        <v>511.12</v>
      </c>
      <c r="H24" s="79">
        <f t="shared" si="0"/>
        <v>7.6667999999999986E-2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75" t="s">
        <v>102</v>
      </c>
      <c r="C25" s="76" t="s">
        <v>53</v>
      </c>
      <c r="D25" s="75" t="s">
        <v>54</v>
      </c>
      <c r="E25" s="77">
        <v>6.38</v>
      </c>
      <c r="F25" s="78">
        <f>SUM(E25/100)</f>
        <v>6.3799999999999996E-2</v>
      </c>
      <c r="G25" s="78">
        <v>683.05</v>
      </c>
      <c r="H25" s="79">
        <f t="shared" si="0"/>
        <v>4.3578589999999993E-2</v>
      </c>
      <c r="I25" s="13">
        <v>0</v>
      </c>
      <c r="J25" s="22"/>
      <c r="K25" s="8"/>
      <c r="L25" s="8"/>
      <c r="M25" s="8"/>
    </row>
    <row r="26" spans="1:13" ht="15.75" hidden="1" customHeight="1">
      <c r="A26" s="29"/>
      <c r="B26" s="75" t="s">
        <v>122</v>
      </c>
      <c r="C26" s="76" t="s">
        <v>53</v>
      </c>
      <c r="D26" s="75" t="s">
        <v>54</v>
      </c>
      <c r="E26" s="77">
        <v>14.25</v>
      </c>
      <c r="F26" s="78">
        <v>0.14000000000000001</v>
      </c>
      <c r="G26" s="78">
        <v>283.44</v>
      </c>
      <c r="H26" s="79">
        <f>G26*F26/1000</f>
        <v>3.9681600000000004E-2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5</v>
      </c>
      <c r="B27" s="75" t="s">
        <v>64</v>
      </c>
      <c r="C27" s="76" t="s">
        <v>33</v>
      </c>
      <c r="D27" s="75" t="s">
        <v>63</v>
      </c>
      <c r="E27" s="82">
        <v>0.1</v>
      </c>
      <c r="F27" s="78">
        <f>SUM(E27*155)</f>
        <v>15.5</v>
      </c>
      <c r="G27" s="78">
        <v>264.85000000000002</v>
      </c>
      <c r="H27" s="79">
        <f>SUM(F27*G27/1000)</f>
        <v>4.105175</v>
      </c>
      <c r="I27" s="13">
        <f>F27/12*G27</f>
        <v>342.09791666666672</v>
      </c>
      <c r="J27" s="23"/>
    </row>
    <row r="28" spans="1:13" ht="15.75" hidden="1" customHeight="1">
      <c r="A28" s="29">
        <v>6</v>
      </c>
      <c r="B28" s="83" t="s">
        <v>23</v>
      </c>
      <c r="C28" s="76" t="s">
        <v>24</v>
      </c>
      <c r="D28" s="83" t="s">
        <v>136</v>
      </c>
      <c r="E28" s="77">
        <v>2626.5</v>
      </c>
      <c r="F28" s="78">
        <f>SUM(E28*12)</f>
        <v>31518</v>
      </c>
      <c r="G28" s="78">
        <v>3.36</v>
      </c>
      <c r="H28" s="79">
        <f>SUM(F28*G28/1000)</f>
        <v>105.90048</v>
      </c>
      <c r="I28" s="13">
        <f t="shared" ref="I28" si="1">F28/12*G28</f>
        <v>8825.0399999999991</v>
      </c>
      <c r="J28" s="23"/>
    </row>
    <row r="29" spans="1:13" ht="15.75" customHeight="1">
      <c r="A29" s="185" t="s">
        <v>84</v>
      </c>
      <c r="B29" s="185"/>
      <c r="C29" s="185"/>
      <c r="D29" s="185"/>
      <c r="E29" s="185"/>
      <c r="F29" s="185"/>
      <c r="G29" s="185"/>
      <c r="H29" s="185"/>
      <c r="I29" s="185"/>
      <c r="J29" s="22"/>
      <c r="K29" s="8"/>
      <c r="L29" s="8"/>
      <c r="M29" s="8"/>
    </row>
    <row r="30" spans="1:13" ht="15.75" hidden="1" customHeight="1">
      <c r="A30" s="29"/>
      <c r="B30" s="106" t="s">
        <v>28</v>
      </c>
      <c r="C30" s="76"/>
      <c r="D30" s="75"/>
      <c r="E30" s="77"/>
      <c r="F30" s="78"/>
      <c r="G30" s="78"/>
      <c r="H30" s="79"/>
      <c r="I30" s="13"/>
      <c r="J30" s="23"/>
    </row>
    <row r="31" spans="1:13" ht="15.75" hidden="1" customHeight="1">
      <c r="A31" s="29"/>
      <c r="B31" s="75" t="s">
        <v>104</v>
      </c>
      <c r="C31" s="76" t="s">
        <v>89</v>
      </c>
      <c r="D31" s="75" t="s">
        <v>149</v>
      </c>
      <c r="E31" s="78">
        <v>665</v>
      </c>
      <c r="F31" s="78">
        <f>SUM(E31*52/1000)</f>
        <v>34.58</v>
      </c>
      <c r="G31" s="78">
        <v>204.44</v>
      </c>
      <c r="H31" s="79">
        <f t="shared" ref="H31:H37" si="2">SUM(F31*G31/1000)</f>
        <v>7.0695351999999989</v>
      </c>
      <c r="I31" s="13">
        <f t="shared" ref="I31:I32" si="3">F31/6*G31</f>
        <v>1178.2558666666666</v>
      </c>
      <c r="J31" s="22"/>
      <c r="K31" s="8"/>
      <c r="L31" s="8"/>
      <c r="M31" s="8"/>
    </row>
    <row r="32" spans="1:13" ht="15.75" hidden="1" customHeight="1">
      <c r="A32" s="29"/>
      <c r="B32" s="75" t="s">
        <v>117</v>
      </c>
      <c r="C32" s="76" t="s">
        <v>89</v>
      </c>
      <c r="D32" s="75" t="s">
        <v>150</v>
      </c>
      <c r="E32" s="78">
        <v>81.5</v>
      </c>
      <c r="F32" s="78">
        <f>SUM(E32*78/1000)</f>
        <v>6.3570000000000002</v>
      </c>
      <c r="G32" s="78">
        <v>339.21</v>
      </c>
      <c r="H32" s="79">
        <f t="shared" si="2"/>
        <v>2.1563579700000002</v>
      </c>
      <c r="I32" s="13">
        <f t="shared" si="3"/>
        <v>359.39299500000004</v>
      </c>
      <c r="J32" s="22"/>
      <c r="K32" s="8"/>
      <c r="L32" s="8"/>
      <c r="M32" s="8"/>
    </row>
    <row r="33" spans="1:14" ht="15.75" hidden="1" customHeight="1">
      <c r="A33" s="29"/>
      <c r="B33" s="75" t="s">
        <v>27</v>
      </c>
      <c r="C33" s="76" t="s">
        <v>89</v>
      </c>
      <c r="D33" s="75" t="s">
        <v>54</v>
      </c>
      <c r="E33" s="78">
        <v>665</v>
      </c>
      <c r="F33" s="78">
        <f>SUM(E33/1000)</f>
        <v>0.66500000000000004</v>
      </c>
      <c r="G33" s="78">
        <v>3961.23</v>
      </c>
      <c r="H33" s="79">
        <f t="shared" si="2"/>
        <v>2.63421795</v>
      </c>
      <c r="I33" s="13">
        <f>F33*G33</f>
        <v>2634.2179500000002</v>
      </c>
      <c r="J33" s="22"/>
      <c r="K33" s="8"/>
      <c r="L33" s="8"/>
      <c r="M33" s="8"/>
    </row>
    <row r="34" spans="1:14" ht="15.75" hidden="1" customHeight="1">
      <c r="A34" s="29"/>
      <c r="B34" s="75" t="s">
        <v>116</v>
      </c>
      <c r="C34" s="76" t="s">
        <v>40</v>
      </c>
      <c r="D34" s="75" t="s">
        <v>63</v>
      </c>
      <c r="E34" s="78">
        <v>3</v>
      </c>
      <c r="F34" s="78">
        <f>E34*155/100</f>
        <v>4.6500000000000004</v>
      </c>
      <c r="G34" s="78">
        <v>1707.63</v>
      </c>
      <c r="H34" s="79">
        <f>G34*F34/1000</f>
        <v>7.9404795000000012</v>
      </c>
      <c r="I34" s="13">
        <f>F34/6*G34</f>
        <v>1323.4132500000001</v>
      </c>
      <c r="J34" s="22"/>
      <c r="K34" s="8"/>
      <c r="L34" s="8"/>
      <c r="M34" s="8"/>
    </row>
    <row r="35" spans="1:14" ht="15.75" hidden="1" customHeight="1">
      <c r="A35" s="29"/>
      <c r="B35" s="75" t="s">
        <v>103</v>
      </c>
      <c r="C35" s="76" t="s">
        <v>31</v>
      </c>
      <c r="D35" s="75" t="s">
        <v>63</v>
      </c>
      <c r="E35" s="81">
        <f>1/3</f>
        <v>0.33333333333333331</v>
      </c>
      <c r="F35" s="78">
        <f>155/3</f>
        <v>51.666666666666664</v>
      </c>
      <c r="G35" s="78">
        <v>74.349999999999994</v>
      </c>
      <c r="H35" s="79">
        <f>SUM(G35*155/3/1000)</f>
        <v>3.8414166666666665</v>
      </c>
      <c r="I35" s="13">
        <f>F35/6*G35</f>
        <v>640.23611111111109</v>
      </c>
      <c r="J35" s="22"/>
      <c r="K35" s="8"/>
    </row>
    <row r="36" spans="1:14" ht="15.75" hidden="1" customHeight="1">
      <c r="A36" s="29"/>
      <c r="B36" s="75" t="s">
        <v>65</v>
      </c>
      <c r="C36" s="76" t="s">
        <v>33</v>
      </c>
      <c r="D36" s="75" t="s">
        <v>67</v>
      </c>
      <c r="E36" s="77"/>
      <c r="F36" s="78">
        <v>1</v>
      </c>
      <c r="G36" s="78">
        <v>250.92</v>
      </c>
      <c r="H36" s="79">
        <f t="shared" si="2"/>
        <v>0.25091999999999998</v>
      </c>
      <c r="I36" s="13">
        <v>0</v>
      </c>
      <c r="J36" s="23"/>
    </row>
    <row r="37" spans="1:14" ht="15.75" hidden="1" customHeight="1">
      <c r="A37" s="29"/>
      <c r="B37" s="75" t="s">
        <v>66</v>
      </c>
      <c r="C37" s="76" t="s">
        <v>32</v>
      </c>
      <c r="D37" s="75" t="s">
        <v>67</v>
      </c>
      <c r="E37" s="77"/>
      <c r="F37" s="78">
        <v>1</v>
      </c>
      <c r="G37" s="78">
        <v>1490.31</v>
      </c>
      <c r="H37" s="79">
        <f t="shared" si="2"/>
        <v>1.49031</v>
      </c>
      <c r="I37" s="13">
        <v>0</v>
      </c>
      <c r="J37" s="23"/>
    </row>
    <row r="38" spans="1:14" ht="15.75" customHeight="1">
      <c r="A38" s="29"/>
      <c r="B38" s="106" t="s">
        <v>5</v>
      </c>
      <c r="C38" s="76"/>
      <c r="D38" s="75"/>
      <c r="E38" s="77"/>
      <c r="F38" s="78"/>
      <c r="G38" s="78"/>
      <c r="H38" s="79" t="s">
        <v>136</v>
      </c>
      <c r="I38" s="13"/>
      <c r="J38" s="23"/>
    </row>
    <row r="39" spans="1:14" ht="15.75" customHeight="1">
      <c r="A39" s="29">
        <v>6</v>
      </c>
      <c r="B39" s="84" t="s">
        <v>26</v>
      </c>
      <c r="C39" s="76" t="s">
        <v>32</v>
      </c>
      <c r="D39" s="75"/>
      <c r="E39" s="77"/>
      <c r="F39" s="78">
        <v>5</v>
      </c>
      <c r="G39" s="78">
        <v>2003</v>
      </c>
      <c r="H39" s="79">
        <f t="shared" ref="H39:H46" si="4">SUM(F39*G39/1000)</f>
        <v>10.015000000000001</v>
      </c>
      <c r="I39" s="13">
        <f t="shared" ref="I39:I46" si="5">F39/6*G39</f>
        <v>1669.1666666666667</v>
      </c>
      <c r="J39" s="23"/>
    </row>
    <row r="40" spans="1:14" ht="15.75" customHeight="1">
      <c r="A40" s="29">
        <v>7</v>
      </c>
      <c r="B40" s="84" t="s">
        <v>105</v>
      </c>
      <c r="C40" s="85" t="s">
        <v>29</v>
      </c>
      <c r="D40" s="75" t="s">
        <v>123</v>
      </c>
      <c r="E40" s="77">
        <v>81.5</v>
      </c>
      <c r="F40" s="86">
        <f>E40*30/1000</f>
        <v>2.4449999999999998</v>
      </c>
      <c r="G40" s="78">
        <v>2757.78</v>
      </c>
      <c r="H40" s="79">
        <f t="shared" si="4"/>
        <v>6.7427720999999998</v>
      </c>
      <c r="I40" s="13">
        <f t="shared" si="5"/>
        <v>1123.7953500000001</v>
      </c>
      <c r="J40" s="23"/>
    </row>
    <row r="41" spans="1:14" ht="15.75" customHeight="1">
      <c r="A41" s="29">
        <v>8</v>
      </c>
      <c r="B41" s="75" t="s">
        <v>68</v>
      </c>
      <c r="C41" s="76" t="s">
        <v>29</v>
      </c>
      <c r="D41" s="75" t="s">
        <v>88</v>
      </c>
      <c r="E41" s="78">
        <v>81.5</v>
      </c>
      <c r="F41" s="86">
        <f>SUM(E41*155/1000)</f>
        <v>12.6325</v>
      </c>
      <c r="G41" s="78">
        <v>460.02</v>
      </c>
      <c r="H41" s="79">
        <f t="shared" si="4"/>
        <v>5.8112026500000002</v>
      </c>
      <c r="I41" s="13">
        <f t="shared" si="5"/>
        <v>968.53377499999999</v>
      </c>
      <c r="J41" s="23"/>
      <c r="L41" s="18"/>
      <c r="M41" s="19"/>
      <c r="N41" s="20"/>
    </row>
    <row r="42" spans="1:14" ht="15.75" hidden="1" customHeight="1">
      <c r="A42" s="29"/>
      <c r="B42" s="75" t="s">
        <v>118</v>
      </c>
      <c r="C42" s="76" t="s">
        <v>119</v>
      </c>
      <c r="D42" s="75" t="s">
        <v>67</v>
      </c>
      <c r="E42" s="77"/>
      <c r="F42" s="86">
        <v>26</v>
      </c>
      <c r="G42" s="78">
        <v>314</v>
      </c>
      <c r="H42" s="79">
        <f t="shared" si="4"/>
        <v>8.1639999999999997</v>
      </c>
      <c r="I42" s="13">
        <v>0</v>
      </c>
      <c r="J42" s="23"/>
      <c r="L42" s="18"/>
      <c r="M42" s="19"/>
      <c r="N42" s="20"/>
    </row>
    <row r="43" spans="1:14" ht="47.25" customHeight="1">
      <c r="A43" s="29">
        <v>9</v>
      </c>
      <c r="B43" s="75" t="s">
        <v>82</v>
      </c>
      <c r="C43" s="76" t="s">
        <v>89</v>
      </c>
      <c r="D43" s="75" t="s">
        <v>124</v>
      </c>
      <c r="E43" s="78">
        <v>81.5</v>
      </c>
      <c r="F43" s="86">
        <f>SUM(E43*35/1000)</f>
        <v>2.8525</v>
      </c>
      <c r="G43" s="78">
        <v>7611.16</v>
      </c>
      <c r="H43" s="79">
        <f t="shared" si="4"/>
        <v>21.710833900000001</v>
      </c>
      <c r="I43" s="13">
        <f t="shared" si="5"/>
        <v>3618.4723166666663</v>
      </c>
      <c r="J43" s="23"/>
      <c r="L43" s="18"/>
      <c r="M43" s="19"/>
      <c r="N43" s="20"/>
    </row>
    <row r="44" spans="1:14" ht="15.75" customHeight="1">
      <c r="A44" s="29">
        <v>10</v>
      </c>
      <c r="B44" s="75" t="s">
        <v>90</v>
      </c>
      <c r="C44" s="76" t="s">
        <v>89</v>
      </c>
      <c r="D44" s="75" t="s">
        <v>69</v>
      </c>
      <c r="E44" s="78">
        <v>81.5</v>
      </c>
      <c r="F44" s="86">
        <f>SUM(E44*45/1000)</f>
        <v>3.6675</v>
      </c>
      <c r="G44" s="78">
        <v>562.25</v>
      </c>
      <c r="H44" s="79">
        <f t="shared" si="4"/>
        <v>2.0620518750000003</v>
      </c>
      <c r="I44" s="13">
        <f>F44/7.5*1.5*G44</f>
        <v>412.41037500000004</v>
      </c>
      <c r="J44" s="23"/>
      <c r="L44" s="18"/>
      <c r="M44" s="19"/>
      <c r="N44" s="20"/>
    </row>
    <row r="45" spans="1:14" ht="15.75" customHeight="1">
      <c r="A45" s="29">
        <v>11</v>
      </c>
      <c r="B45" s="84" t="s">
        <v>70</v>
      </c>
      <c r="C45" s="85" t="s">
        <v>33</v>
      </c>
      <c r="D45" s="84"/>
      <c r="E45" s="82"/>
      <c r="F45" s="86">
        <v>0.9</v>
      </c>
      <c r="G45" s="86">
        <v>974.83</v>
      </c>
      <c r="H45" s="79">
        <f t="shared" si="4"/>
        <v>0.8773470000000001</v>
      </c>
      <c r="I45" s="13">
        <f>F45/7.5*1.5*G45</f>
        <v>175.46940000000004</v>
      </c>
      <c r="J45" s="23"/>
      <c r="L45" s="18"/>
      <c r="M45" s="19"/>
      <c r="N45" s="20"/>
    </row>
    <row r="46" spans="1:14" ht="15.75" customHeight="1">
      <c r="A46" s="29">
        <v>12</v>
      </c>
      <c r="B46" s="47" t="s">
        <v>156</v>
      </c>
      <c r="C46" s="48" t="s">
        <v>29</v>
      </c>
      <c r="D46" s="84" t="s">
        <v>157</v>
      </c>
      <c r="E46" s="82">
        <v>2.4</v>
      </c>
      <c r="F46" s="86">
        <f>SUM(E46*12/1000)</f>
        <v>2.8799999999999996E-2</v>
      </c>
      <c r="G46" s="86">
        <v>260.2</v>
      </c>
      <c r="H46" s="79">
        <f t="shared" si="4"/>
        <v>7.4937599999999986E-3</v>
      </c>
      <c r="I46" s="13">
        <f t="shared" si="5"/>
        <v>1.2489599999999998</v>
      </c>
      <c r="J46" s="23"/>
      <c r="L46" s="18"/>
      <c r="M46" s="19"/>
      <c r="N46" s="20"/>
    </row>
    <row r="47" spans="1:14" ht="15.75" customHeight="1">
      <c r="A47" s="186" t="s">
        <v>129</v>
      </c>
      <c r="B47" s="187"/>
      <c r="C47" s="187"/>
      <c r="D47" s="187"/>
      <c r="E47" s="187"/>
      <c r="F47" s="187"/>
      <c r="G47" s="187"/>
      <c r="H47" s="187"/>
      <c r="I47" s="188"/>
      <c r="J47" s="23"/>
      <c r="L47" s="18"/>
      <c r="M47" s="19"/>
      <c r="N47" s="20"/>
    </row>
    <row r="48" spans="1:14" ht="15.75" hidden="1" customHeight="1">
      <c r="A48" s="29"/>
      <c r="B48" s="75" t="s">
        <v>125</v>
      </c>
      <c r="C48" s="76" t="s">
        <v>89</v>
      </c>
      <c r="D48" s="75" t="s">
        <v>42</v>
      </c>
      <c r="E48" s="77">
        <v>1080</v>
      </c>
      <c r="F48" s="78">
        <f>SUM(E48*2/1000)</f>
        <v>2.16</v>
      </c>
      <c r="G48" s="33">
        <v>1172.4100000000001</v>
      </c>
      <c r="H48" s="79">
        <f t="shared" ref="H48:H56" si="6">SUM(F48*G48/1000)</f>
        <v>2.5324056000000006</v>
      </c>
      <c r="I48" s="13">
        <f t="shared" ref="I48:I51" si="7">F48/2*G48</f>
        <v>1266.2028000000003</v>
      </c>
      <c r="J48" s="23"/>
      <c r="L48" s="18"/>
      <c r="M48" s="19"/>
      <c r="N48" s="20"/>
    </row>
    <row r="49" spans="1:22" ht="15.75" hidden="1" customHeight="1">
      <c r="A49" s="29"/>
      <c r="B49" s="75" t="s">
        <v>35</v>
      </c>
      <c r="C49" s="76" t="s">
        <v>89</v>
      </c>
      <c r="D49" s="75" t="s">
        <v>42</v>
      </c>
      <c r="E49" s="77">
        <v>39</v>
      </c>
      <c r="F49" s="78">
        <f>SUM(E49*2/1000)</f>
        <v>7.8E-2</v>
      </c>
      <c r="G49" s="33">
        <v>4419.05</v>
      </c>
      <c r="H49" s="79">
        <f t="shared" si="6"/>
        <v>0.34468589999999999</v>
      </c>
      <c r="I49" s="13">
        <f t="shared" si="7"/>
        <v>172.34295</v>
      </c>
      <c r="J49" s="23"/>
      <c r="L49" s="18"/>
      <c r="M49" s="19"/>
      <c r="N49" s="20"/>
    </row>
    <row r="50" spans="1:22" ht="15.75" hidden="1" customHeight="1">
      <c r="A50" s="29"/>
      <c r="B50" s="75" t="s">
        <v>36</v>
      </c>
      <c r="C50" s="76" t="s">
        <v>89</v>
      </c>
      <c r="D50" s="75" t="s">
        <v>42</v>
      </c>
      <c r="E50" s="77">
        <v>1037</v>
      </c>
      <c r="F50" s="78">
        <f>SUM(E50*2/1000)</f>
        <v>2.0739999999999998</v>
      </c>
      <c r="G50" s="33">
        <v>1803.69</v>
      </c>
      <c r="H50" s="79">
        <f t="shared" si="6"/>
        <v>3.7408530600000001</v>
      </c>
      <c r="I50" s="13">
        <f t="shared" si="7"/>
        <v>1870.42653</v>
      </c>
      <c r="J50" s="23"/>
      <c r="L50" s="18"/>
      <c r="M50" s="19"/>
      <c r="N50" s="20"/>
    </row>
    <row r="51" spans="1:22" ht="15.75" hidden="1" customHeight="1">
      <c r="A51" s="29"/>
      <c r="B51" s="75" t="s">
        <v>37</v>
      </c>
      <c r="C51" s="76" t="s">
        <v>89</v>
      </c>
      <c r="D51" s="75" t="s">
        <v>42</v>
      </c>
      <c r="E51" s="77">
        <v>2274</v>
      </c>
      <c r="F51" s="78">
        <f>SUM(E51*2/1000)</f>
        <v>4.548</v>
      </c>
      <c r="G51" s="33">
        <v>1243.43</v>
      </c>
      <c r="H51" s="79">
        <f t="shared" si="6"/>
        <v>5.6551196399999997</v>
      </c>
      <c r="I51" s="13">
        <f t="shared" si="7"/>
        <v>2827.5598199999999</v>
      </c>
      <c r="J51" s="23"/>
      <c r="L51" s="18"/>
      <c r="M51" s="19"/>
      <c r="N51" s="20"/>
    </row>
    <row r="52" spans="1:22" ht="15.75" hidden="1" customHeight="1">
      <c r="A52" s="29"/>
      <c r="B52" s="75" t="s">
        <v>34</v>
      </c>
      <c r="C52" s="76" t="s">
        <v>53</v>
      </c>
      <c r="D52" s="75" t="s">
        <v>42</v>
      </c>
      <c r="E52" s="77">
        <v>83.04</v>
      </c>
      <c r="F52" s="78">
        <v>1.66</v>
      </c>
      <c r="G52" s="33">
        <v>1352.76</v>
      </c>
      <c r="H52" s="79">
        <f>SUM(F52*G52/1000)</f>
        <v>2.2455816</v>
      </c>
      <c r="I52" s="13">
        <f>F52/2*G52</f>
        <v>1122.7908</v>
      </c>
      <c r="J52" s="23"/>
      <c r="L52" s="18"/>
      <c r="M52" s="19"/>
      <c r="N52" s="20"/>
    </row>
    <row r="53" spans="1:22" ht="15.75" customHeight="1">
      <c r="A53" s="29">
        <v>13</v>
      </c>
      <c r="B53" s="75" t="s">
        <v>56</v>
      </c>
      <c r="C53" s="76" t="s">
        <v>89</v>
      </c>
      <c r="D53" s="75" t="s">
        <v>140</v>
      </c>
      <c r="E53" s="77">
        <v>2626.5</v>
      </c>
      <c r="F53" s="78">
        <f>SUM(E53*5/1000)</f>
        <v>13.1325</v>
      </c>
      <c r="G53" s="33">
        <v>1803.69</v>
      </c>
      <c r="H53" s="79">
        <f t="shared" ref="H53:H55" si="8">SUM(F53*G53/1000)</f>
        <v>23.686958925000003</v>
      </c>
      <c r="I53" s="13">
        <f>F53/5*G53</f>
        <v>4737.3917849999998</v>
      </c>
      <c r="J53" s="23"/>
      <c r="L53" s="18"/>
      <c r="M53" s="19"/>
      <c r="N53" s="20"/>
    </row>
    <row r="54" spans="1:22" ht="31.5" hidden="1" customHeight="1">
      <c r="A54" s="29"/>
      <c r="B54" s="75" t="s">
        <v>91</v>
      </c>
      <c r="C54" s="76" t="s">
        <v>89</v>
      </c>
      <c r="D54" s="75" t="s">
        <v>42</v>
      </c>
      <c r="E54" s="77">
        <v>2626.5</v>
      </c>
      <c r="F54" s="78">
        <f>SUM(E54*2/1000)</f>
        <v>5.2530000000000001</v>
      </c>
      <c r="G54" s="33">
        <v>1591.6</v>
      </c>
      <c r="H54" s="79">
        <f t="shared" si="8"/>
        <v>8.3606747999999982</v>
      </c>
      <c r="I54" s="13">
        <f>F54/2*G54</f>
        <v>4180.3373999999994</v>
      </c>
      <c r="J54" s="23"/>
      <c r="L54" s="18"/>
      <c r="M54" s="19"/>
      <c r="N54" s="20"/>
    </row>
    <row r="55" spans="1:22" ht="31.5" hidden="1" customHeight="1">
      <c r="A55" s="29"/>
      <c r="B55" s="75" t="s">
        <v>92</v>
      </c>
      <c r="C55" s="76" t="s">
        <v>38</v>
      </c>
      <c r="D55" s="75" t="s">
        <v>42</v>
      </c>
      <c r="E55" s="77">
        <v>15</v>
      </c>
      <c r="F55" s="78">
        <f>SUM(E55*2/100)</f>
        <v>0.3</v>
      </c>
      <c r="G55" s="33">
        <v>4058.32</v>
      </c>
      <c r="H55" s="79">
        <f t="shared" si="8"/>
        <v>1.2174960000000001</v>
      </c>
      <c r="I55" s="13">
        <f t="shared" ref="I55:I56" si="9">F55/2*G55</f>
        <v>608.74800000000005</v>
      </c>
      <c r="J55" s="23"/>
      <c r="L55" s="18"/>
      <c r="M55" s="19"/>
      <c r="N55" s="20"/>
    </row>
    <row r="56" spans="1:22" ht="15.75" hidden="1" customHeight="1">
      <c r="A56" s="29"/>
      <c r="B56" s="75" t="s">
        <v>39</v>
      </c>
      <c r="C56" s="76" t="s">
        <v>40</v>
      </c>
      <c r="D56" s="75" t="s">
        <v>42</v>
      </c>
      <c r="E56" s="77">
        <v>1</v>
      </c>
      <c r="F56" s="78">
        <v>0.02</v>
      </c>
      <c r="G56" s="33">
        <v>7412.92</v>
      </c>
      <c r="H56" s="79">
        <f t="shared" si="6"/>
        <v>0.14825839999999998</v>
      </c>
      <c r="I56" s="13">
        <f t="shared" si="9"/>
        <v>74.129199999999997</v>
      </c>
      <c r="J56" s="23"/>
      <c r="L56" s="18"/>
      <c r="M56" s="19"/>
      <c r="N56" s="20"/>
    </row>
    <row r="57" spans="1:22" ht="15.75" customHeight="1">
      <c r="A57" s="29">
        <v>14</v>
      </c>
      <c r="B57" s="75" t="s">
        <v>41</v>
      </c>
      <c r="C57" s="76" t="s">
        <v>106</v>
      </c>
      <c r="D57" s="75" t="s">
        <v>71</v>
      </c>
      <c r="E57" s="77">
        <v>90</v>
      </c>
      <c r="F57" s="78">
        <f>SUM(E57)*3</f>
        <v>270</v>
      </c>
      <c r="G57" s="74">
        <v>86.15</v>
      </c>
      <c r="H57" s="79">
        <f>SUM(F57*G57/1000)</f>
        <v>23.2605</v>
      </c>
      <c r="I57" s="13">
        <f>F57/3*G57</f>
        <v>7753.5000000000009</v>
      </c>
      <c r="J57" s="23"/>
      <c r="L57" s="18"/>
      <c r="M57" s="19"/>
      <c r="N57" s="20"/>
    </row>
    <row r="58" spans="1:22" ht="15.75" customHeight="1">
      <c r="A58" s="186" t="s">
        <v>130</v>
      </c>
      <c r="B58" s="187"/>
      <c r="C58" s="187"/>
      <c r="D58" s="187"/>
      <c r="E58" s="187"/>
      <c r="F58" s="187"/>
      <c r="G58" s="187"/>
      <c r="H58" s="187"/>
      <c r="I58" s="188"/>
      <c r="J58" s="23"/>
      <c r="L58" s="18"/>
    </row>
    <row r="59" spans="1:22" ht="15.75" customHeight="1">
      <c r="A59" s="29"/>
      <c r="B59" s="106" t="s">
        <v>43</v>
      </c>
      <c r="C59" s="76"/>
      <c r="D59" s="75"/>
      <c r="E59" s="77"/>
      <c r="F59" s="78"/>
      <c r="G59" s="78"/>
      <c r="H59" s="79"/>
      <c r="I59" s="13"/>
    </row>
    <row r="60" spans="1:22" ht="31.5" customHeight="1">
      <c r="A60" s="29">
        <v>15</v>
      </c>
      <c r="B60" s="75" t="s">
        <v>137</v>
      </c>
      <c r="C60" s="76" t="s">
        <v>87</v>
      </c>
      <c r="D60" s="75" t="s">
        <v>107</v>
      </c>
      <c r="E60" s="77">
        <v>111</v>
      </c>
      <c r="F60" s="78">
        <f>SUM(E60*6/100)</f>
        <v>6.66</v>
      </c>
      <c r="G60" s="33">
        <v>2029.3</v>
      </c>
      <c r="H60" s="79">
        <f>SUM(F60*G60/1000)</f>
        <v>13.515138</v>
      </c>
      <c r="I60" s="13">
        <f>G60*1.88</f>
        <v>3815.0839999999998</v>
      </c>
    </row>
    <row r="61" spans="1:22" ht="15.75" customHeight="1">
      <c r="A61" s="29">
        <v>16</v>
      </c>
      <c r="B61" s="75" t="s">
        <v>158</v>
      </c>
      <c r="C61" s="76" t="s">
        <v>159</v>
      </c>
      <c r="D61" s="75" t="s">
        <v>67</v>
      </c>
      <c r="E61" s="77"/>
      <c r="F61" s="78">
        <v>3</v>
      </c>
      <c r="G61" s="33">
        <v>1582.05</v>
      </c>
      <c r="H61" s="79">
        <f>SUM(F61*G61/1000)</f>
        <v>4.7461499999999992</v>
      </c>
      <c r="I61" s="13">
        <f>G61*2</f>
        <v>3164.1</v>
      </c>
    </row>
    <row r="62" spans="1:22" ht="15.75" customHeight="1">
      <c r="A62" s="29"/>
      <c r="B62" s="107" t="s">
        <v>44</v>
      </c>
      <c r="C62" s="87"/>
      <c r="D62" s="88"/>
      <c r="E62" s="89"/>
      <c r="F62" s="90"/>
      <c r="G62" s="33"/>
      <c r="H62" s="91"/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29"/>
      <c r="B63" s="88" t="s">
        <v>45</v>
      </c>
      <c r="C63" s="87" t="s">
        <v>53</v>
      </c>
      <c r="D63" s="88" t="s">
        <v>54</v>
      </c>
      <c r="E63" s="89">
        <v>130</v>
      </c>
      <c r="F63" s="90">
        <f>E63/100</f>
        <v>1.3</v>
      </c>
      <c r="G63" s="33">
        <v>1040.8399999999999</v>
      </c>
      <c r="H63" s="91">
        <f>F63*G63/1000</f>
        <v>1.353092</v>
      </c>
      <c r="I63" s="13">
        <v>0</v>
      </c>
      <c r="J63" s="25"/>
      <c r="K63" s="25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29">
        <v>17</v>
      </c>
      <c r="B64" s="88" t="s">
        <v>120</v>
      </c>
      <c r="C64" s="87" t="s">
        <v>25</v>
      </c>
      <c r="D64" s="88" t="s">
        <v>30</v>
      </c>
      <c r="E64" s="89">
        <v>130</v>
      </c>
      <c r="F64" s="92">
        <f>E64*12</f>
        <v>1560</v>
      </c>
      <c r="G64" s="93">
        <v>1.2</v>
      </c>
      <c r="H64" s="90">
        <f>F64*G64/1000</f>
        <v>1.8720000000000001</v>
      </c>
      <c r="I64" s="13">
        <f t="shared" ref="I64" si="10">F64/12*G64</f>
        <v>156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29"/>
      <c r="B65" s="108" t="s">
        <v>46</v>
      </c>
      <c r="C65" s="87"/>
      <c r="D65" s="88"/>
      <c r="E65" s="89"/>
      <c r="F65" s="92"/>
      <c r="G65" s="92"/>
      <c r="H65" s="90" t="s">
        <v>136</v>
      </c>
      <c r="I65" s="13"/>
      <c r="J65" s="5"/>
      <c r="K65" s="5"/>
      <c r="L65" s="5"/>
      <c r="M65" s="5"/>
      <c r="N65" s="5"/>
      <c r="O65" s="5"/>
      <c r="P65" s="5"/>
      <c r="Q65" s="5"/>
      <c r="R65" s="162"/>
      <c r="S65" s="162"/>
      <c r="T65" s="162"/>
      <c r="U65" s="162"/>
    </row>
    <row r="66" spans="1:21" ht="15.75" hidden="1" customHeight="1">
      <c r="A66" s="29"/>
      <c r="B66" s="94" t="s">
        <v>47</v>
      </c>
      <c r="C66" s="95" t="s">
        <v>106</v>
      </c>
      <c r="D66" s="75" t="s">
        <v>67</v>
      </c>
      <c r="E66" s="16">
        <v>9</v>
      </c>
      <c r="F66" s="74">
        <f>SUM(E66)</f>
        <v>9</v>
      </c>
      <c r="G66" s="33">
        <v>291.68</v>
      </c>
      <c r="H66" s="68">
        <f t="shared" ref="H66:H84" si="11">SUM(F66*G66/1000)</f>
        <v>2.6251199999999999</v>
      </c>
      <c r="I66" s="13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29"/>
      <c r="B67" s="94" t="s">
        <v>48</v>
      </c>
      <c r="C67" s="95" t="s">
        <v>106</v>
      </c>
      <c r="D67" s="75" t="s">
        <v>67</v>
      </c>
      <c r="E67" s="16">
        <v>4</v>
      </c>
      <c r="F67" s="74">
        <f>SUM(E67)</f>
        <v>4</v>
      </c>
      <c r="G67" s="33">
        <v>100.01</v>
      </c>
      <c r="H67" s="68">
        <f t="shared" si="11"/>
        <v>0.40004000000000001</v>
      </c>
      <c r="I67" s="13">
        <v>0</v>
      </c>
    </row>
    <row r="68" spans="1:21" ht="15.75" hidden="1" customHeight="1">
      <c r="A68" s="29"/>
      <c r="B68" s="94" t="s">
        <v>49</v>
      </c>
      <c r="C68" s="96" t="s">
        <v>108</v>
      </c>
      <c r="D68" s="35" t="s">
        <v>54</v>
      </c>
      <c r="E68" s="77">
        <v>13287</v>
      </c>
      <c r="F68" s="74">
        <f>SUM(E68/100)</f>
        <v>132.87</v>
      </c>
      <c r="G68" s="33">
        <v>278.24</v>
      </c>
      <c r="H68" s="68">
        <f t="shared" si="11"/>
        <v>36.969748799999998</v>
      </c>
      <c r="I68" s="13">
        <v>0</v>
      </c>
    </row>
    <row r="69" spans="1:21" ht="15.75" hidden="1" customHeight="1">
      <c r="A69" s="29"/>
      <c r="B69" s="94" t="s">
        <v>50</v>
      </c>
      <c r="C69" s="95" t="s">
        <v>109</v>
      </c>
      <c r="D69" s="35" t="s">
        <v>54</v>
      </c>
      <c r="E69" s="77">
        <v>13287</v>
      </c>
      <c r="F69" s="33">
        <f>SUM(E69/1000)</f>
        <v>13.287000000000001</v>
      </c>
      <c r="G69" s="33">
        <v>216.68</v>
      </c>
      <c r="H69" s="68">
        <f t="shared" si="11"/>
        <v>2.8790271600000001</v>
      </c>
      <c r="I69" s="13">
        <v>0</v>
      </c>
    </row>
    <row r="70" spans="1:21" ht="15.75" hidden="1" customHeight="1">
      <c r="A70" s="29"/>
      <c r="B70" s="94" t="s">
        <v>51</v>
      </c>
      <c r="C70" s="95" t="s">
        <v>76</v>
      </c>
      <c r="D70" s="35" t="s">
        <v>54</v>
      </c>
      <c r="E70" s="77">
        <v>2110</v>
      </c>
      <c r="F70" s="33">
        <f>SUM(E70/100)</f>
        <v>21.1</v>
      </c>
      <c r="G70" s="33">
        <v>2720.94</v>
      </c>
      <c r="H70" s="68">
        <f>SUM(F70*G70/1000)</f>
        <v>57.411834000000006</v>
      </c>
      <c r="I70" s="13">
        <v>0</v>
      </c>
    </row>
    <row r="71" spans="1:21" ht="15.75" hidden="1" customHeight="1">
      <c r="A71" s="29"/>
      <c r="B71" s="97" t="s">
        <v>110</v>
      </c>
      <c r="C71" s="95" t="s">
        <v>33</v>
      </c>
      <c r="D71" s="35"/>
      <c r="E71" s="77">
        <v>8.6</v>
      </c>
      <c r="F71" s="33">
        <f>SUM(E71)</f>
        <v>8.6</v>
      </c>
      <c r="G71" s="33">
        <v>42.61</v>
      </c>
      <c r="H71" s="68">
        <f t="shared" si="11"/>
        <v>0.36644599999999999</v>
      </c>
      <c r="I71" s="13">
        <v>0</v>
      </c>
    </row>
    <row r="72" spans="1:21" ht="15.75" hidden="1" customHeight="1">
      <c r="A72" s="29"/>
      <c r="B72" s="97" t="s">
        <v>111</v>
      </c>
      <c r="C72" s="95" t="s">
        <v>33</v>
      </c>
      <c r="D72" s="35"/>
      <c r="E72" s="77">
        <v>8.6</v>
      </c>
      <c r="F72" s="33">
        <f>SUM(E72)</f>
        <v>8.6</v>
      </c>
      <c r="G72" s="33">
        <v>46.04</v>
      </c>
      <c r="H72" s="68">
        <f t="shared" si="11"/>
        <v>0.39594399999999996</v>
      </c>
      <c r="I72" s="13">
        <v>0</v>
      </c>
    </row>
    <row r="73" spans="1:21" ht="15.75" hidden="1" customHeight="1">
      <c r="A73" s="29"/>
      <c r="B73" s="35" t="s">
        <v>57</v>
      </c>
      <c r="C73" s="95" t="s">
        <v>58</v>
      </c>
      <c r="D73" s="35" t="s">
        <v>54</v>
      </c>
      <c r="E73" s="16">
        <v>3</v>
      </c>
      <c r="F73" s="33">
        <f>SUM(E73)</f>
        <v>3</v>
      </c>
      <c r="G73" s="33">
        <v>65.42</v>
      </c>
      <c r="H73" s="68">
        <f t="shared" si="11"/>
        <v>0.19625999999999999</v>
      </c>
      <c r="I73" s="13">
        <v>0</v>
      </c>
    </row>
    <row r="74" spans="1:21" ht="15.75" customHeight="1">
      <c r="A74" s="29"/>
      <c r="B74" s="109" t="s">
        <v>72</v>
      </c>
      <c r="C74" s="95"/>
      <c r="D74" s="35"/>
      <c r="E74" s="16"/>
      <c r="F74" s="33"/>
      <c r="G74" s="33"/>
      <c r="H74" s="68" t="s">
        <v>136</v>
      </c>
      <c r="I74" s="13"/>
    </row>
    <row r="75" spans="1:21" ht="31.5" hidden="1" customHeight="1">
      <c r="A75" s="29"/>
      <c r="B75" s="35" t="s">
        <v>160</v>
      </c>
      <c r="C75" s="95" t="s">
        <v>106</v>
      </c>
      <c r="D75" s="75" t="s">
        <v>67</v>
      </c>
      <c r="E75" s="16">
        <v>1</v>
      </c>
      <c r="F75" s="33">
        <v>1</v>
      </c>
      <c r="G75" s="33">
        <v>1543.4</v>
      </c>
      <c r="H75" s="68">
        <f t="shared" ref="H75:H77" si="12">SUM(F75*G75/1000)</f>
        <v>1.5434000000000001</v>
      </c>
      <c r="I75" s="13">
        <v>0</v>
      </c>
    </row>
    <row r="76" spans="1:21" ht="15.75" hidden="1" customHeight="1">
      <c r="A76" s="29">
        <v>17</v>
      </c>
      <c r="B76" s="35" t="s">
        <v>73</v>
      </c>
      <c r="C76" s="95" t="s">
        <v>74</v>
      </c>
      <c r="D76" s="75" t="s">
        <v>67</v>
      </c>
      <c r="E76" s="16">
        <v>3</v>
      </c>
      <c r="F76" s="33">
        <f>E76/10</f>
        <v>0.3</v>
      </c>
      <c r="G76" s="33">
        <v>657.87</v>
      </c>
      <c r="H76" s="68">
        <f t="shared" si="12"/>
        <v>0.19736099999999998</v>
      </c>
      <c r="I76" s="13">
        <f>G76*0.9</f>
        <v>592.08299999999997</v>
      </c>
    </row>
    <row r="77" spans="1:21" ht="15.75" hidden="1" customHeight="1">
      <c r="A77" s="29"/>
      <c r="B77" s="35" t="s">
        <v>161</v>
      </c>
      <c r="C77" s="95" t="s">
        <v>106</v>
      </c>
      <c r="D77" s="75" t="s">
        <v>67</v>
      </c>
      <c r="E77" s="16">
        <v>2</v>
      </c>
      <c r="F77" s="78">
        <f>SUM(E77)</f>
        <v>2</v>
      </c>
      <c r="G77" s="33">
        <v>1118.72</v>
      </c>
      <c r="H77" s="68">
        <f t="shared" si="12"/>
        <v>2.2374399999999999</v>
      </c>
      <c r="I77" s="13">
        <v>0</v>
      </c>
    </row>
    <row r="78" spans="1:21" ht="15.75" hidden="1" customHeight="1">
      <c r="A78" s="29"/>
      <c r="B78" s="47" t="s">
        <v>162</v>
      </c>
      <c r="C78" s="48" t="s">
        <v>106</v>
      </c>
      <c r="D78" s="75" t="s">
        <v>67</v>
      </c>
      <c r="E78" s="16">
        <v>1</v>
      </c>
      <c r="F78" s="93">
        <v>1</v>
      </c>
      <c r="G78" s="33">
        <v>1605.83</v>
      </c>
      <c r="H78" s="68">
        <f>SUM(F78*G78/1000)</f>
        <v>1.6058299999999999</v>
      </c>
      <c r="I78" s="13">
        <v>0</v>
      </c>
    </row>
    <row r="79" spans="1:21" ht="15.75" customHeight="1">
      <c r="A79" s="29">
        <v>18</v>
      </c>
      <c r="B79" s="47" t="s">
        <v>163</v>
      </c>
      <c r="C79" s="48" t="s">
        <v>106</v>
      </c>
      <c r="D79" s="35" t="s">
        <v>30</v>
      </c>
      <c r="E79" s="98">
        <v>2</v>
      </c>
      <c r="F79" s="92">
        <f>E79*12</f>
        <v>24</v>
      </c>
      <c r="G79" s="99">
        <v>53.42</v>
      </c>
      <c r="H79" s="68">
        <f t="shared" ref="H79:H80" si="13">SUM(F79*G79/1000)</f>
        <v>1.2820799999999999</v>
      </c>
      <c r="I79" s="13">
        <f t="shared" ref="I79:I82" si="14">F79/12*G79</f>
        <v>106.84</v>
      </c>
    </row>
    <row r="80" spans="1:21" ht="15.75" customHeight="1">
      <c r="A80" s="29">
        <v>19</v>
      </c>
      <c r="B80" s="57" t="s">
        <v>164</v>
      </c>
      <c r="C80" s="95"/>
      <c r="D80" s="35" t="s">
        <v>30</v>
      </c>
      <c r="E80" s="16">
        <v>1</v>
      </c>
      <c r="F80" s="33">
        <v>12</v>
      </c>
      <c r="G80" s="33">
        <v>1194</v>
      </c>
      <c r="H80" s="68">
        <f t="shared" si="13"/>
        <v>14.327999999999999</v>
      </c>
      <c r="I80" s="13">
        <f t="shared" si="14"/>
        <v>1194</v>
      </c>
    </row>
    <row r="81" spans="1:9" ht="15.75" customHeight="1">
      <c r="A81" s="29"/>
      <c r="B81" s="110" t="s">
        <v>165</v>
      </c>
      <c r="C81" s="48"/>
      <c r="D81" s="35"/>
      <c r="E81" s="16"/>
      <c r="F81" s="33"/>
      <c r="G81" s="33"/>
      <c r="H81" s="68"/>
      <c r="I81" s="13"/>
    </row>
    <row r="82" spans="1:9" ht="15.75" customHeight="1">
      <c r="A82" s="29">
        <v>20</v>
      </c>
      <c r="B82" s="35" t="s">
        <v>166</v>
      </c>
      <c r="C82" s="100" t="s">
        <v>167</v>
      </c>
      <c r="D82" s="75" t="s">
        <v>67</v>
      </c>
      <c r="E82" s="16">
        <v>2626.5</v>
      </c>
      <c r="F82" s="33">
        <f>SUM(E82*12)</f>
        <v>31518</v>
      </c>
      <c r="G82" s="33">
        <v>2.2799999999999998</v>
      </c>
      <c r="H82" s="68">
        <f t="shared" ref="H82" si="15">SUM(F82*G82/1000)</f>
        <v>71.861039999999988</v>
      </c>
      <c r="I82" s="13">
        <f t="shared" si="14"/>
        <v>5988.4199999999992</v>
      </c>
    </row>
    <row r="83" spans="1:9" ht="15.75" hidden="1" customHeight="1">
      <c r="A83" s="29"/>
      <c r="B83" s="111" t="s">
        <v>75</v>
      </c>
      <c r="C83" s="95"/>
      <c r="D83" s="35"/>
      <c r="E83" s="16"/>
      <c r="F83" s="33"/>
      <c r="G83" s="33" t="s">
        <v>136</v>
      </c>
      <c r="H83" s="68" t="s">
        <v>136</v>
      </c>
      <c r="I83" s="13"/>
    </row>
    <row r="84" spans="1:9" ht="15.75" hidden="1" customHeight="1">
      <c r="A84" s="29"/>
      <c r="B84" s="101" t="s">
        <v>126</v>
      </c>
      <c r="C84" s="96" t="s">
        <v>76</v>
      </c>
      <c r="D84" s="94"/>
      <c r="E84" s="102"/>
      <c r="F84" s="74">
        <v>0.5</v>
      </c>
      <c r="G84" s="74">
        <v>3619.09</v>
      </c>
      <c r="H84" s="68">
        <f t="shared" si="11"/>
        <v>1.8095450000000002</v>
      </c>
      <c r="I84" s="13"/>
    </row>
    <row r="85" spans="1:9" ht="15.75" hidden="1" customHeight="1">
      <c r="A85" s="29"/>
      <c r="B85" s="62" t="s">
        <v>93</v>
      </c>
      <c r="C85" s="13"/>
      <c r="D85" s="13"/>
      <c r="E85" s="13"/>
      <c r="F85" s="13"/>
      <c r="G85" s="13"/>
      <c r="H85" s="13"/>
      <c r="I85" s="13"/>
    </row>
    <row r="86" spans="1:9" ht="15.75" hidden="1" customHeight="1">
      <c r="A86" s="29"/>
      <c r="B86" s="75" t="s">
        <v>112</v>
      </c>
      <c r="C86" s="103"/>
      <c r="D86" s="104"/>
      <c r="E86" s="105"/>
      <c r="F86" s="34">
        <v>1</v>
      </c>
      <c r="G86" s="34">
        <v>8275.7000000000007</v>
      </c>
      <c r="H86" s="68">
        <f>G86*F86/1000</f>
        <v>8.2757000000000005</v>
      </c>
      <c r="I86" s="13"/>
    </row>
    <row r="87" spans="1:9" ht="15" customHeight="1">
      <c r="A87" s="174" t="s">
        <v>131</v>
      </c>
      <c r="B87" s="175"/>
      <c r="C87" s="175"/>
      <c r="D87" s="175"/>
      <c r="E87" s="175"/>
      <c r="F87" s="175"/>
      <c r="G87" s="175"/>
      <c r="H87" s="175"/>
      <c r="I87" s="176"/>
    </row>
    <row r="88" spans="1:9" ht="15.75" customHeight="1">
      <c r="A88" s="29">
        <v>21</v>
      </c>
      <c r="B88" s="75" t="s">
        <v>113</v>
      </c>
      <c r="C88" s="95" t="s">
        <v>55</v>
      </c>
      <c r="D88" s="61" t="s">
        <v>142</v>
      </c>
      <c r="E88" s="33">
        <v>2626.5</v>
      </c>
      <c r="F88" s="33">
        <f>SUM(E88*12)</f>
        <v>31518</v>
      </c>
      <c r="G88" s="33">
        <v>3.1</v>
      </c>
      <c r="H88" s="68">
        <f>SUM(F88*G88/1000)</f>
        <v>97.705799999999996</v>
      </c>
      <c r="I88" s="13">
        <f t="shared" ref="I88:I89" si="16">F88/12*G88</f>
        <v>8142.1500000000005</v>
      </c>
    </row>
    <row r="89" spans="1:9" ht="31.5" customHeight="1">
      <c r="A89" s="29">
        <v>22</v>
      </c>
      <c r="B89" s="35" t="s">
        <v>77</v>
      </c>
      <c r="C89" s="95"/>
      <c r="D89" s="61" t="s">
        <v>142</v>
      </c>
      <c r="E89" s="77">
        <f>E88</f>
        <v>2626.5</v>
      </c>
      <c r="F89" s="33">
        <f>E89*12</f>
        <v>31518</v>
      </c>
      <c r="G89" s="33">
        <v>3.5</v>
      </c>
      <c r="H89" s="68">
        <f>F89*G89/1000</f>
        <v>110.313</v>
      </c>
      <c r="I89" s="13">
        <f t="shared" si="16"/>
        <v>9192.75</v>
      </c>
    </row>
    <row r="90" spans="1:9" ht="15.75" customHeight="1">
      <c r="A90" s="29"/>
      <c r="B90" s="36" t="s">
        <v>80</v>
      </c>
      <c r="C90" s="59"/>
      <c r="D90" s="58"/>
      <c r="E90" s="55"/>
      <c r="F90" s="55"/>
      <c r="G90" s="55"/>
      <c r="H90" s="60">
        <f>H80</f>
        <v>14.327999999999999</v>
      </c>
      <c r="I90" s="55">
        <f>I89+I88+I82+I80+I79+I64+I61+I60+I57+I53+I46+I45+I44+I43+I41+I40+I39+I27+I20+I18+I17+I16</f>
        <v>61332.22791833333</v>
      </c>
    </row>
    <row r="91" spans="1:9" ht="15.75" customHeight="1">
      <c r="A91" s="163" t="s">
        <v>60</v>
      </c>
      <c r="B91" s="164"/>
      <c r="C91" s="164"/>
      <c r="D91" s="164"/>
      <c r="E91" s="164"/>
      <c r="F91" s="164"/>
      <c r="G91" s="164"/>
      <c r="H91" s="164"/>
      <c r="I91" s="165"/>
    </row>
    <row r="92" spans="1:9" ht="15.75" customHeight="1">
      <c r="A92" s="29">
        <v>23</v>
      </c>
      <c r="B92" s="47" t="s">
        <v>147</v>
      </c>
      <c r="C92" s="48" t="s">
        <v>106</v>
      </c>
      <c r="D92" s="35"/>
      <c r="E92" s="16"/>
      <c r="F92" s="33">
        <v>92</v>
      </c>
      <c r="G92" s="33">
        <v>197.48</v>
      </c>
      <c r="H92" s="68">
        <f>G92*F92/1000</f>
        <v>18.16816</v>
      </c>
      <c r="I92" s="13">
        <f>G92*1</f>
        <v>197.48</v>
      </c>
    </row>
    <row r="93" spans="1:9" ht="30.75" customHeight="1">
      <c r="A93" s="29">
        <v>24</v>
      </c>
      <c r="B93" s="47" t="s">
        <v>364</v>
      </c>
      <c r="C93" s="113" t="s">
        <v>365</v>
      </c>
      <c r="D93" s="35"/>
      <c r="E93" s="16"/>
      <c r="F93" s="33">
        <v>2</v>
      </c>
      <c r="G93" s="33">
        <v>9773.7000000000007</v>
      </c>
      <c r="H93" s="68">
        <f t="shared" ref="H93:H94" si="17">G93*F93/1000</f>
        <v>19.547400000000003</v>
      </c>
      <c r="I93" s="13">
        <f>G93*0.014</f>
        <v>136.83180000000002</v>
      </c>
    </row>
    <row r="94" spans="1:9" ht="31.5" customHeight="1">
      <c r="A94" s="29">
        <v>25</v>
      </c>
      <c r="B94" s="54" t="s">
        <v>139</v>
      </c>
      <c r="C94" s="29" t="s">
        <v>81</v>
      </c>
      <c r="D94" s="35"/>
      <c r="E94" s="16"/>
      <c r="F94" s="33">
        <v>0.6</v>
      </c>
      <c r="G94" s="13">
        <v>1272</v>
      </c>
      <c r="H94" s="68">
        <f t="shared" si="17"/>
        <v>0.76319999999999988</v>
      </c>
      <c r="I94" s="13">
        <f>G94*0.5</f>
        <v>636</v>
      </c>
    </row>
    <row r="95" spans="1:9" ht="13.5" customHeight="1">
      <c r="A95" s="29">
        <v>26</v>
      </c>
      <c r="B95" s="54" t="s">
        <v>335</v>
      </c>
      <c r="C95" s="29" t="s">
        <v>106</v>
      </c>
      <c r="D95" s="35"/>
      <c r="E95" s="16"/>
      <c r="F95" s="33">
        <v>1</v>
      </c>
      <c r="G95" s="13">
        <v>151.31</v>
      </c>
      <c r="H95" s="68">
        <f>G95*F95/1000</f>
        <v>0.15131</v>
      </c>
      <c r="I95" s="13">
        <f>G95*4</f>
        <v>605.24</v>
      </c>
    </row>
    <row r="96" spans="1:9" ht="28.5" customHeight="1">
      <c r="A96" s="29">
        <v>27</v>
      </c>
      <c r="B96" s="47" t="s">
        <v>337</v>
      </c>
      <c r="C96" s="48" t="s">
        <v>338</v>
      </c>
      <c r="D96" s="35"/>
      <c r="E96" s="16"/>
      <c r="F96" s="33">
        <v>1</v>
      </c>
      <c r="G96" s="13">
        <v>24829.08</v>
      </c>
      <c r="H96" s="33">
        <f>G96*F96/1000</f>
        <v>24.829080000000001</v>
      </c>
      <c r="I96" s="13">
        <f>G96*0.01</f>
        <v>248.29080000000002</v>
      </c>
    </row>
    <row r="97" spans="1:9" ht="15.75" customHeight="1">
      <c r="A97" s="29">
        <v>28</v>
      </c>
      <c r="B97" s="114" t="s">
        <v>366</v>
      </c>
      <c r="C97" s="100" t="s">
        <v>95</v>
      </c>
      <c r="D97" s="35"/>
      <c r="E97" s="16"/>
      <c r="F97" s="33"/>
      <c r="G97" s="33">
        <v>3134.92</v>
      </c>
      <c r="H97" s="33"/>
      <c r="I97" s="13">
        <f>G97*0.76</f>
        <v>2382.5392000000002</v>
      </c>
    </row>
    <row r="98" spans="1:9" ht="16.5" customHeight="1">
      <c r="A98" s="29"/>
      <c r="B98" s="41" t="s">
        <v>52</v>
      </c>
      <c r="C98" s="37"/>
      <c r="D98" s="44"/>
      <c r="E98" s="37">
        <v>1</v>
      </c>
      <c r="F98" s="37"/>
      <c r="G98" s="37"/>
      <c r="H98" s="37"/>
      <c r="I98" s="31">
        <f>SUM(I92:I97)</f>
        <v>4206.3818000000001</v>
      </c>
    </row>
    <row r="99" spans="1:9" ht="15.75" customHeight="1">
      <c r="A99" s="29"/>
      <c r="B99" s="43" t="s">
        <v>78</v>
      </c>
      <c r="C99" s="15"/>
      <c r="D99" s="15"/>
      <c r="E99" s="38"/>
      <c r="F99" s="38"/>
      <c r="G99" s="39"/>
      <c r="H99" s="39"/>
      <c r="I99" s="16">
        <v>0</v>
      </c>
    </row>
    <row r="100" spans="1:9" ht="15.75" customHeight="1">
      <c r="A100" s="45"/>
      <c r="B100" s="42" t="s">
        <v>148</v>
      </c>
      <c r="C100" s="32"/>
      <c r="D100" s="32"/>
      <c r="E100" s="32"/>
      <c r="F100" s="32"/>
      <c r="G100" s="32"/>
      <c r="H100" s="32"/>
      <c r="I100" s="40">
        <f>I90+I98</f>
        <v>65538.609718333333</v>
      </c>
    </row>
    <row r="101" spans="1:9" ht="15.75" customHeight="1">
      <c r="A101" s="166" t="s">
        <v>367</v>
      </c>
      <c r="B101" s="166"/>
      <c r="C101" s="166"/>
      <c r="D101" s="166"/>
      <c r="E101" s="166"/>
      <c r="F101" s="166"/>
      <c r="G101" s="166"/>
      <c r="H101" s="166"/>
      <c r="I101" s="166"/>
    </row>
    <row r="102" spans="1:9" ht="15.75">
      <c r="A102" s="50"/>
      <c r="B102" s="167" t="s">
        <v>368</v>
      </c>
      <c r="C102" s="167"/>
      <c r="D102" s="167"/>
      <c r="E102" s="167"/>
      <c r="F102" s="167"/>
      <c r="G102" s="167"/>
      <c r="H102" s="53"/>
      <c r="I102" s="3"/>
    </row>
    <row r="103" spans="1:9">
      <c r="A103" s="64"/>
      <c r="B103" s="168" t="s">
        <v>6</v>
      </c>
      <c r="C103" s="168"/>
      <c r="D103" s="168"/>
      <c r="E103" s="168"/>
      <c r="F103" s="168"/>
      <c r="G103" s="168"/>
      <c r="H103" s="24"/>
      <c r="I103" s="5"/>
    </row>
    <row r="104" spans="1:9" ht="15.75" customHeight="1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 customHeight="1">
      <c r="A105" s="169" t="s">
        <v>7</v>
      </c>
      <c r="B105" s="169"/>
      <c r="C105" s="169"/>
      <c r="D105" s="169"/>
      <c r="E105" s="169"/>
      <c r="F105" s="169"/>
      <c r="G105" s="169"/>
      <c r="H105" s="169"/>
      <c r="I105" s="169"/>
    </row>
    <row r="106" spans="1:9" ht="15.75">
      <c r="A106" s="169" t="s">
        <v>8</v>
      </c>
      <c r="B106" s="169"/>
      <c r="C106" s="169"/>
      <c r="D106" s="169"/>
      <c r="E106" s="169"/>
      <c r="F106" s="169"/>
      <c r="G106" s="169"/>
      <c r="H106" s="169"/>
      <c r="I106" s="169"/>
    </row>
    <row r="107" spans="1:9" ht="15.75">
      <c r="A107" s="170" t="s">
        <v>61</v>
      </c>
      <c r="B107" s="170"/>
      <c r="C107" s="170"/>
      <c r="D107" s="170"/>
      <c r="E107" s="170"/>
      <c r="F107" s="170"/>
      <c r="G107" s="170"/>
      <c r="H107" s="170"/>
      <c r="I107" s="170"/>
    </row>
    <row r="108" spans="1:9" ht="15.75">
      <c r="A108" s="11"/>
    </row>
    <row r="109" spans="1:9" ht="15.75">
      <c r="A109" s="171" t="s">
        <v>9</v>
      </c>
      <c r="B109" s="171"/>
      <c r="C109" s="171"/>
      <c r="D109" s="171"/>
      <c r="E109" s="171"/>
      <c r="F109" s="171"/>
      <c r="G109" s="171"/>
      <c r="H109" s="171"/>
      <c r="I109" s="171"/>
    </row>
    <row r="110" spans="1:9" ht="15.75" customHeight="1">
      <c r="A110" s="4"/>
    </row>
    <row r="111" spans="1:9" ht="15.75">
      <c r="B111" s="66" t="s">
        <v>10</v>
      </c>
      <c r="C111" s="172" t="s">
        <v>132</v>
      </c>
      <c r="D111" s="172"/>
      <c r="E111" s="172"/>
      <c r="F111" s="51"/>
      <c r="I111" s="67"/>
    </row>
    <row r="112" spans="1:9">
      <c r="A112" s="64"/>
      <c r="C112" s="168" t="s">
        <v>11</v>
      </c>
      <c r="D112" s="168"/>
      <c r="E112" s="168"/>
      <c r="F112" s="24"/>
      <c r="I112" s="65" t="s">
        <v>12</v>
      </c>
    </row>
    <row r="113" spans="1:9" ht="15.75" customHeight="1">
      <c r="A113" s="25"/>
      <c r="C113" s="12"/>
      <c r="D113" s="12"/>
      <c r="G113" s="12"/>
      <c r="H113" s="12"/>
    </row>
    <row r="114" spans="1:9" ht="15.75" customHeight="1">
      <c r="B114" s="66" t="s">
        <v>13</v>
      </c>
      <c r="C114" s="173"/>
      <c r="D114" s="173"/>
      <c r="E114" s="173"/>
      <c r="F114" s="52"/>
      <c r="I114" s="67"/>
    </row>
    <row r="115" spans="1:9" ht="15.75" customHeight="1">
      <c r="A115" s="64"/>
      <c r="C115" s="162" t="s">
        <v>11</v>
      </c>
      <c r="D115" s="162"/>
      <c r="E115" s="162"/>
      <c r="F115" s="64"/>
      <c r="I115" s="65" t="s">
        <v>12</v>
      </c>
    </row>
    <row r="116" spans="1:9" ht="15.75">
      <c r="A116" s="4" t="s">
        <v>14</v>
      </c>
    </row>
    <row r="117" spans="1:9">
      <c r="A117" s="195" t="s">
        <v>15</v>
      </c>
      <c r="B117" s="195"/>
      <c r="C117" s="195"/>
      <c r="D117" s="195"/>
      <c r="E117" s="195"/>
      <c r="F117" s="195"/>
      <c r="G117" s="195"/>
      <c r="H117" s="195"/>
      <c r="I117" s="195"/>
    </row>
    <row r="118" spans="1:9" ht="45" customHeight="1">
      <c r="A118" s="196" t="s">
        <v>16</v>
      </c>
      <c r="B118" s="196"/>
      <c r="C118" s="196"/>
      <c r="D118" s="196"/>
      <c r="E118" s="196"/>
      <c r="F118" s="196"/>
      <c r="G118" s="196"/>
      <c r="H118" s="196"/>
      <c r="I118" s="196"/>
    </row>
    <row r="119" spans="1:9" ht="30" customHeight="1">
      <c r="A119" s="196" t="s">
        <v>17</v>
      </c>
      <c r="B119" s="196"/>
      <c r="C119" s="196"/>
      <c r="D119" s="196"/>
      <c r="E119" s="196"/>
      <c r="F119" s="196"/>
      <c r="G119" s="196"/>
      <c r="H119" s="196"/>
      <c r="I119" s="196"/>
    </row>
    <row r="120" spans="1:9" ht="30" customHeight="1">
      <c r="A120" s="196" t="s">
        <v>21</v>
      </c>
      <c r="B120" s="196"/>
      <c r="C120" s="196"/>
      <c r="D120" s="196"/>
      <c r="E120" s="196"/>
      <c r="F120" s="196"/>
      <c r="G120" s="196"/>
      <c r="H120" s="196"/>
      <c r="I120" s="196"/>
    </row>
    <row r="121" spans="1:9" ht="15" customHeight="1">
      <c r="A121" s="196" t="s">
        <v>20</v>
      </c>
      <c r="B121" s="196"/>
      <c r="C121" s="196"/>
      <c r="D121" s="196"/>
      <c r="E121" s="196"/>
      <c r="F121" s="196"/>
      <c r="G121" s="196"/>
      <c r="H121" s="196"/>
      <c r="I121" s="196"/>
    </row>
  </sheetData>
  <autoFilter ref="I12:I60"/>
  <mergeCells count="29">
    <mergeCell ref="A117:I117"/>
    <mergeCell ref="A118:I118"/>
    <mergeCell ref="A119:I119"/>
    <mergeCell ref="A120:I120"/>
    <mergeCell ref="A121:I121"/>
    <mergeCell ref="R65:U65"/>
    <mergeCell ref="C115:E115"/>
    <mergeCell ref="A91:I91"/>
    <mergeCell ref="A101:I101"/>
    <mergeCell ref="B102:G102"/>
    <mergeCell ref="B103:G103"/>
    <mergeCell ref="A105:I105"/>
    <mergeCell ref="A106:I106"/>
    <mergeCell ref="A107:I107"/>
    <mergeCell ref="A109:I109"/>
    <mergeCell ref="C111:E111"/>
    <mergeCell ref="C112:E112"/>
    <mergeCell ref="C114:E114"/>
    <mergeCell ref="A87:I87"/>
    <mergeCell ref="A3:I3"/>
    <mergeCell ref="A4:I4"/>
    <mergeCell ref="A5:I5"/>
    <mergeCell ref="A8:I8"/>
    <mergeCell ref="A10:I10"/>
    <mergeCell ref="A14:I14"/>
    <mergeCell ref="A15:I15"/>
    <mergeCell ref="A29:I29"/>
    <mergeCell ref="A47:I47"/>
    <mergeCell ref="A58:I58"/>
  </mergeCells>
  <pageMargins left="0.70866141732283472" right="0.70866141732283472" top="0.27559055118110237" bottom="0.27559055118110237" header="0.31496062992125984" footer="0.31496062992125984"/>
  <pageSetup paperSize="9" scale="58" orientation="portrait" r:id="rId1"/>
  <rowBreaks count="1" manualBreakCount="1">
    <brk id="116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25"/>
  <sheetViews>
    <sheetView topLeftCell="A86" workbookViewId="0">
      <selection activeCell="L16" sqref="L1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85</v>
      </c>
      <c r="I1" s="26"/>
      <c r="J1" s="1"/>
      <c r="K1" s="1"/>
      <c r="L1" s="1"/>
      <c r="M1" s="1"/>
    </row>
    <row r="2" spans="1:13" ht="15.75">
      <c r="A2" s="28" t="s">
        <v>62</v>
      </c>
      <c r="J2" s="2"/>
      <c r="K2" s="2"/>
      <c r="L2" s="2"/>
      <c r="M2" s="2"/>
    </row>
    <row r="3" spans="1:13" ht="15.75" customHeight="1">
      <c r="A3" s="179" t="s">
        <v>141</v>
      </c>
      <c r="B3" s="179"/>
      <c r="C3" s="179"/>
      <c r="D3" s="179"/>
      <c r="E3" s="179"/>
      <c r="F3" s="179"/>
      <c r="G3" s="179"/>
      <c r="H3" s="179"/>
      <c r="I3" s="179"/>
      <c r="J3" s="3"/>
      <c r="K3" s="3"/>
      <c r="L3" s="3"/>
    </row>
    <row r="4" spans="1:13" ht="31.5" customHeight="1">
      <c r="A4" s="180" t="s">
        <v>128</v>
      </c>
      <c r="B4" s="180"/>
      <c r="C4" s="180"/>
      <c r="D4" s="180"/>
      <c r="E4" s="180"/>
      <c r="F4" s="180"/>
      <c r="G4" s="180"/>
      <c r="H4" s="180"/>
      <c r="I4" s="180"/>
    </row>
    <row r="5" spans="1:13" ht="15.75">
      <c r="A5" s="179" t="s">
        <v>172</v>
      </c>
      <c r="B5" s="181"/>
      <c r="C5" s="181"/>
      <c r="D5" s="181"/>
      <c r="E5" s="181"/>
      <c r="F5" s="181"/>
      <c r="G5" s="181"/>
      <c r="H5" s="181"/>
      <c r="I5" s="181"/>
      <c r="J5" s="2"/>
      <c r="K5" s="2"/>
      <c r="L5" s="2"/>
      <c r="M5" s="2"/>
    </row>
    <row r="6" spans="1:13" ht="15.75">
      <c r="A6" s="2"/>
      <c r="B6" s="73"/>
      <c r="C6" s="73"/>
      <c r="D6" s="73"/>
      <c r="E6" s="73"/>
      <c r="F6" s="73"/>
      <c r="G6" s="73"/>
      <c r="H6" s="73"/>
      <c r="I6" s="30">
        <v>43159</v>
      </c>
      <c r="J6" s="2"/>
      <c r="K6" s="2"/>
      <c r="L6" s="2"/>
      <c r="M6" s="2"/>
    </row>
    <row r="7" spans="1:13" ht="15.75">
      <c r="B7" s="71"/>
      <c r="C7" s="71"/>
      <c r="D7" s="7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2" t="s">
        <v>154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3" t="s">
        <v>143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4" t="s">
        <v>59</v>
      </c>
      <c r="B14" s="184"/>
      <c r="C14" s="184"/>
      <c r="D14" s="184"/>
      <c r="E14" s="184"/>
      <c r="F14" s="184"/>
      <c r="G14" s="184"/>
      <c r="H14" s="184"/>
      <c r="I14" s="184"/>
      <c r="J14" s="8"/>
      <c r="K14" s="8"/>
      <c r="L14" s="8"/>
      <c r="M14" s="8"/>
    </row>
    <row r="15" spans="1:13" ht="15" customHeight="1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  <c r="J15" s="8"/>
      <c r="K15" s="8"/>
      <c r="L15" s="8"/>
      <c r="M15" s="8"/>
    </row>
    <row r="16" spans="1:13" ht="32.25" customHeight="1">
      <c r="A16" s="29">
        <v>1</v>
      </c>
      <c r="B16" s="75" t="s">
        <v>236</v>
      </c>
      <c r="C16" s="76" t="s">
        <v>87</v>
      </c>
      <c r="D16" s="75" t="s">
        <v>233</v>
      </c>
      <c r="E16" s="77">
        <v>49.72</v>
      </c>
      <c r="F16" s="78">
        <f>SUM(E16*156/100)</f>
        <v>77.563199999999995</v>
      </c>
      <c r="G16" s="78">
        <v>230</v>
      </c>
      <c r="H16" s="79">
        <f t="shared" ref="H16:H25" si="0">SUM(F16*G16/1000)</f>
        <v>17.839535999999999</v>
      </c>
      <c r="I16" s="13">
        <f>F16/12*G16</f>
        <v>1486.6279999999999</v>
      </c>
      <c r="J16" s="21"/>
      <c r="K16" s="8"/>
      <c r="L16" s="8"/>
      <c r="M16" s="8"/>
    </row>
    <row r="17" spans="1:13" ht="33.75" customHeight="1">
      <c r="A17" s="29">
        <v>2</v>
      </c>
      <c r="B17" s="75" t="s">
        <v>289</v>
      </c>
      <c r="C17" s="76" t="s">
        <v>87</v>
      </c>
      <c r="D17" s="75" t="s">
        <v>210</v>
      </c>
      <c r="E17" s="77">
        <v>198.88</v>
      </c>
      <c r="F17" s="78">
        <f>SUM(E17*104/100)</f>
        <v>206.83520000000001</v>
      </c>
      <c r="G17" s="78">
        <v>230</v>
      </c>
      <c r="H17" s="79">
        <f t="shared" si="0"/>
        <v>47.572096000000002</v>
      </c>
      <c r="I17" s="13">
        <f>198.88/100*12*G17</f>
        <v>5489.0879999999997</v>
      </c>
      <c r="J17" s="22"/>
      <c r="K17" s="8"/>
      <c r="L17" s="8"/>
      <c r="M17" s="8"/>
    </row>
    <row r="18" spans="1:13" ht="15.75" customHeight="1">
      <c r="A18" s="29">
        <v>3</v>
      </c>
      <c r="B18" s="75" t="s">
        <v>212</v>
      </c>
      <c r="C18" s="76" t="s">
        <v>87</v>
      </c>
      <c r="D18" s="75" t="s">
        <v>206</v>
      </c>
      <c r="E18" s="77">
        <v>248.6</v>
      </c>
      <c r="F18" s="78">
        <f>SUM(E18*24/100)</f>
        <v>59.663999999999994</v>
      </c>
      <c r="G18" s="78">
        <v>661.67</v>
      </c>
      <c r="H18" s="79">
        <f t="shared" si="0"/>
        <v>39.477878879999999</v>
      </c>
      <c r="I18" s="13">
        <f>248.6/100*1*G18</f>
        <v>1644.9116199999996</v>
      </c>
      <c r="J18" s="22"/>
      <c r="K18" s="8"/>
      <c r="L18" s="8"/>
      <c r="M18" s="8"/>
    </row>
    <row r="19" spans="1:13" ht="15.75" hidden="1" customHeight="1">
      <c r="A19" s="29"/>
      <c r="B19" s="75" t="s">
        <v>94</v>
      </c>
      <c r="C19" s="76" t="s">
        <v>95</v>
      </c>
      <c r="D19" s="75" t="s">
        <v>96</v>
      </c>
      <c r="E19" s="77">
        <v>18.48</v>
      </c>
      <c r="F19" s="78">
        <f>SUM(E19/10)</f>
        <v>1.8480000000000001</v>
      </c>
      <c r="G19" s="78">
        <v>223.17</v>
      </c>
      <c r="H19" s="79">
        <f t="shared" si="0"/>
        <v>0.41241815999999998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75" t="s">
        <v>97</v>
      </c>
      <c r="C20" s="76" t="s">
        <v>87</v>
      </c>
      <c r="D20" s="75" t="s">
        <v>155</v>
      </c>
      <c r="E20" s="77">
        <v>10.5</v>
      </c>
      <c r="F20" s="78">
        <f>SUM(E20*12/100)</f>
        <v>1.26</v>
      </c>
      <c r="G20" s="78">
        <v>285.76</v>
      </c>
      <c r="H20" s="79">
        <f t="shared" si="0"/>
        <v>0.36005759999999998</v>
      </c>
      <c r="I20" s="13">
        <f>F20/12*G20</f>
        <v>30.004799999999999</v>
      </c>
      <c r="J20" s="22"/>
      <c r="K20" s="8"/>
      <c r="L20" s="8"/>
      <c r="M20" s="8"/>
    </row>
    <row r="21" spans="1:13" ht="15.75" hidden="1" customHeight="1">
      <c r="A21" s="29">
        <v>5</v>
      </c>
      <c r="B21" s="75" t="s">
        <v>98</v>
      </c>
      <c r="C21" s="76" t="s">
        <v>87</v>
      </c>
      <c r="D21" s="75" t="s">
        <v>42</v>
      </c>
      <c r="E21" s="77">
        <v>3</v>
      </c>
      <c r="F21" s="78">
        <f>SUM(E21*2/100)</f>
        <v>0.06</v>
      </c>
      <c r="G21" s="78">
        <v>283.44</v>
      </c>
      <c r="H21" s="79">
        <f t="shared" si="0"/>
        <v>1.7006399999999998E-2</v>
      </c>
      <c r="I21" s="13">
        <f>F21/6*G21</f>
        <v>2.8344</v>
      </c>
      <c r="J21" s="22"/>
      <c r="K21" s="8"/>
      <c r="L21" s="8"/>
      <c r="M21" s="8"/>
    </row>
    <row r="22" spans="1:13" ht="15.75" hidden="1" customHeight="1">
      <c r="A22" s="29"/>
      <c r="B22" s="75" t="s">
        <v>99</v>
      </c>
      <c r="C22" s="76" t="s">
        <v>53</v>
      </c>
      <c r="D22" s="75" t="s">
        <v>96</v>
      </c>
      <c r="E22" s="77">
        <v>267.75</v>
      </c>
      <c r="F22" s="78">
        <f>SUM(E22/100)</f>
        <v>2.6775000000000002</v>
      </c>
      <c r="G22" s="78">
        <v>353.14</v>
      </c>
      <c r="H22" s="79">
        <f t="shared" si="0"/>
        <v>0.94553235000000002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75" t="s">
        <v>100</v>
      </c>
      <c r="C23" s="76" t="s">
        <v>53</v>
      </c>
      <c r="D23" s="75" t="s">
        <v>96</v>
      </c>
      <c r="E23" s="80">
        <v>36.229999999999997</v>
      </c>
      <c r="F23" s="78">
        <f>SUM(E23/100)</f>
        <v>0.36229999999999996</v>
      </c>
      <c r="G23" s="78">
        <v>58.08</v>
      </c>
      <c r="H23" s="79">
        <f t="shared" si="0"/>
        <v>2.1042383999999997E-2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75" t="s">
        <v>101</v>
      </c>
      <c r="C24" s="76" t="s">
        <v>53</v>
      </c>
      <c r="D24" s="75" t="s">
        <v>54</v>
      </c>
      <c r="E24" s="77">
        <v>15</v>
      </c>
      <c r="F24" s="78">
        <f>SUM(E24/100)</f>
        <v>0.15</v>
      </c>
      <c r="G24" s="78">
        <v>511.12</v>
      </c>
      <c r="H24" s="79">
        <f t="shared" si="0"/>
        <v>7.6667999999999986E-2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75" t="s">
        <v>102</v>
      </c>
      <c r="C25" s="76" t="s">
        <v>53</v>
      </c>
      <c r="D25" s="75" t="s">
        <v>54</v>
      </c>
      <c r="E25" s="77">
        <v>6.38</v>
      </c>
      <c r="F25" s="78">
        <f>SUM(E25/100)</f>
        <v>6.3799999999999996E-2</v>
      </c>
      <c r="G25" s="78">
        <v>683.05</v>
      </c>
      <c r="H25" s="79">
        <f t="shared" si="0"/>
        <v>4.3578589999999993E-2</v>
      </c>
      <c r="I25" s="13">
        <v>0</v>
      </c>
      <c r="J25" s="22"/>
      <c r="K25" s="8"/>
      <c r="L25" s="8"/>
      <c r="M25" s="8"/>
    </row>
    <row r="26" spans="1:13" ht="15.75" hidden="1" customHeight="1">
      <c r="A26" s="29"/>
      <c r="B26" s="75" t="s">
        <v>122</v>
      </c>
      <c r="C26" s="76" t="s">
        <v>53</v>
      </c>
      <c r="D26" s="75" t="s">
        <v>54</v>
      </c>
      <c r="E26" s="77">
        <v>14.25</v>
      </c>
      <c r="F26" s="78">
        <v>0.14000000000000001</v>
      </c>
      <c r="G26" s="78">
        <v>283.44</v>
      </c>
      <c r="H26" s="79">
        <f>G26*F26/1000</f>
        <v>3.9681600000000004E-2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5</v>
      </c>
      <c r="B27" s="75" t="s">
        <v>64</v>
      </c>
      <c r="C27" s="76" t="s">
        <v>33</v>
      </c>
      <c r="D27" s="75" t="s">
        <v>63</v>
      </c>
      <c r="E27" s="82">
        <v>0.1</v>
      </c>
      <c r="F27" s="78">
        <f>SUM(E27*155)</f>
        <v>15.5</v>
      </c>
      <c r="G27" s="78">
        <v>264.85000000000002</v>
      </c>
      <c r="H27" s="79">
        <f>SUM(F27*G27/1000)</f>
        <v>4.105175</v>
      </c>
      <c r="I27" s="13">
        <f>F27/12*G27</f>
        <v>342.09791666666672</v>
      </c>
      <c r="J27" s="23"/>
    </row>
    <row r="28" spans="1:13" ht="15.75" customHeight="1">
      <c r="A28" s="29">
        <v>6</v>
      </c>
      <c r="B28" s="83" t="s">
        <v>23</v>
      </c>
      <c r="C28" s="76" t="s">
        <v>24</v>
      </c>
      <c r="D28" s="83" t="s">
        <v>136</v>
      </c>
      <c r="E28" s="77">
        <v>2626.5</v>
      </c>
      <c r="F28" s="78">
        <f>SUM(E28*12)</f>
        <v>31518</v>
      </c>
      <c r="G28" s="78">
        <v>3.36</v>
      </c>
      <c r="H28" s="79">
        <f>SUM(F28*G28/1000)</f>
        <v>105.90048</v>
      </c>
      <c r="I28" s="13">
        <f t="shared" ref="I28" si="1">F28/12*G28</f>
        <v>8825.0399999999991</v>
      </c>
      <c r="J28" s="23"/>
    </row>
    <row r="29" spans="1:13" ht="15.75" customHeight="1">
      <c r="A29" s="185" t="s">
        <v>84</v>
      </c>
      <c r="B29" s="185"/>
      <c r="C29" s="185"/>
      <c r="D29" s="185"/>
      <c r="E29" s="185"/>
      <c r="F29" s="185"/>
      <c r="G29" s="185"/>
      <c r="H29" s="185"/>
      <c r="I29" s="185"/>
      <c r="J29" s="22"/>
      <c r="K29" s="8"/>
      <c r="L29" s="8"/>
      <c r="M29" s="8"/>
    </row>
    <row r="30" spans="1:13" ht="15.75" hidden="1" customHeight="1">
      <c r="A30" s="29"/>
      <c r="B30" s="106" t="s">
        <v>28</v>
      </c>
      <c r="C30" s="76"/>
      <c r="D30" s="75"/>
      <c r="E30" s="77"/>
      <c r="F30" s="78"/>
      <c r="G30" s="78"/>
      <c r="H30" s="79"/>
      <c r="I30" s="13"/>
      <c r="J30" s="23"/>
    </row>
    <row r="31" spans="1:13" ht="15.75" hidden="1" customHeight="1">
      <c r="A31" s="29"/>
      <c r="B31" s="75" t="s">
        <v>104</v>
      </c>
      <c r="C31" s="76" t="s">
        <v>89</v>
      </c>
      <c r="D31" s="75" t="s">
        <v>149</v>
      </c>
      <c r="E31" s="78">
        <v>665</v>
      </c>
      <c r="F31" s="78">
        <f>SUM(E31*52/1000)</f>
        <v>34.58</v>
      </c>
      <c r="G31" s="78">
        <v>204.44</v>
      </c>
      <c r="H31" s="79">
        <f t="shared" ref="H31:H37" si="2">SUM(F31*G31/1000)</f>
        <v>7.0695351999999989</v>
      </c>
      <c r="I31" s="13">
        <f t="shared" ref="I31:I32" si="3">F31/6*G31</f>
        <v>1178.2558666666666</v>
      </c>
      <c r="J31" s="22"/>
      <c r="K31" s="8"/>
      <c r="L31" s="8"/>
      <c r="M31" s="8"/>
    </row>
    <row r="32" spans="1:13" ht="15.75" hidden="1" customHeight="1">
      <c r="A32" s="29"/>
      <c r="B32" s="75" t="s">
        <v>117</v>
      </c>
      <c r="C32" s="76" t="s">
        <v>89</v>
      </c>
      <c r="D32" s="75" t="s">
        <v>150</v>
      </c>
      <c r="E32" s="78">
        <v>81.5</v>
      </c>
      <c r="F32" s="78">
        <f>SUM(E32*78/1000)</f>
        <v>6.3570000000000002</v>
      </c>
      <c r="G32" s="78">
        <v>339.21</v>
      </c>
      <c r="H32" s="79">
        <f t="shared" si="2"/>
        <v>2.1563579700000002</v>
      </c>
      <c r="I32" s="13">
        <f t="shared" si="3"/>
        <v>359.39299500000004</v>
      </c>
      <c r="J32" s="22"/>
      <c r="K32" s="8"/>
      <c r="L32" s="8"/>
      <c r="M32" s="8"/>
    </row>
    <row r="33" spans="1:14" ht="15.75" hidden="1" customHeight="1">
      <c r="A33" s="29"/>
      <c r="B33" s="75" t="s">
        <v>27</v>
      </c>
      <c r="C33" s="76" t="s">
        <v>89</v>
      </c>
      <c r="D33" s="75" t="s">
        <v>54</v>
      </c>
      <c r="E33" s="78">
        <v>665</v>
      </c>
      <c r="F33" s="78">
        <f>SUM(E33/1000)</f>
        <v>0.66500000000000004</v>
      </c>
      <c r="G33" s="78">
        <v>3961.23</v>
      </c>
      <c r="H33" s="79">
        <f t="shared" si="2"/>
        <v>2.63421795</v>
      </c>
      <c r="I33" s="13">
        <f>F33*G33</f>
        <v>2634.2179500000002</v>
      </c>
      <c r="J33" s="22"/>
      <c r="K33" s="8"/>
      <c r="L33" s="8"/>
      <c r="M33" s="8"/>
    </row>
    <row r="34" spans="1:14" ht="15.75" hidden="1" customHeight="1">
      <c r="A34" s="29"/>
      <c r="B34" s="75" t="s">
        <v>116</v>
      </c>
      <c r="C34" s="76" t="s">
        <v>40</v>
      </c>
      <c r="D34" s="75" t="s">
        <v>63</v>
      </c>
      <c r="E34" s="78">
        <v>3</v>
      </c>
      <c r="F34" s="78">
        <f>E34*155/100</f>
        <v>4.6500000000000004</v>
      </c>
      <c r="G34" s="78">
        <v>1707.63</v>
      </c>
      <c r="H34" s="79">
        <f>G34*F34/1000</f>
        <v>7.9404795000000012</v>
      </c>
      <c r="I34" s="13">
        <f>F34/6*G34</f>
        <v>1323.4132500000001</v>
      </c>
      <c r="J34" s="22"/>
      <c r="K34" s="8"/>
      <c r="L34" s="8"/>
      <c r="M34" s="8"/>
    </row>
    <row r="35" spans="1:14" ht="15.75" hidden="1" customHeight="1">
      <c r="A35" s="29"/>
      <c r="B35" s="75" t="s">
        <v>103</v>
      </c>
      <c r="C35" s="76" t="s">
        <v>31</v>
      </c>
      <c r="D35" s="75" t="s">
        <v>63</v>
      </c>
      <c r="E35" s="81">
        <f>1/3</f>
        <v>0.33333333333333331</v>
      </c>
      <c r="F35" s="78">
        <f>155/3</f>
        <v>51.666666666666664</v>
      </c>
      <c r="G35" s="78">
        <v>74.349999999999994</v>
      </c>
      <c r="H35" s="79">
        <f>SUM(G35*155/3/1000)</f>
        <v>3.8414166666666665</v>
      </c>
      <c r="I35" s="13">
        <f>F35/6*G35</f>
        <v>640.23611111111109</v>
      </c>
      <c r="J35" s="22"/>
      <c r="K35" s="8"/>
    </row>
    <row r="36" spans="1:14" ht="15.75" hidden="1" customHeight="1">
      <c r="A36" s="29"/>
      <c r="B36" s="75" t="s">
        <v>65</v>
      </c>
      <c r="C36" s="76" t="s">
        <v>33</v>
      </c>
      <c r="D36" s="75" t="s">
        <v>67</v>
      </c>
      <c r="E36" s="77"/>
      <c r="F36" s="78">
        <v>1</v>
      </c>
      <c r="G36" s="78">
        <v>250.92</v>
      </c>
      <c r="H36" s="79">
        <f t="shared" si="2"/>
        <v>0.25091999999999998</v>
      </c>
      <c r="I36" s="13">
        <v>0</v>
      </c>
      <c r="J36" s="23"/>
    </row>
    <row r="37" spans="1:14" ht="15.75" hidden="1" customHeight="1">
      <c r="A37" s="29"/>
      <c r="B37" s="75" t="s">
        <v>66</v>
      </c>
      <c r="C37" s="76" t="s">
        <v>32</v>
      </c>
      <c r="D37" s="75" t="s">
        <v>67</v>
      </c>
      <c r="E37" s="77"/>
      <c r="F37" s="78">
        <v>1</v>
      </c>
      <c r="G37" s="78">
        <v>1490.31</v>
      </c>
      <c r="H37" s="79">
        <f t="shared" si="2"/>
        <v>1.49031</v>
      </c>
      <c r="I37" s="13">
        <v>0</v>
      </c>
      <c r="J37" s="23"/>
    </row>
    <row r="38" spans="1:14" ht="15.75" customHeight="1">
      <c r="A38" s="29"/>
      <c r="B38" s="106" t="s">
        <v>5</v>
      </c>
      <c r="C38" s="76"/>
      <c r="D38" s="75"/>
      <c r="E38" s="77"/>
      <c r="F38" s="78"/>
      <c r="G38" s="78"/>
      <c r="H38" s="79" t="s">
        <v>136</v>
      </c>
      <c r="I38" s="13"/>
      <c r="J38" s="23"/>
    </row>
    <row r="39" spans="1:14" ht="29.25" customHeight="1">
      <c r="A39" s="29">
        <v>7</v>
      </c>
      <c r="B39" s="84" t="s">
        <v>203</v>
      </c>
      <c r="C39" s="76" t="s">
        <v>32</v>
      </c>
      <c r="D39" s="131" t="s">
        <v>204</v>
      </c>
      <c r="E39" s="77"/>
      <c r="F39" s="78">
        <v>5</v>
      </c>
      <c r="G39" s="78">
        <v>2003</v>
      </c>
      <c r="H39" s="79">
        <f t="shared" ref="H39:H46" si="4">SUM(F39*G39/1000)</f>
        <v>10.015000000000001</v>
      </c>
      <c r="I39" s="13">
        <f>G39*1</f>
        <v>2003</v>
      </c>
      <c r="J39" s="23"/>
    </row>
    <row r="40" spans="1:14" ht="15.75" customHeight="1">
      <c r="A40" s="29">
        <v>8</v>
      </c>
      <c r="B40" s="84" t="s">
        <v>105</v>
      </c>
      <c r="C40" s="85" t="s">
        <v>29</v>
      </c>
      <c r="D40" s="75" t="s">
        <v>123</v>
      </c>
      <c r="E40" s="77">
        <v>81.5</v>
      </c>
      <c r="F40" s="86">
        <f>E40*30/1000</f>
        <v>2.4449999999999998</v>
      </c>
      <c r="G40" s="78">
        <v>2757.78</v>
      </c>
      <c r="H40" s="79">
        <f t="shared" si="4"/>
        <v>6.7427720999999998</v>
      </c>
      <c r="I40" s="13">
        <f t="shared" ref="I40:I46" si="5">F40/6*G40</f>
        <v>1123.7953500000001</v>
      </c>
      <c r="J40" s="23"/>
    </row>
    <row r="41" spans="1:14" ht="15.75" customHeight="1">
      <c r="A41" s="29">
        <v>9</v>
      </c>
      <c r="B41" s="75" t="s">
        <v>68</v>
      </c>
      <c r="C41" s="76" t="s">
        <v>29</v>
      </c>
      <c r="D41" s="75" t="s">
        <v>88</v>
      </c>
      <c r="E41" s="78">
        <v>81.5</v>
      </c>
      <c r="F41" s="86">
        <f>SUM(E41*155/1000)</f>
        <v>12.6325</v>
      </c>
      <c r="G41" s="78">
        <v>460.02</v>
      </c>
      <c r="H41" s="79">
        <f t="shared" si="4"/>
        <v>5.8112026500000002</v>
      </c>
      <c r="I41" s="13">
        <f t="shared" si="5"/>
        <v>968.53377499999999</v>
      </c>
      <c r="J41" s="23"/>
      <c r="L41" s="18"/>
      <c r="M41" s="19"/>
      <c r="N41" s="20"/>
    </row>
    <row r="42" spans="1:14" ht="15.75" hidden="1" customHeight="1">
      <c r="A42" s="29"/>
      <c r="B42" s="75" t="s">
        <v>118</v>
      </c>
      <c r="C42" s="76" t="s">
        <v>119</v>
      </c>
      <c r="D42" s="75" t="s">
        <v>67</v>
      </c>
      <c r="E42" s="77"/>
      <c r="F42" s="86">
        <v>26</v>
      </c>
      <c r="G42" s="78">
        <v>314</v>
      </c>
      <c r="H42" s="79">
        <f t="shared" si="4"/>
        <v>8.1639999999999997</v>
      </c>
      <c r="I42" s="13">
        <v>0</v>
      </c>
      <c r="J42" s="23"/>
      <c r="L42" s="18"/>
      <c r="M42" s="19"/>
      <c r="N42" s="20"/>
    </row>
    <row r="43" spans="1:14" ht="47.25" customHeight="1">
      <c r="A43" s="29">
        <v>10</v>
      </c>
      <c r="B43" s="75" t="s">
        <v>82</v>
      </c>
      <c r="C43" s="76" t="s">
        <v>89</v>
      </c>
      <c r="D43" s="75" t="s">
        <v>124</v>
      </c>
      <c r="E43" s="78">
        <v>81.5</v>
      </c>
      <c r="F43" s="86">
        <f>SUM(E43*35/1000)</f>
        <v>2.8525</v>
      </c>
      <c r="G43" s="78">
        <v>7611.16</v>
      </c>
      <c r="H43" s="79">
        <f t="shared" si="4"/>
        <v>21.710833900000001</v>
      </c>
      <c r="I43" s="13">
        <f t="shared" si="5"/>
        <v>3618.4723166666663</v>
      </c>
      <c r="J43" s="23"/>
      <c r="L43" s="18"/>
      <c r="M43" s="19"/>
      <c r="N43" s="20"/>
    </row>
    <row r="44" spans="1:14" ht="15.75" customHeight="1">
      <c r="A44" s="29">
        <v>11</v>
      </c>
      <c r="B44" s="75" t="s">
        <v>90</v>
      </c>
      <c r="C44" s="76" t="s">
        <v>89</v>
      </c>
      <c r="D44" s="75" t="s">
        <v>69</v>
      </c>
      <c r="E44" s="78">
        <v>81.5</v>
      </c>
      <c r="F44" s="86">
        <f>SUM(E44*45/1000)</f>
        <v>3.6675</v>
      </c>
      <c r="G44" s="78">
        <v>562.25</v>
      </c>
      <c r="H44" s="79">
        <f t="shared" si="4"/>
        <v>2.0620518750000003</v>
      </c>
      <c r="I44" s="13">
        <f>F44/7.5*G44</f>
        <v>274.94024999999999</v>
      </c>
      <c r="J44" s="23"/>
      <c r="L44" s="18"/>
      <c r="M44" s="19"/>
      <c r="N44" s="20"/>
    </row>
    <row r="45" spans="1:14" ht="15.75" customHeight="1">
      <c r="A45" s="29">
        <v>12</v>
      </c>
      <c r="B45" s="84" t="s">
        <v>70</v>
      </c>
      <c r="C45" s="85" t="s">
        <v>33</v>
      </c>
      <c r="D45" s="84"/>
      <c r="E45" s="82"/>
      <c r="F45" s="86">
        <v>0.9</v>
      </c>
      <c r="G45" s="86">
        <v>974.83</v>
      </c>
      <c r="H45" s="79">
        <f t="shared" si="4"/>
        <v>0.8773470000000001</v>
      </c>
      <c r="I45" s="13">
        <f>F45/7.5*G45</f>
        <v>116.97960000000002</v>
      </c>
      <c r="J45" s="23"/>
      <c r="L45" s="18"/>
      <c r="M45" s="19"/>
      <c r="N45" s="20"/>
    </row>
    <row r="46" spans="1:14" ht="15.75" customHeight="1">
      <c r="A46" s="29">
        <v>13</v>
      </c>
      <c r="B46" s="47" t="s">
        <v>156</v>
      </c>
      <c r="C46" s="48" t="s">
        <v>29</v>
      </c>
      <c r="D46" s="84" t="s">
        <v>211</v>
      </c>
      <c r="E46" s="82">
        <v>2.4</v>
      </c>
      <c r="F46" s="86">
        <f>SUM(E46*12/1000)</f>
        <v>2.8799999999999996E-2</v>
      </c>
      <c r="G46" s="86">
        <v>260.2</v>
      </c>
      <c r="H46" s="79">
        <f t="shared" si="4"/>
        <v>7.4937599999999986E-3</v>
      </c>
      <c r="I46" s="13">
        <f t="shared" si="5"/>
        <v>1.2489599999999998</v>
      </c>
      <c r="J46" s="23"/>
      <c r="L46" s="18"/>
      <c r="M46" s="19"/>
      <c r="N46" s="20"/>
    </row>
    <row r="47" spans="1:14" ht="15.75" customHeight="1">
      <c r="A47" s="186" t="s">
        <v>129</v>
      </c>
      <c r="B47" s="187"/>
      <c r="C47" s="187"/>
      <c r="D47" s="187"/>
      <c r="E47" s="187"/>
      <c r="F47" s="187"/>
      <c r="G47" s="187"/>
      <c r="H47" s="187"/>
      <c r="I47" s="188"/>
      <c r="J47" s="23"/>
      <c r="L47" s="18"/>
      <c r="M47" s="19"/>
      <c r="N47" s="20"/>
    </row>
    <row r="48" spans="1:14" ht="15.75" hidden="1" customHeight="1">
      <c r="A48" s="29"/>
      <c r="B48" s="75" t="s">
        <v>125</v>
      </c>
      <c r="C48" s="76" t="s">
        <v>89</v>
      </c>
      <c r="D48" s="75" t="s">
        <v>42</v>
      </c>
      <c r="E48" s="77">
        <v>1080</v>
      </c>
      <c r="F48" s="78">
        <f>SUM(E48*2/1000)</f>
        <v>2.16</v>
      </c>
      <c r="G48" s="33">
        <v>1172.4100000000001</v>
      </c>
      <c r="H48" s="79">
        <f t="shared" ref="H48:H56" si="6">SUM(F48*G48/1000)</f>
        <v>2.5324056000000006</v>
      </c>
      <c r="I48" s="13">
        <f t="shared" ref="I48:I51" si="7">F48/2*G48</f>
        <v>1266.2028000000003</v>
      </c>
      <c r="J48" s="23"/>
      <c r="L48" s="18"/>
      <c r="M48" s="19"/>
      <c r="N48" s="20"/>
    </row>
    <row r="49" spans="1:22" ht="15.75" hidden="1" customHeight="1">
      <c r="A49" s="29"/>
      <c r="B49" s="75" t="s">
        <v>35</v>
      </c>
      <c r="C49" s="76" t="s">
        <v>89</v>
      </c>
      <c r="D49" s="75" t="s">
        <v>42</v>
      </c>
      <c r="E49" s="77">
        <v>39</v>
      </c>
      <c r="F49" s="78">
        <f>SUM(E49*2/1000)</f>
        <v>7.8E-2</v>
      </c>
      <c r="G49" s="33">
        <v>4419.05</v>
      </c>
      <c r="H49" s="79">
        <f t="shared" si="6"/>
        <v>0.34468589999999999</v>
      </c>
      <c r="I49" s="13">
        <f t="shared" si="7"/>
        <v>172.34295</v>
      </c>
      <c r="J49" s="23"/>
      <c r="L49" s="18"/>
      <c r="M49" s="19"/>
      <c r="N49" s="20"/>
    </row>
    <row r="50" spans="1:22" ht="15.75" hidden="1" customHeight="1">
      <c r="A50" s="29"/>
      <c r="B50" s="75" t="s">
        <v>36</v>
      </c>
      <c r="C50" s="76" t="s">
        <v>89</v>
      </c>
      <c r="D50" s="75" t="s">
        <v>42</v>
      </c>
      <c r="E50" s="77">
        <v>1037</v>
      </c>
      <c r="F50" s="78">
        <f>SUM(E50*2/1000)</f>
        <v>2.0739999999999998</v>
      </c>
      <c r="G50" s="33">
        <v>1803.69</v>
      </c>
      <c r="H50" s="79">
        <f t="shared" si="6"/>
        <v>3.7408530600000001</v>
      </c>
      <c r="I50" s="13">
        <f t="shared" si="7"/>
        <v>1870.42653</v>
      </c>
      <c r="J50" s="23"/>
      <c r="L50" s="18"/>
      <c r="M50" s="19"/>
      <c r="N50" s="20"/>
    </row>
    <row r="51" spans="1:22" ht="15.75" hidden="1" customHeight="1">
      <c r="A51" s="29"/>
      <c r="B51" s="75" t="s">
        <v>37</v>
      </c>
      <c r="C51" s="76" t="s">
        <v>89</v>
      </c>
      <c r="D51" s="75" t="s">
        <v>42</v>
      </c>
      <c r="E51" s="77">
        <v>2274</v>
      </c>
      <c r="F51" s="78">
        <f>SUM(E51*2/1000)</f>
        <v>4.548</v>
      </c>
      <c r="G51" s="33">
        <v>1243.43</v>
      </c>
      <c r="H51" s="79">
        <f t="shared" si="6"/>
        <v>5.6551196399999997</v>
      </c>
      <c r="I51" s="13">
        <f t="shared" si="7"/>
        <v>2827.5598199999999</v>
      </c>
      <c r="J51" s="23"/>
      <c r="L51" s="18"/>
      <c r="M51" s="19"/>
      <c r="N51" s="20"/>
    </row>
    <row r="52" spans="1:22" ht="15.75" hidden="1" customHeight="1">
      <c r="A52" s="29"/>
      <c r="B52" s="75" t="s">
        <v>34</v>
      </c>
      <c r="C52" s="76" t="s">
        <v>53</v>
      </c>
      <c r="D52" s="75" t="s">
        <v>42</v>
      </c>
      <c r="E52" s="77">
        <v>83.04</v>
      </c>
      <c r="F52" s="78">
        <v>1.66</v>
      </c>
      <c r="G52" s="33">
        <v>1352.76</v>
      </c>
      <c r="H52" s="79">
        <f>SUM(F52*G52/1000)</f>
        <v>2.2455816</v>
      </c>
      <c r="I52" s="13">
        <f>F52/2*G52</f>
        <v>1122.7908</v>
      </c>
      <c r="J52" s="23"/>
      <c r="L52" s="18"/>
      <c r="M52" s="19"/>
      <c r="N52" s="20"/>
    </row>
    <row r="53" spans="1:22" ht="15.75" customHeight="1">
      <c r="A53" s="29">
        <v>14</v>
      </c>
      <c r="B53" s="75" t="s">
        <v>249</v>
      </c>
      <c r="C53" s="76" t="s">
        <v>89</v>
      </c>
      <c r="D53" s="75" t="s">
        <v>206</v>
      </c>
      <c r="E53" s="77">
        <v>2626.5</v>
      </c>
      <c r="F53" s="78">
        <f>SUM(E53*5/1000)</f>
        <v>13.1325</v>
      </c>
      <c r="G53" s="33">
        <v>1803.69</v>
      </c>
      <c r="H53" s="79">
        <f t="shared" ref="H53:H55" si="8">SUM(F53*G53/1000)</f>
        <v>23.686958925000003</v>
      </c>
      <c r="I53" s="13">
        <f>F53/5*G53</f>
        <v>4737.3917849999998</v>
      </c>
      <c r="J53" s="23"/>
      <c r="L53" s="18"/>
      <c r="M53" s="19"/>
      <c r="N53" s="20"/>
    </row>
    <row r="54" spans="1:22" ht="31.5" hidden="1" customHeight="1">
      <c r="A54" s="29"/>
      <c r="B54" s="75" t="s">
        <v>91</v>
      </c>
      <c r="C54" s="76" t="s">
        <v>89</v>
      </c>
      <c r="D54" s="75" t="s">
        <v>42</v>
      </c>
      <c r="E54" s="77">
        <v>2626.5</v>
      </c>
      <c r="F54" s="78">
        <f>SUM(E54*2/1000)</f>
        <v>5.2530000000000001</v>
      </c>
      <c r="G54" s="33">
        <v>1591.6</v>
      </c>
      <c r="H54" s="79">
        <f t="shared" si="8"/>
        <v>8.3606747999999982</v>
      </c>
      <c r="I54" s="13">
        <f>F54/2*G54</f>
        <v>4180.3373999999994</v>
      </c>
      <c r="J54" s="23"/>
      <c r="L54" s="18"/>
      <c r="M54" s="19"/>
      <c r="N54" s="20"/>
    </row>
    <row r="55" spans="1:22" ht="31.5" hidden="1" customHeight="1">
      <c r="A55" s="29"/>
      <c r="B55" s="75" t="s">
        <v>92</v>
      </c>
      <c r="C55" s="76" t="s">
        <v>38</v>
      </c>
      <c r="D55" s="75" t="s">
        <v>42</v>
      </c>
      <c r="E55" s="77">
        <v>15</v>
      </c>
      <c r="F55" s="78">
        <f>SUM(E55*2/100)</f>
        <v>0.3</v>
      </c>
      <c r="G55" s="33">
        <v>4058.32</v>
      </c>
      <c r="H55" s="79">
        <f t="shared" si="8"/>
        <v>1.2174960000000001</v>
      </c>
      <c r="I55" s="13">
        <f t="shared" ref="I55:I56" si="9">F55/2*G55</f>
        <v>608.74800000000005</v>
      </c>
      <c r="J55" s="23"/>
      <c r="L55" s="18"/>
      <c r="M55" s="19"/>
      <c r="N55" s="20"/>
    </row>
    <row r="56" spans="1:22" ht="15.75" hidden="1" customHeight="1">
      <c r="A56" s="29"/>
      <c r="B56" s="75" t="s">
        <v>39</v>
      </c>
      <c r="C56" s="76" t="s">
        <v>40</v>
      </c>
      <c r="D56" s="75" t="s">
        <v>42</v>
      </c>
      <c r="E56" s="77">
        <v>1</v>
      </c>
      <c r="F56" s="78">
        <v>0.02</v>
      </c>
      <c r="G56" s="33">
        <v>7412.92</v>
      </c>
      <c r="H56" s="79">
        <f t="shared" si="6"/>
        <v>0.14825839999999998</v>
      </c>
      <c r="I56" s="13">
        <f t="shared" si="9"/>
        <v>74.129199999999997</v>
      </c>
      <c r="J56" s="23"/>
      <c r="L56" s="18"/>
      <c r="M56" s="19"/>
      <c r="N56" s="20"/>
    </row>
    <row r="57" spans="1:22" ht="15.75" hidden="1" customHeight="1">
      <c r="A57" s="29">
        <v>15</v>
      </c>
      <c r="B57" s="75" t="s">
        <v>41</v>
      </c>
      <c r="C57" s="76" t="s">
        <v>106</v>
      </c>
      <c r="D57" s="75" t="s">
        <v>71</v>
      </c>
      <c r="E57" s="77">
        <v>90</v>
      </c>
      <c r="F57" s="78">
        <f>SUM(E57)*3</f>
        <v>270</v>
      </c>
      <c r="G57" s="74">
        <v>86.15</v>
      </c>
      <c r="H57" s="79">
        <f>SUM(F57*G57/1000)</f>
        <v>23.2605</v>
      </c>
      <c r="I57" s="13">
        <f>F57/3*G57</f>
        <v>7753.5000000000009</v>
      </c>
      <c r="J57" s="23"/>
      <c r="L57" s="18"/>
      <c r="M57" s="19"/>
      <c r="N57" s="20"/>
    </row>
    <row r="58" spans="1:22" ht="15.75" customHeight="1">
      <c r="A58" s="186" t="s">
        <v>130</v>
      </c>
      <c r="B58" s="187"/>
      <c r="C58" s="187"/>
      <c r="D58" s="187"/>
      <c r="E58" s="187"/>
      <c r="F58" s="187"/>
      <c r="G58" s="187"/>
      <c r="H58" s="187"/>
      <c r="I58" s="188"/>
      <c r="J58" s="23"/>
      <c r="L58" s="18"/>
    </row>
    <row r="59" spans="1:22" ht="15.75" hidden="1" customHeight="1">
      <c r="A59" s="29"/>
      <c r="B59" s="106" t="s">
        <v>43</v>
      </c>
      <c r="C59" s="76"/>
      <c r="D59" s="75"/>
      <c r="E59" s="77"/>
      <c r="F59" s="78"/>
      <c r="G59" s="78"/>
      <c r="H59" s="79"/>
      <c r="I59" s="13"/>
    </row>
    <row r="60" spans="1:22" ht="15.75" hidden="1" customHeight="1">
      <c r="A60" s="29">
        <v>17</v>
      </c>
      <c r="B60" s="75" t="s">
        <v>158</v>
      </c>
      <c r="C60" s="76" t="s">
        <v>159</v>
      </c>
      <c r="D60" s="75" t="s">
        <v>67</v>
      </c>
      <c r="E60" s="77"/>
      <c r="F60" s="78">
        <v>3</v>
      </c>
      <c r="G60" s="33">
        <v>1582.05</v>
      </c>
      <c r="H60" s="79">
        <f>SUM(F60*G60/1000)</f>
        <v>4.7461499999999992</v>
      </c>
      <c r="I60" s="13">
        <f>G60*2.5</f>
        <v>3955.125</v>
      </c>
    </row>
    <row r="61" spans="1:22" ht="15.75" customHeight="1">
      <c r="A61" s="29"/>
      <c r="B61" s="107" t="s">
        <v>44</v>
      </c>
      <c r="C61" s="87"/>
      <c r="D61" s="88"/>
      <c r="E61" s="89"/>
      <c r="F61" s="90"/>
      <c r="G61" s="33"/>
      <c r="H61" s="91"/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hidden="1" customHeight="1">
      <c r="A62" s="29"/>
      <c r="B62" s="88" t="s">
        <v>45</v>
      </c>
      <c r="C62" s="87" t="s">
        <v>53</v>
      </c>
      <c r="D62" s="88" t="s">
        <v>54</v>
      </c>
      <c r="E62" s="89">
        <v>130</v>
      </c>
      <c r="F62" s="90">
        <f>E62/100</f>
        <v>1.3</v>
      </c>
      <c r="G62" s="33">
        <v>1040.8399999999999</v>
      </c>
      <c r="H62" s="91">
        <f>F62*G62/1000</f>
        <v>1.353092</v>
      </c>
      <c r="I62" s="13">
        <v>0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customHeight="1">
      <c r="A63" s="29">
        <v>15</v>
      </c>
      <c r="B63" s="88" t="s">
        <v>120</v>
      </c>
      <c r="C63" s="87" t="s">
        <v>25</v>
      </c>
      <c r="D63" s="88" t="s">
        <v>205</v>
      </c>
      <c r="E63" s="89">
        <v>130</v>
      </c>
      <c r="F63" s="92">
        <f>E63*12</f>
        <v>1560</v>
      </c>
      <c r="G63" s="93">
        <v>1.2</v>
      </c>
      <c r="H63" s="90">
        <f>F63*G63/1000</f>
        <v>1.8720000000000001</v>
      </c>
      <c r="I63" s="13">
        <f t="shared" ref="I63" si="10">F63/12*G63</f>
        <v>156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29"/>
      <c r="B64" s="108" t="s">
        <v>46</v>
      </c>
      <c r="C64" s="87"/>
      <c r="D64" s="88"/>
      <c r="E64" s="89"/>
      <c r="F64" s="92"/>
      <c r="G64" s="92"/>
      <c r="H64" s="90" t="s">
        <v>136</v>
      </c>
      <c r="I64" s="13"/>
      <c r="J64" s="5"/>
      <c r="K64" s="5"/>
      <c r="L64" s="5"/>
      <c r="M64" s="5"/>
      <c r="N64" s="5"/>
      <c r="O64" s="5"/>
      <c r="P64" s="5"/>
      <c r="Q64" s="5"/>
      <c r="R64" s="162"/>
      <c r="S64" s="162"/>
      <c r="T64" s="162"/>
      <c r="U64" s="162"/>
    </row>
    <row r="65" spans="1:21" ht="15.75" hidden="1" customHeight="1">
      <c r="A65" s="29"/>
      <c r="B65" s="94" t="s">
        <v>47</v>
      </c>
      <c r="C65" s="95" t="s">
        <v>106</v>
      </c>
      <c r="D65" s="75" t="s">
        <v>67</v>
      </c>
      <c r="E65" s="16">
        <v>9</v>
      </c>
      <c r="F65" s="74">
        <f>SUM(E65)</f>
        <v>9</v>
      </c>
      <c r="G65" s="33">
        <v>291.68</v>
      </c>
      <c r="H65" s="68">
        <f t="shared" ref="H65:H83" si="11">SUM(F65*G65/1000)</f>
        <v>2.6251199999999999</v>
      </c>
      <c r="I65" s="13">
        <v>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hidden="1" customHeight="1">
      <c r="A66" s="29"/>
      <c r="B66" s="94" t="s">
        <v>48</v>
      </c>
      <c r="C66" s="95" t="s">
        <v>106</v>
      </c>
      <c r="D66" s="75" t="s">
        <v>67</v>
      </c>
      <c r="E66" s="16">
        <v>4</v>
      </c>
      <c r="F66" s="74">
        <f>SUM(E66)</f>
        <v>4</v>
      </c>
      <c r="G66" s="33">
        <v>100.01</v>
      </c>
      <c r="H66" s="68">
        <f t="shared" si="11"/>
        <v>0.40004000000000001</v>
      </c>
      <c r="I66" s="13">
        <v>0</v>
      </c>
    </row>
    <row r="67" spans="1:21" ht="15.75" hidden="1" customHeight="1">
      <c r="A67" s="29"/>
      <c r="B67" s="94" t="s">
        <v>49</v>
      </c>
      <c r="C67" s="96" t="s">
        <v>108</v>
      </c>
      <c r="D67" s="35" t="s">
        <v>54</v>
      </c>
      <c r="E67" s="77">
        <v>13287</v>
      </c>
      <c r="F67" s="74">
        <f>SUM(E67/100)</f>
        <v>132.87</v>
      </c>
      <c r="G67" s="33">
        <v>278.24</v>
      </c>
      <c r="H67" s="68">
        <f t="shared" si="11"/>
        <v>36.969748799999998</v>
      </c>
      <c r="I67" s="13">
        <v>0</v>
      </c>
    </row>
    <row r="68" spans="1:21" ht="15.75" hidden="1" customHeight="1">
      <c r="A68" s="29"/>
      <c r="B68" s="94" t="s">
        <v>50</v>
      </c>
      <c r="C68" s="95" t="s">
        <v>109</v>
      </c>
      <c r="D68" s="35" t="s">
        <v>54</v>
      </c>
      <c r="E68" s="77">
        <v>13287</v>
      </c>
      <c r="F68" s="33">
        <f>SUM(E68/1000)</f>
        <v>13.287000000000001</v>
      </c>
      <c r="G68" s="33">
        <v>216.68</v>
      </c>
      <c r="H68" s="68">
        <f t="shared" si="11"/>
        <v>2.8790271600000001</v>
      </c>
      <c r="I68" s="13">
        <v>0</v>
      </c>
    </row>
    <row r="69" spans="1:21" ht="15.75" hidden="1" customHeight="1">
      <c r="A69" s="29"/>
      <c r="B69" s="94" t="s">
        <v>51</v>
      </c>
      <c r="C69" s="95" t="s">
        <v>76</v>
      </c>
      <c r="D69" s="35" t="s">
        <v>54</v>
      </c>
      <c r="E69" s="77">
        <v>2110</v>
      </c>
      <c r="F69" s="33">
        <f>SUM(E69/100)</f>
        <v>21.1</v>
      </c>
      <c r="G69" s="33">
        <v>2720.94</v>
      </c>
      <c r="H69" s="68">
        <f>SUM(F69*G69/1000)</f>
        <v>57.411834000000006</v>
      </c>
      <c r="I69" s="13">
        <v>0</v>
      </c>
    </row>
    <row r="70" spans="1:21" ht="15.75" hidden="1" customHeight="1">
      <c r="A70" s="29"/>
      <c r="B70" s="97" t="s">
        <v>110</v>
      </c>
      <c r="C70" s="95" t="s">
        <v>33</v>
      </c>
      <c r="D70" s="35"/>
      <c r="E70" s="77">
        <v>8.6</v>
      </c>
      <c r="F70" s="33">
        <f>SUM(E70)</f>
        <v>8.6</v>
      </c>
      <c r="G70" s="33">
        <v>42.61</v>
      </c>
      <c r="H70" s="68">
        <f t="shared" si="11"/>
        <v>0.36644599999999999</v>
      </c>
      <c r="I70" s="13">
        <v>0</v>
      </c>
    </row>
    <row r="71" spans="1:21" ht="15.75" hidden="1" customHeight="1">
      <c r="A71" s="29"/>
      <c r="B71" s="97" t="s">
        <v>111</v>
      </c>
      <c r="C71" s="95" t="s">
        <v>33</v>
      </c>
      <c r="D71" s="35"/>
      <c r="E71" s="77">
        <v>8.6</v>
      </c>
      <c r="F71" s="33">
        <f>SUM(E71)</f>
        <v>8.6</v>
      </c>
      <c r="G71" s="33">
        <v>46.04</v>
      </c>
      <c r="H71" s="68">
        <f t="shared" si="11"/>
        <v>0.39594399999999996</v>
      </c>
      <c r="I71" s="13">
        <v>0</v>
      </c>
    </row>
    <row r="72" spans="1:21" ht="15.75" hidden="1" customHeight="1">
      <c r="A72" s="29"/>
      <c r="B72" s="35" t="s">
        <v>57</v>
      </c>
      <c r="C72" s="95" t="s">
        <v>58</v>
      </c>
      <c r="D72" s="35" t="s">
        <v>54</v>
      </c>
      <c r="E72" s="16">
        <v>3</v>
      </c>
      <c r="F72" s="33">
        <f>SUM(E72)</f>
        <v>3</v>
      </c>
      <c r="G72" s="33">
        <v>65.42</v>
      </c>
      <c r="H72" s="68">
        <f t="shared" si="11"/>
        <v>0.19625999999999999</v>
      </c>
      <c r="I72" s="13">
        <v>0</v>
      </c>
    </row>
    <row r="73" spans="1:21" ht="15.75" customHeight="1">
      <c r="A73" s="29"/>
      <c r="B73" s="109" t="s">
        <v>72</v>
      </c>
      <c r="C73" s="95"/>
      <c r="D73" s="35"/>
      <c r="E73" s="16"/>
      <c r="F73" s="33"/>
      <c r="G73" s="33"/>
      <c r="H73" s="68" t="s">
        <v>136</v>
      </c>
      <c r="I73" s="13"/>
    </row>
    <row r="74" spans="1:21" ht="31.5" hidden="1" customHeight="1">
      <c r="A74" s="29"/>
      <c r="B74" s="35" t="s">
        <v>160</v>
      </c>
      <c r="C74" s="95" t="s">
        <v>106</v>
      </c>
      <c r="D74" s="75" t="s">
        <v>67</v>
      </c>
      <c r="E74" s="16">
        <v>1</v>
      </c>
      <c r="F74" s="33">
        <v>1</v>
      </c>
      <c r="G74" s="33">
        <v>1543.4</v>
      </c>
      <c r="H74" s="68">
        <f t="shared" ref="H74:H76" si="12">SUM(F74*G74/1000)</f>
        <v>1.5434000000000001</v>
      </c>
      <c r="I74" s="13">
        <v>0</v>
      </c>
    </row>
    <row r="75" spans="1:21" ht="15.75" hidden="1" customHeight="1">
      <c r="A75" s="29">
        <v>17</v>
      </c>
      <c r="B75" s="35" t="s">
        <v>73</v>
      </c>
      <c r="C75" s="95" t="s">
        <v>74</v>
      </c>
      <c r="D75" s="75" t="s">
        <v>67</v>
      </c>
      <c r="E75" s="16">
        <v>3</v>
      </c>
      <c r="F75" s="33">
        <f>E75/10</f>
        <v>0.3</v>
      </c>
      <c r="G75" s="33">
        <v>657.87</v>
      </c>
      <c r="H75" s="68">
        <f t="shared" si="12"/>
        <v>0.19736099999999998</v>
      </c>
      <c r="I75" s="13">
        <f>G75*0.9</f>
        <v>592.08299999999997</v>
      </c>
    </row>
    <row r="76" spans="1:21" ht="15.75" hidden="1" customHeight="1">
      <c r="A76" s="29"/>
      <c r="B76" s="35" t="s">
        <v>161</v>
      </c>
      <c r="C76" s="95" t="s">
        <v>106</v>
      </c>
      <c r="D76" s="75" t="s">
        <v>67</v>
      </c>
      <c r="E76" s="16">
        <v>2</v>
      </c>
      <c r="F76" s="78">
        <f>SUM(E76)</f>
        <v>2</v>
      </c>
      <c r="G76" s="33">
        <v>1118.72</v>
      </c>
      <c r="H76" s="68">
        <f t="shared" si="12"/>
        <v>2.2374399999999999</v>
      </c>
      <c r="I76" s="13">
        <v>0</v>
      </c>
    </row>
    <row r="77" spans="1:21" ht="15.75" hidden="1" customHeight="1">
      <c r="A77" s="29"/>
      <c r="B77" s="47" t="s">
        <v>162</v>
      </c>
      <c r="C77" s="48" t="s">
        <v>106</v>
      </c>
      <c r="D77" s="75" t="s">
        <v>67</v>
      </c>
      <c r="E77" s="16">
        <v>1</v>
      </c>
      <c r="F77" s="93">
        <v>1</v>
      </c>
      <c r="G77" s="33">
        <v>1605.83</v>
      </c>
      <c r="H77" s="68">
        <f>SUM(F77*G77/1000)</f>
        <v>1.6058299999999999</v>
      </c>
      <c r="I77" s="13">
        <v>0</v>
      </c>
    </row>
    <row r="78" spans="1:21" ht="15.75" customHeight="1">
      <c r="A78" s="29">
        <v>16</v>
      </c>
      <c r="B78" s="47" t="s">
        <v>163</v>
      </c>
      <c r="C78" s="48" t="s">
        <v>106</v>
      </c>
      <c r="D78" s="35" t="s">
        <v>205</v>
      </c>
      <c r="E78" s="98">
        <v>2</v>
      </c>
      <c r="F78" s="92">
        <f>E78*12</f>
        <v>24</v>
      </c>
      <c r="G78" s="99">
        <v>53.42</v>
      </c>
      <c r="H78" s="68">
        <f t="shared" ref="H78:H79" si="13">SUM(F78*G78/1000)</f>
        <v>1.2820799999999999</v>
      </c>
      <c r="I78" s="13">
        <f t="shared" ref="I78:I81" si="14">F78/12*G78</f>
        <v>106.84</v>
      </c>
    </row>
    <row r="79" spans="1:21" ht="15.75" hidden="1" customHeight="1">
      <c r="A79" s="29">
        <v>17</v>
      </c>
      <c r="B79" s="57" t="s">
        <v>164</v>
      </c>
      <c r="C79" s="95"/>
      <c r="D79" s="35" t="s">
        <v>30</v>
      </c>
      <c r="E79" s="16">
        <v>1</v>
      </c>
      <c r="F79" s="33">
        <v>12</v>
      </c>
      <c r="G79" s="33">
        <v>1194</v>
      </c>
      <c r="H79" s="68">
        <f t="shared" si="13"/>
        <v>14.327999999999999</v>
      </c>
      <c r="I79" s="13">
        <f t="shared" si="14"/>
        <v>1194</v>
      </c>
    </row>
    <row r="80" spans="1:21" ht="15.75" customHeight="1">
      <c r="A80" s="29"/>
      <c r="B80" s="110" t="s">
        <v>165</v>
      </c>
      <c r="C80" s="48"/>
      <c r="D80" s="35"/>
      <c r="E80" s="16"/>
      <c r="F80" s="33"/>
      <c r="G80" s="33"/>
      <c r="H80" s="68"/>
      <c r="I80" s="13"/>
    </row>
    <row r="81" spans="1:9" ht="15.75" customHeight="1">
      <c r="A81" s="29">
        <v>18</v>
      </c>
      <c r="B81" s="35" t="s">
        <v>166</v>
      </c>
      <c r="C81" s="100" t="s">
        <v>167</v>
      </c>
      <c r="D81" s="75" t="s">
        <v>206</v>
      </c>
      <c r="E81" s="16">
        <v>2626.5</v>
      </c>
      <c r="F81" s="33">
        <f>SUM(E81*12)</f>
        <v>31518</v>
      </c>
      <c r="G81" s="33">
        <v>2.2799999999999998</v>
      </c>
      <c r="H81" s="68">
        <f t="shared" ref="H81" si="15">SUM(F81*G81/1000)</f>
        <v>71.861039999999988</v>
      </c>
      <c r="I81" s="13">
        <f t="shared" si="14"/>
        <v>5988.4199999999992</v>
      </c>
    </row>
    <row r="82" spans="1:9" ht="15.75" hidden="1" customHeight="1">
      <c r="A82" s="29"/>
      <c r="B82" s="111" t="s">
        <v>75</v>
      </c>
      <c r="C82" s="95"/>
      <c r="D82" s="35"/>
      <c r="E82" s="16"/>
      <c r="F82" s="33"/>
      <c r="G82" s="33" t="s">
        <v>136</v>
      </c>
      <c r="H82" s="68" t="s">
        <v>136</v>
      </c>
      <c r="I82" s="13"/>
    </row>
    <row r="83" spans="1:9" ht="15.75" hidden="1" customHeight="1">
      <c r="A83" s="29"/>
      <c r="B83" s="101" t="s">
        <v>126</v>
      </c>
      <c r="C83" s="96" t="s">
        <v>76</v>
      </c>
      <c r="D83" s="94"/>
      <c r="E83" s="102"/>
      <c r="F83" s="74">
        <v>0.5</v>
      </c>
      <c r="G83" s="74">
        <v>3619.09</v>
      </c>
      <c r="H83" s="68">
        <f t="shared" si="11"/>
        <v>1.8095450000000002</v>
      </c>
      <c r="I83" s="13"/>
    </row>
    <row r="84" spans="1:9" ht="15.75" hidden="1" customHeight="1">
      <c r="A84" s="29"/>
      <c r="B84" s="62" t="s">
        <v>93</v>
      </c>
      <c r="C84" s="13"/>
      <c r="D84" s="13"/>
      <c r="E84" s="13"/>
      <c r="F84" s="13"/>
      <c r="G84" s="13"/>
      <c r="H84" s="13"/>
      <c r="I84" s="13"/>
    </row>
    <row r="85" spans="1:9" ht="15.75" hidden="1" customHeight="1">
      <c r="A85" s="29"/>
      <c r="B85" s="75" t="s">
        <v>112</v>
      </c>
      <c r="C85" s="103"/>
      <c r="D85" s="104"/>
      <c r="E85" s="105"/>
      <c r="F85" s="34">
        <v>1</v>
      </c>
      <c r="G85" s="34">
        <v>8275.7000000000007</v>
      </c>
      <c r="H85" s="68">
        <f>G85*F85/1000</f>
        <v>8.2757000000000005</v>
      </c>
      <c r="I85" s="13"/>
    </row>
    <row r="86" spans="1:9" ht="15" customHeight="1">
      <c r="A86" s="174" t="s">
        <v>131</v>
      </c>
      <c r="B86" s="175"/>
      <c r="C86" s="175"/>
      <c r="D86" s="175"/>
      <c r="E86" s="175"/>
      <c r="F86" s="175"/>
      <c r="G86" s="175"/>
      <c r="H86" s="175"/>
      <c r="I86" s="176"/>
    </row>
    <row r="87" spans="1:9" ht="15.75" customHeight="1">
      <c r="A87" s="29">
        <v>19</v>
      </c>
      <c r="B87" s="75" t="s">
        <v>113</v>
      </c>
      <c r="C87" s="95" t="s">
        <v>55</v>
      </c>
      <c r="D87" s="61" t="s">
        <v>142</v>
      </c>
      <c r="E87" s="33">
        <v>2626.5</v>
      </c>
      <c r="F87" s="33">
        <f>SUM(E87*12)</f>
        <v>31518</v>
      </c>
      <c r="G87" s="33">
        <v>3.1</v>
      </c>
      <c r="H87" s="68">
        <f>SUM(F87*G87/1000)</f>
        <v>97.705799999999996</v>
      </c>
      <c r="I87" s="13">
        <f t="shared" ref="I87:I88" si="16">F87/12*G87</f>
        <v>8142.1500000000005</v>
      </c>
    </row>
    <row r="88" spans="1:9" ht="31.5" customHeight="1">
      <c r="A88" s="29">
        <v>20</v>
      </c>
      <c r="B88" s="35" t="s">
        <v>77</v>
      </c>
      <c r="C88" s="95"/>
      <c r="D88" s="61" t="s">
        <v>142</v>
      </c>
      <c r="E88" s="77">
        <f>E87</f>
        <v>2626.5</v>
      </c>
      <c r="F88" s="33">
        <f>E88*12</f>
        <v>31518</v>
      </c>
      <c r="G88" s="33">
        <v>3.5</v>
      </c>
      <c r="H88" s="68">
        <f>F88*G88/1000</f>
        <v>110.313</v>
      </c>
      <c r="I88" s="13">
        <f t="shared" si="16"/>
        <v>9192.75</v>
      </c>
    </row>
    <row r="89" spans="1:9" ht="15.75" customHeight="1">
      <c r="A89" s="29"/>
      <c r="B89" s="36" t="s">
        <v>80</v>
      </c>
      <c r="C89" s="59"/>
      <c r="D89" s="58"/>
      <c r="E89" s="55"/>
      <c r="F89" s="55"/>
      <c r="G89" s="55"/>
      <c r="H89" s="60">
        <f>H79</f>
        <v>14.327999999999999</v>
      </c>
      <c r="I89" s="55">
        <f>I88+I87+I81+I78+I63+I53+I46+I45+I44+I43+I41+I40+I39+I28+I27+I20+I18+I17+I16</f>
        <v>54248.29237333333</v>
      </c>
    </row>
    <row r="90" spans="1:9" ht="15.75" customHeight="1">
      <c r="A90" s="163" t="s">
        <v>60</v>
      </c>
      <c r="B90" s="164"/>
      <c r="C90" s="164"/>
      <c r="D90" s="164"/>
      <c r="E90" s="164"/>
      <c r="F90" s="164"/>
      <c r="G90" s="164"/>
      <c r="H90" s="164"/>
      <c r="I90" s="165"/>
    </row>
    <row r="91" spans="1:9" ht="15.75" customHeight="1">
      <c r="A91" s="29" t="s">
        <v>213</v>
      </c>
      <c r="B91" s="46" t="s">
        <v>121</v>
      </c>
      <c r="C91" s="49" t="s">
        <v>106</v>
      </c>
      <c r="D91" s="14"/>
      <c r="E91" s="17"/>
      <c r="F91" s="13">
        <v>90</v>
      </c>
      <c r="G91" s="13">
        <v>55.55</v>
      </c>
      <c r="H91" s="56">
        <f t="shared" ref="H91:H92" si="17">G91*F91/1000</f>
        <v>4.9995000000000003</v>
      </c>
      <c r="I91" s="13">
        <f>G91*45</f>
        <v>2499.75</v>
      </c>
    </row>
    <row r="92" spans="1:9" ht="31.5" customHeight="1">
      <c r="A92" s="29">
        <v>22</v>
      </c>
      <c r="B92" s="46" t="s">
        <v>196</v>
      </c>
      <c r="C92" s="49" t="s">
        <v>173</v>
      </c>
      <c r="D92" s="35"/>
      <c r="E92" s="16"/>
      <c r="F92" s="33">
        <v>1</v>
      </c>
      <c r="G92" s="33">
        <v>56.34</v>
      </c>
      <c r="H92" s="68">
        <f t="shared" si="17"/>
        <v>5.6340000000000001E-2</v>
      </c>
      <c r="I92" s="13">
        <f>G92</f>
        <v>56.34</v>
      </c>
    </row>
    <row r="93" spans="1:9" ht="16.5" customHeight="1">
      <c r="A93" s="29"/>
      <c r="B93" s="41" t="s">
        <v>52</v>
      </c>
      <c r="C93" s="37"/>
      <c r="D93" s="44"/>
      <c r="E93" s="37">
        <v>1</v>
      </c>
      <c r="F93" s="37"/>
      <c r="G93" s="37"/>
      <c r="H93" s="37"/>
      <c r="I93" s="31">
        <f>I92</f>
        <v>56.34</v>
      </c>
    </row>
    <row r="94" spans="1:9" ht="15.75" customHeight="1">
      <c r="A94" s="29"/>
      <c r="B94" s="43" t="s">
        <v>78</v>
      </c>
      <c r="C94" s="15"/>
      <c r="D94" s="15"/>
      <c r="E94" s="38"/>
      <c r="F94" s="38"/>
      <c r="G94" s="39"/>
      <c r="H94" s="39"/>
      <c r="I94" s="16">
        <v>0</v>
      </c>
    </row>
    <row r="95" spans="1:9" ht="15.75" customHeight="1">
      <c r="A95" s="45"/>
      <c r="B95" s="42" t="s">
        <v>148</v>
      </c>
      <c r="C95" s="32"/>
      <c r="D95" s="32"/>
      <c r="E95" s="32"/>
      <c r="F95" s="32"/>
      <c r="G95" s="32"/>
      <c r="H95" s="32"/>
      <c r="I95" s="40">
        <f>I89+I93</f>
        <v>54304.632373333327</v>
      </c>
    </row>
    <row r="96" spans="1:9" ht="15.75" customHeight="1">
      <c r="A96" s="191" t="s">
        <v>215</v>
      </c>
      <c r="B96" s="192"/>
      <c r="C96" s="192"/>
      <c r="D96" s="192"/>
      <c r="E96" s="192"/>
      <c r="F96" s="192"/>
      <c r="G96" s="192"/>
      <c r="H96" s="192"/>
      <c r="I96" s="192"/>
    </row>
    <row r="97" spans="1:9" ht="15.75" customHeight="1">
      <c r="A97" s="166" t="s">
        <v>237</v>
      </c>
      <c r="B97" s="166"/>
      <c r="C97" s="166"/>
      <c r="D97" s="166"/>
      <c r="E97" s="166"/>
      <c r="F97" s="166"/>
      <c r="G97" s="166"/>
      <c r="H97" s="166"/>
      <c r="I97" s="166"/>
    </row>
    <row r="98" spans="1:9" ht="15.75">
      <c r="A98" s="50"/>
      <c r="B98" s="167" t="s">
        <v>238</v>
      </c>
      <c r="C98" s="167"/>
      <c r="D98" s="167"/>
      <c r="E98" s="167"/>
      <c r="F98" s="167"/>
      <c r="G98" s="167"/>
      <c r="H98" s="53"/>
      <c r="I98" s="3"/>
    </row>
    <row r="99" spans="1:9">
      <c r="A99" s="69"/>
      <c r="B99" s="168" t="s">
        <v>6</v>
      </c>
      <c r="C99" s="168"/>
      <c r="D99" s="168"/>
      <c r="E99" s="168"/>
      <c r="F99" s="168"/>
      <c r="G99" s="168"/>
      <c r="H99" s="24"/>
      <c r="I99" s="5"/>
    </row>
    <row r="100" spans="1:9" ht="15.75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 customHeight="1">
      <c r="A101" s="169" t="s">
        <v>7</v>
      </c>
      <c r="B101" s="169"/>
      <c r="C101" s="169"/>
      <c r="D101" s="169"/>
      <c r="E101" s="169"/>
      <c r="F101" s="169"/>
      <c r="G101" s="169"/>
      <c r="H101" s="169"/>
      <c r="I101" s="169"/>
    </row>
    <row r="102" spans="1:9" ht="15.75">
      <c r="A102" s="169" t="s">
        <v>8</v>
      </c>
      <c r="B102" s="169"/>
      <c r="C102" s="169"/>
      <c r="D102" s="169"/>
      <c r="E102" s="169"/>
      <c r="F102" s="169"/>
      <c r="G102" s="169"/>
      <c r="H102" s="169"/>
      <c r="I102" s="169"/>
    </row>
    <row r="103" spans="1:9" ht="15.75">
      <c r="A103" s="170" t="s">
        <v>61</v>
      </c>
      <c r="B103" s="170"/>
      <c r="C103" s="170"/>
      <c r="D103" s="170"/>
      <c r="E103" s="170"/>
      <c r="F103" s="170"/>
      <c r="G103" s="170"/>
      <c r="H103" s="170"/>
      <c r="I103" s="170"/>
    </row>
    <row r="104" spans="1:9" ht="15.75">
      <c r="A104" s="11"/>
    </row>
    <row r="105" spans="1:9" ht="15.75">
      <c r="A105" s="171" t="s">
        <v>9</v>
      </c>
      <c r="B105" s="171"/>
      <c r="C105" s="171"/>
      <c r="D105" s="171"/>
      <c r="E105" s="171"/>
      <c r="F105" s="171"/>
      <c r="G105" s="171"/>
      <c r="H105" s="171"/>
      <c r="I105" s="171"/>
    </row>
    <row r="106" spans="1:9" ht="15.75" customHeight="1">
      <c r="A106" s="4"/>
    </row>
    <row r="107" spans="1:9" ht="15.75">
      <c r="B107" s="71" t="s">
        <v>10</v>
      </c>
      <c r="C107" s="172" t="s">
        <v>132</v>
      </c>
      <c r="D107" s="172"/>
      <c r="E107" s="172"/>
      <c r="F107" s="51"/>
      <c r="I107" s="72"/>
    </row>
    <row r="108" spans="1:9">
      <c r="A108" s="69"/>
      <c r="C108" s="168" t="s">
        <v>11</v>
      </c>
      <c r="D108" s="168"/>
      <c r="E108" s="168"/>
      <c r="F108" s="24"/>
      <c r="I108" s="70" t="s">
        <v>12</v>
      </c>
    </row>
    <row r="109" spans="1:9" ht="15.75" customHeight="1">
      <c r="A109" s="25"/>
      <c r="C109" s="12"/>
      <c r="D109" s="12"/>
      <c r="G109" s="12"/>
      <c r="H109" s="12"/>
    </row>
    <row r="110" spans="1:9" ht="15.75" customHeight="1">
      <c r="B110" s="71" t="s">
        <v>13</v>
      </c>
      <c r="C110" s="173"/>
      <c r="D110" s="173"/>
      <c r="E110" s="173"/>
      <c r="F110" s="52"/>
      <c r="I110" s="72"/>
    </row>
    <row r="111" spans="1:9" ht="15.75" customHeight="1">
      <c r="A111" s="69"/>
      <c r="C111" s="162" t="s">
        <v>11</v>
      </c>
      <c r="D111" s="162"/>
      <c r="E111" s="162"/>
      <c r="F111" s="69"/>
      <c r="I111" s="70" t="s">
        <v>12</v>
      </c>
    </row>
    <row r="112" spans="1:9" ht="15.75">
      <c r="A112" s="4" t="s">
        <v>14</v>
      </c>
    </row>
    <row r="113" spans="1:9">
      <c r="A113" s="195" t="s">
        <v>15</v>
      </c>
      <c r="B113" s="195"/>
      <c r="C113" s="195"/>
      <c r="D113" s="195"/>
      <c r="E113" s="195"/>
      <c r="F113" s="195"/>
      <c r="G113" s="195"/>
      <c r="H113" s="195"/>
      <c r="I113" s="195"/>
    </row>
    <row r="114" spans="1:9" ht="45" customHeight="1">
      <c r="A114" s="196" t="s">
        <v>16</v>
      </c>
      <c r="B114" s="196"/>
      <c r="C114" s="196"/>
      <c r="D114" s="196"/>
      <c r="E114" s="196"/>
      <c r="F114" s="196"/>
      <c r="G114" s="196"/>
      <c r="H114" s="196"/>
      <c r="I114" s="196"/>
    </row>
    <row r="115" spans="1:9" ht="30" customHeight="1">
      <c r="A115" s="196" t="s">
        <v>17</v>
      </c>
      <c r="B115" s="196"/>
      <c r="C115" s="196"/>
      <c r="D115" s="196"/>
      <c r="E115" s="196"/>
      <c r="F115" s="196"/>
      <c r="G115" s="196"/>
      <c r="H115" s="196"/>
      <c r="I115" s="196"/>
    </row>
    <row r="116" spans="1:9" ht="30" customHeight="1">
      <c r="A116" s="196" t="s">
        <v>21</v>
      </c>
      <c r="B116" s="196"/>
      <c r="C116" s="196"/>
      <c r="D116" s="196"/>
      <c r="E116" s="196"/>
      <c r="F116" s="196"/>
      <c r="G116" s="196"/>
      <c r="H116" s="196"/>
      <c r="I116" s="196"/>
    </row>
    <row r="117" spans="1:9" ht="15" customHeight="1">
      <c r="A117" s="196" t="s">
        <v>20</v>
      </c>
      <c r="B117" s="196"/>
      <c r="C117" s="196"/>
      <c r="D117" s="196"/>
      <c r="E117" s="196"/>
      <c r="F117" s="196"/>
      <c r="G117" s="196"/>
      <c r="H117" s="196"/>
      <c r="I117" s="196"/>
    </row>
    <row r="120" spans="1:9" ht="30">
      <c r="B120" s="137" t="s">
        <v>263</v>
      </c>
      <c r="C120" s="200">
        <f>72094.8</f>
        <v>72094.8</v>
      </c>
      <c r="D120" s="201"/>
      <c r="E120" s="201"/>
      <c r="F120" s="202"/>
    </row>
    <row r="121" spans="1:9" ht="30">
      <c r="B121" s="137" t="s">
        <v>264</v>
      </c>
      <c r="C121" s="200">
        <f>I95-I93</f>
        <v>54248.29237333333</v>
      </c>
      <c r="D121" s="201"/>
      <c r="E121" s="201"/>
      <c r="F121" s="202"/>
    </row>
    <row r="122" spans="1:9" ht="30">
      <c r="B122" s="137" t="s">
        <v>207</v>
      </c>
      <c r="C122" s="200">
        <f>I93</f>
        <v>56.34</v>
      </c>
      <c r="D122" s="201"/>
      <c r="E122" s="201"/>
      <c r="F122" s="202"/>
    </row>
    <row r="123" spans="1:9">
      <c r="B123" s="138" t="s">
        <v>265</v>
      </c>
      <c r="C123" s="200">
        <v>68828.490000000005</v>
      </c>
      <c r="D123" s="201"/>
      <c r="E123" s="201"/>
      <c r="F123" s="202"/>
    </row>
    <row r="124" spans="1:9" ht="63">
      <c r="B124" s="139" t="s">
        <v>266</v>
      </c>
      <c r="C124" s="203">
        <v>228155.66</v>
      </c>
      <c r="D124" s="204"/>
      <c r="E124" s="204"/>
      <c r="F124" s="205"/>
    </row>
    <row r="125" spans="1:9" ht="30">
      <c r="B125" s="137" t="s">
        <v>267</v>
      </c>
      <c r="C125" s="197">
        <f>C121+C122-C120</f>
        <v>-17790.167626666676</v>
      </c>
      <c r="D125" s="198"/>
      <c r="E125" s="198"/>
      <c r="F125" s="199"/>
    </row>
  </sheetData>
  <autoFilter ref="I12:I59"/>
  <mergeCells count="36">
    <mergeCell ref="C125:F125"/>
    <mergeCell ref="A96:I96"/>
    <mergeCell ref="C120:F120"/>
    <mergeCell ref="C121:F121"/>
    <mergeCell ref="C122:F122"/>
    <mergeCell ref="C123:F123"/>
    <mergeCell ref="C124:F124"/>
    <mergeCell ref="A113:I113"/>
    <mergeCell ref="A114:I114"/>
    <mergeCell ref="A115:I115"/>
    <mergeCell ref="A116:I116"/>
    <mergeCell ref="A117:I117"/>
    <mergeCell ref="A14:I14"/>
    <mergeCell ref="A15:I15"/>
    <mergeCell ref="A29:I29"/>
    <mergeCell ref="A47:I47"/>
    <mergeCell ref="A58:I58"/>
    <mergeCell ref="A3:I3"/>
    <mergeCell ref="A4:I4"/>
    <mergeCell ref="A5:I5"/>
    <mergeCell ref="A8:I8"/>
    <mergeCell ref="A10:I10"/>
    <mergeCell ref="R64:U64"/>
    <mergeCell ref="C111:E111"/>
    <mergeCell ref="A90:I90"/>
    <mergeCell ref="A97:I97"/>
    <mergeCell ref="B98:G98"/>
    <mergeCell ref="B99:G99"/>
    <mergeCell ref="A101:I101"/>
    <mergeCell ref="A102:I102"/>
    <mergeCell ref="A103:I103"/>
    <mergeCell ref="A105:I105"/>
    <mergeCell ref="C107:E107"/>
    <mergeCell ref="C108:E108"/>
    <mergeCell ref="C110:E110"/>
    <mergeCell ref="A86:I86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7"/>
  <sheetViews>
    <sheetView topLeftCell="A93" workbookViewId="0">
      <selection activeCell="G126" sqref="G12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85</v>
      </c>
      <c r="I1" s="26"/>
      <c r="J1" s="1"/>
      <c r="K1" s="1"/>
      <c r="L1" s="1"/>
      <c r="M1" s="1"/>
    </row>
    <row r="2" spans="1:13" ht="15.75">
      <c r="A2" s="28" t="s">
        <v>62</v>
      </c>
      <c r="J2" s="2"/>
      <c r="K2" s="2"/>
      <c r="L2" s="2"/>
      <c r="M2" s="2"/>
    </row>
    <row r="3" spans="1:13" ht="15.75" customHeight="1">
      <c r="A3" s="179" t="s">
        <v>174</v>
      </c>
      <c r="B3" s="179"/>
      <c r="C3" s="179"/>
      <c r="D3" s="179"/>
      <c r="E3" s="179"/>
      <c r="F3" s="179"/>
      <c r="G3" s="179"/>
      <c r="H3" s="179"/>
      <c r="I3" s="179"/>
      <c r="J3" s="3"/>
      <c r="K3" s="3"/>
      <c r="L3" s="3"/>
    </row>
    <row r="4" spans="1:13" ht="31.5" customHeight="1">
      <c r="A4" s="180" t="s">
        <v>128</v>
      </c>
      <c r="B4" s="180"/>
      <c r="C4" s="180"/>
      <c r="D4" s="180"/>
      <c r="E4" s="180"/>
      <c r="F4" s="180"/>
      <c r="G4" s="180"/>
      <c r="H4" s="180"/>
      <c r="I4" s="180"/>
    </row>
    <row r="5" spans="1:13" ht="15.75">
      <c r="A5" s="179" t="s">
        <v>175</v>
      </c>
      <c r="B5" s="181"/>
      <c r="C5" s="181"/>
      <c r="D5" s="181"/>
      <c r="E5" s="181"/>
      <c r="F5" s="181"/>
      <c r="G5" s="181"/>
      <c r="H5" s="181"/>
      <c r="I5" s="181"/>
      <c r="J5" s="2"/>
      <c r="K5" s="2"/>
      <c r="L5" s="2"/>
      <c r="M5" s="2"/>
    </row>
    <row r="6" spans="1:13" ht="15.75">
      <c r="A6" s="2"/>
      <c r="B6" s="115"/>
      <c r="C6" s="115"/>
      <c r="D6" s="115"/>
      <c r="E6" s="115"/>
      <c r="F6" s="115"/>
      <c r="G6" s="115"/>
      <c r="H6" s="115"/>
      <c r="I6" s="30">
        <v>43190</v>
      </c>
      <c r="J6" s="2"/>
      <c r="K6" s="2"/>
      <c r="L6" s="2"/>
      <c r="M6" s="2"/>
    </row>
    <row r="7" spans="1:13" ht="15.75">
      <c r="B7" s="118"/>
      <c r="C7" s="118"/>
      <c r="D7" s="11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2" t="s">
        <v>154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3" t="s">
        <v>143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4" t="s">
        <v>59</v>
      </c>
      <c r="B14" s="184"/>
      <c r="C14" s="184"/>
      <c r="D14" s="184"/>
      <c r="E14" s="184"/>
      <c r="F14" s="184"/>
      <c r="G14" s="184"/>
      <c r="H14" s="184"/>
      <c r="I14" s="184"/>
      <c r="J14" s="8"/>
      <c r="K14" s="8"/>
      <c r="L14" s="8"/>
      <c r="M14" s="8"/>
    </row>
    <row r="15" spans="1:13" ht="15" customHeight="1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  <c r="J15" s="8"/>
      <c r="K15" s="8"/>
      <c r="L15" s="8"/>
      <c r="M15" s="8"/>
    </row>
    <row r="16" spans="1:13" ht="33" customHeight="1">
      <c r="A16" s="29">
        <v>1</v>
      </c>
      <c r="B16" s="75" t="s">
        <v>239</v>
      </c>
      <c r="C16" s="76" t="s">
        <v>87</v>
      </c>
      <c r="D16" s="75" t="s">
        <v>240</v>
      </c>
      <c r="E16" s="77">
        <v>49.72</v>
      </c>
      <c r="F16" s="78">
        <f>SUM(E16*156/100)</f>
        <v>77.563199999999995</v>
      </c>
      <c r="G16" s="78">
        <v>230</v>
      </c>
      <c r="H16" s="79">
        <f t="shared" ref="H16:H25" si="0">SUM(F16*G16/1000)</f>
        <v>17.839535999999999</v>
      </c>
      <c r="I16" s="13">
        <f>49.72/100*16*G16</f>
        <v>1829.6959999999999</v>
      </c>
      <c r="J16" s="21"/>
      <c r="K16" s="8"/>
      <c r="L16" s="8"/>
      <c r="M16" s="8"/>
    </row>
    <row r="17" spans="1:13" ht="37.5" customHeight="1">
      <c r="A17" s="29">
        <v>2</v>
      </c>
      <c r="B17" s="75" t="s">
        <v>241</v>
      </c>
      <c r="C17" s="76" t="s">
        <v>87</v>
      </c>
      <c r="D17" s="75" t="s">
        <v>233</v>
      </c>
      <c r="E17" s="77">
        <v>198.88</v>
      </c>
      <c r="F17" s="78">
        <f>SUM(E17*104/100)</f>
        <v>206.83520000000001</v>
      </c>
      <c r="G17" s="78">
        <v>230</v>
      </c>
      <c r="H17" s="79">
        <f t="shared" si="0"/>
        <v>47.572096000000002</v>
      </c>
      <c r="I17" s="13">
        <f>198.88/100*13*G17</f>
        <v>5946.5119999999997</v>
      </c>
      <c r="J17" s="22"/>
      <c r="K17" s="8"/>
      <c r="L17" s="8"/>
      <c r="M17" s="8"/>
    </row>
    <row r="18" spans="1:13" ht="32.25" customHeight="1">
      <c r="A18" s="29">
        <v>3</v>
      </c>
      <c r="B18" s="75" t="s">
        <v>216</v>
      </c>
      <c r="C18" s="76" t="s">
        <v>87</v>
      </c>
      <c r="D18" s="75" t="s">
        <v>217</v>
      </c>
      <c r="E18" s="77">
        <v>248.6</v>
      </c>
      <c r="F18" s="78">
        <f>SUM(E18*24/100)</f>
        <v>59.663999999999994</v>
      </c>
      <c r="G18" s="78">
        <v>661.67</v>
      </c>
      <c r="H18" s="79">
        <f t="shared" si="0"/>
        <v>39.477878879999999</v>
      </c>
      <c r="I18" s="13">
        <f>248.6/100*3*G18</f>
        <v>4934.7348599999996</v>
      </c>
      <c r="J18" s="22"/>
      <c r="K18" s="8"/>
      <c r="L18" s="8"/>
      <c r="M18" s="8"/>
    </row>
    <row r="19" spans="1:13" ht="15.75" hidden="1" customHeight="1">
      <c r="A19" s="29"/>
      <c r="B19" s="75" t="s">
        <v>94</v>
      </c>
      <c r="C19" s="76" t="s">
        <v>95</v>
      </c>
      <c r="D19" s="75" t="s">
        <v>96</v>
      </c>
      <c r="E19" s="77">
        <v>18.48</v>
      </c>
      <c r="F19" s="78">
        <f>SUM(E19/10)</f>
        <v>1.8480000000000001</v>
      </c>
      <c r="G19" s="78">
        <v>223.17</v>
      </c>
      <c r="H19" s="79">
        <f t="shared" si="0"/>
        <v>0.41241815999999998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75" t="s">
        <v>97</v>
      </c>
      <c r="C20" s="76" t="s">
        <v>87</v>
      </c>
      <c r="D20" s="75" t="s">
        <v>218</v>
      </c>
      <c r="E20" s="77">
        <v>10.5</v>
      </c>
      <c r="F20" s="78">
        <f>SUM(E20*12/100)</f>
        <v>1.26</v>
      </c>
      <c r="G20" s="78">
        <v>285.76</v>
      </c>
      <c r="H20" s="79">
        <f t="shared" si="0"/>
        <v>0.36005759999999998</v>
      </c>
      <c r="I20" s="13">
        <f>F20/12*G20</f>
        <v>30.004799999999999</v>
      </c>
      <c r="J20" s="22"/>
      <c r="K20" s="8"/>
      <c r="L20" s="8"/>
      <c r="M20" s="8"/>
    </row>
    <row r="21" spans="1:13" ht="15.75" hidden="1" customHeight="1">
      <c r="A21" s="29">
        <v>5</v>
      </c>
      <c r="B21" s="75" t="s">
        <v>98</v>
      </c>
      <c r="C21" s="76" t="s">
        <v>87</v>
      </c>
      <c r="D21" s="75" t="s">
        <v>42</v>
      </c>
      <c r="E21" s="77">
        <v>3</v>
      </c>
      <c r="F21" s="78">
        <f>SUM(E21*2/100)</f>
        <v>0.06</v>
      </c>
      <c r="G21" s="78">
        <v>283.44</v>
      </c>
      <c r="H21" s="79">
        <f t="shared" si="0"/>
        <v>1.7006399999999998E-2</v>
      </c>
      <c r="I21" s="13">
        <f>F21/6*G21</f>
        <v>2.8344</v>
      </c>
      <c r="J21" s="22"/>
      <c r="K21" s="8"/>
      <c r="L21" s="8"/>
      <c r="M21" s="8"/>
    </row>
    <row r="22" spans="1:13" ht="15.75" hidden="1" customHeight="1">
      <c r="A22" s="29"/>
      <c r="B22" s="75" t="s">
        <v>99</v>
      </c>
      <c r="C22" s="76" t="s">
        <v>53</v>
      </c>
      <c r="D22" s="75" t="s">
        <v>96</v>
      </c>
      <c r="E22" s="77">
        <v>267.75</v>
      </c>
      <c r="F22" s="78">
        <f>SUM(E22/100)</f>
        <v>2.6775000000000002</v>
      </c>
      <c r="G22" s="78">
        <v>353.14</v>
      </c>
      <c r="H22" s="79">
        <f t="shared" si="0"/>
        <v>0.94553235000000002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75" t="s">
        <v>100</v>
      </c>
      <c r="C23" s="76" t="s">
        <v>53</v>
      </c>
      <c r="D23" s="75" t="s">
        <v>96</v>
      </c>
      <c r="E23" s="80">
        <v>36.229999999999997</v>
      </c>
      <c r="F23" s="78">
        <f>SUM(E23/100)</f>
        <v>0.36229999999999996</v>
      </c>
      <c r="G23" s="78">
        <v>58.08</v>
      </c>
      <c r="H23" s="79">
        <f t="shared" si="0"/>
        <v>2.1042383999999997E-2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75" t="s">
        <v>101</v>
      </c>
      <c r="C24" s="76" t="s">
        <v>53</v>
      </c>
      <c r="D24" s="75" t="s">
        <v>54</v>
      </c>
      <c r="E24" s="77">
        <v>15</v>
      </c>
      <c r="F24" s="78">
        <f>SUM(E24/100)</f>
        <v>0.15</v>
      </c>
      <c r="G24" s="78">
        <v>511.12</v>
      </c>
      <c r="H24" s="79">
        <f t="shared" si="0"/>
        <v>7.6667999999999986E-2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75" t="s">
        <v>102</v>
      </c>
      <c r="C25" s="76" t="s">
        <v>53</v>
      </c>
      <c r="D25" s="75" t="s">
        <v>54</v>
      </c>
      <c r="E25" s="77">
        <v>6.38</v>
      </c>
      <c r="F25" s="78">
        <f>SUM(E25/100)</f>
        <v>6.3799999999999996E-2</v>
      </c>
      <c r="G25" s="78">
        <v>683.05</v>
      </c>
      <c r="H25" s="79">
        <f t="shared" si="0"/>
        <v>4.3578589999999993E-2</v>
      </c>
      <c r="I25" s="13">
        <v>0</v>
      </c>
      <c r="J25" s="22"/>
      <c r="K25" s="8"/>
      <c r="L25" s="8"/>
      <c r="M25" s="8"/>
    </row>
    <row r="26" spans="1:13" ht="15.75" hidden="1" customHeight="1">
      <c r="A26" s="29"/>
      <c r="B26" s="75" t="s">
        <v>122</v>
      </c>
      <c r="C26" s="76" t="s">
        <v>53</v>
      </c>
      <c r="D26" s="75" t="s">
        <v>54</v>
      </c>
      <c r="E26" s="77">
        <v>14.25</v>
      </c>
      <c r="F26" s="78">
        <v>0.14000000000000001</v>
      </c>
      <c r="G26" s="78">
        <v>283.44</v>
      </c>
      <c r="H26" s="79">
        <f>G26*F26/1000</f>
        <v>3.9681600000000004E-2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5</v>
      </c>
      <c r="B27" s="75" t="s">
        <v>64</v>
      </c>
      <c r="C27" s="76" t="s">
        <v>33</v>
      </c>
      <c r="D27" s="75" t="s">
        <v>63</v>
      </c>
      <c r="E27" s="82">
        <v>0.1</v>
      </c>
      <c r="F27" s="78">
        <f>SUM(E27*155)</f>
        <v>15.5</v>
      </c>
      <c r="G27" s="78">
        <v>264.85000000000002</v>
      </c>
      <c r="H27" s="79">
        <f>SUM(F27*G27/1000)</f>
        <v>4.105175</v>
      </c>
      <c r="I27" s="13">
        <f>F27/12*G27</f>
        <v>342.09791666666672</v>
      </c>
      <c r="J27" s="23"/>
    </row>
    <row r="28" spans="1:13" ht="15.75" customHeight="1">
      <c r="A28" s="29">
        <v>6</v>
      </c>
      <c r="B28" s="83" t="s">
        <v>23</v>
      </c>
      <c r="C28" s="76" t="s">
        <v>24</v>
      </c>
      <c r="D28" s="83" t="s">
        <v>136</v>
      </c>
      <c r="E28" s="77">
        <v>2626.5</v>
      </c>
      <c r="F28" s="78">
        <f>SUM(E28*12)</f>
        <v>31518</v>
      </c>
      <c r="G28" s="78">
        <v>3.36</v>
      </c>
      <c r="H28" s="79">
        <f>SUM(F28*G28/1000)</f>
        <v>105.90048</v>
      </c>
      <c r="I28" s="13">
        <f t="shared" ref="I28" si="1">F28/12*G28</f>
        <v>8825.0399999999991</v>
      </c>
      <c r="J28" s="23"/>
    </row>
    <row r="29" spans="1:13" ht="15.75" customHeight="1">
      <c r="A29" s="185" t="s">
        <v>84</v>
      </c>
      <c r="B29" s="185"/>
      <c r="C29" s="185"/>
      <c r="D29" s="185"/>
      <c r="E29" s="185"/>
      <c r="F29" s="185"/>
      <c r="G29" s="185"/>
      <c r="H29" s="185"/>
      <c r="I29" s="185"/>
      <c r="J29" s="22"/>
      <c r="K29" s="8"/>
      <c r="L29" s="8"/>
      <c r="M29" s="8"/>
    </row>
    <row r="30" spans="1:13" ht="15.75" hidden="1" customHeight="1">
      <c r="A30" s="29"/>
      <c r="B30" s="106" t="s">
        <v>28</v>
      </c>
      <c r="C30" s="76"/>
      <c r="D30" s="75"/>
      <c r="E30" s="77"/>
      <c r="F30" s="78"/>
      <c r="G30" s="78"/>
      <c r="H30" s="79"/>
      <c r="I30" s="13"/>
      <c r="J30" s="23"/>
    </row>
    <row r="31" spans="1:13" ht="15.75" hidden="1" customHeight="1">
      <c r="A31" s="29"/>
      <c r="B31" s="75" t="s">
        <v>104</v>
      </c>
      <c r="C31" s="76" t="s">
        <v>89</v>
      </c>
      <c r="D31" s="75" t="s">
        <v>149</v>
      </c>
      <c r="E31" s="78">
        <v>665</v>
      </c>
      <c r="F31" s="78">
        <f>SUM(E31*52/1000)</f>
        <v>34.58</v>
      </c>
      <c r="G31" s="78">
        <v>204.44</v>
      </c>
      <c r="H31" s="79">
        <f t="shared" ref="H31:H37" si="2">SUM(F31*G31/1000)</f>
        <v>7.0695351999999989</v>
      </c>
      <c r="I31" s="13">
        <f t="shared" ref="I31:I32" si="3">F31/6*G31</f>
        <v>1178.2558666666666</v>
      </c>
      <c r="J31" s="22"/>
      <c r="K31" s="8"/>
      <c r="L31" s="8"/>
      <c r="M31" s="8"/>
    </row>
    <row r="32" spans="1:13" ht="15.75" hidden="1" customHeight="1">
      <c r="A32" s="29"/>
      <c r="B32" s="75" t="s">
        <v>117</v>
      </c>
      <c r="C32" s="76" t="s">
        <v>89</v>
      </c>
      <c r="D32" s="75" t="s">
        <v>150</v>
      </c>
      <c r="E32" s="78">
        <v>81.5</v>
      </c>
      <c r="F32" s="78">
        <f>SUM(E32*78/1000)</f>
        <v>6.3570000000000002</v>
      </c>
      <c r="G32" s="78">
        <v>339.21</v>
      </c>
      <c r="H32" s="79">
        <f t="shared" si="2"/>
        <v>2.1563579700000002</v>
      </c>
      <c r="I32" s="13">
        <f t="shared" si="3"/>
        <v>359.39299500000004</v>
      </c>
      <c r="J32" s="22"/>
      <c r="K32" s="8"/>
      <c r="L32" s="8"/>
      <c r="M32" s="8"/>
    </row>
    <row r="33" spans="1:14" ht="15.75" hidden="1" customHeight="1">
      <c r="A33" s="29"/>
      <c r="B33" s="75" t="s">
        <v>27</v>
      </c>
      <c r="C33" s="76" t="s">
        <v>89</v>
      </c>
      <c r="D33" s="75" t="s">
        <v>54</v>
      </c>
      <c r="E33" s="78">
        <v>665</v>
      </c>
      <c r="F33" s="78">
        <f>SUM(E33/1000)</f>
        <v>0.66500000000000004</v>
      </c>
      <c r="G33" s="78">
        <v>3961.23</v>
      </c>
      <c r="H33" s="79">
        <f t="shared" si="2"/>
        <v>2.63421795</v>
      </c>
      <c r="I33" s="13">
        <f>F33*G33</f>
        <v>2634.2179500000002</v>
      </c>
      <c r="J33" s="22"/>
      <c r="K33" s="8"/>
      <c r="L33" s="8"/>
      <c r="M33" s="8"/>
    </row>
    <row r="34" spans="1:14" ht="15.75" hidden="1" customHeight="1">
      <c r="A34" s="29"/>
      <c r="B34" s="75" t="s">
        <v>116</v>
      </c>
      <c r="C34" s="76" t="s">
        <v>40</v>
      </c>
      <c r="D34" s="75" t="s">
        <v>63</v>
      </c>
      <c r="E34" s="78">
        <v>3</v>
      </c>
      <c r="F34" s="78">
        <f>E34*155/100</f>
        <v>4.6500000000000004</v>
      </c>
      <c r="G34" s="78">
        <v>1707.63</v>
      </c>
      <c r="H34" s="79">
        <f>G34*F34/1000</f>
        <v>7.9404795000000012</v>
      </c>
      <c r="I34" s="13">
        <f>F34/6*G34</f>
        <v>1323.4132500000001</v>
      </c>
      <c r="J34" s="22"/>
      <c r="K34" s="8"/>
      <c r="L34" s="8"/>
      <c r="M34" s="8"/>
    </row>
    <row r="35" spans="1:14" ht="15.75" hidden="1" customHeight="1">
      <c r="A35" s="29"/>
      <c r="B35" s="75" t="s">
        <v>103</v>
      </c>
      <c r="C35" s="76" t="s">
        <v>31</v>
      </c>
      <c r="D35" s="75" t="s">
        <v>63</v>
      </c>
      <c r="E35" s="81">
        <f>1/3</f>
        <v>0.33333333333333331</v>
      </c>
      <c r="F35" s="78">
        <f>155/3</f>
        <v>51.666666666666664</v>
      </c>
      <c r="G35" s="78">
        <v>74.349999999999994</v>
      </c>
      <c r="H35" s="79">
        <f>SUM(G35*155/3/1000)</f>
        <v>3.8414166666666665</v>
      </c>
      <c r="I35" s="13">
        <f>F35/6*G35</f>
        <v>640.23611111111109</v>
      </c>
      <c r="J35" s="22"/>
      <c r="K35" s="8"/>
    </row>
    <row r="36" spans="1:14" ht="15.75" hidden="1" customHeight="1">
      <c r="A36" s="29"/>
      <c r="B36" s="75" t="s">
        <v>65</v>
      </c>
      <c r="C36" s="76" t="s">
        <v>33</v>
      </c>
      <c r="D36" s="75" t="s">
        <v>67</v>
      </c>
      <c r="E36" s="77"/>
      <c r="F36" s="78">
        <v>1</v>
      </c>
      <c r="G36" s="78">
        <v>250.92</v>
      </c>
      <c r="H36" s="79">
        <f t="shared" si="2"/>
        <v>0.25091999999999998</v>
      </c>
      <c r="I36" s="13">
        <v>0</v>
      </c>
      <c r="J36" s="23"/>
    </row>
    <row r="37" spans="1:14" ht="15.75" hidden="1" customHeight="1">
      <c r="A37" s="29"/>
      <c r="B37" s="75" t="s">
        <v>66</v>
      </c>
      <c r="C37" s="76" t="s">
        <v>32</v>
      </c>
      <c r="D37" s="75" t="s">
        <v>67</v>
      </c>
      <c r="E37" s="77"/>
      <c r="F37" s="78">
        <v>1</v>
      </c>
      <c r="G37" s="78">
        <v>1490.31</v>
      </c>
      <c r="H37" s="79">
        <f t="shared" si="2"/>
        <v>1.49031</v>
      </c>
      <c r="I37" s="13">
        <v>0</v>
      </c>
      <c r="J37" s="23"/>
    </row>
    <row r="38" spans="1:14" ht="15.75" customHeight="1">
      <c r="A38" s="29"/>
      <c r="B38" s="106" t="s">
        <v>5</v>
      </c>
      <c r="C38" s="76"/>
      <c r="D38" s="75"/>
      <c r="E38" s="77"/>
      <c r="F38" s="78"/>
      <c r="G38" s="78"/>
      <c r="H38" s="79" t="s">
        <v>136</v>
      </c>
      <c r="I38" s="13"/>
      <c r="J38" s="23"/>
    </row>
    <row r="39" spans="1:14" ht="15.75" hidden="1" customHeight="1">
      <c r="A39" s="29">
        <v>7</v>
      </c>
      <c r="B39" s="84" t="s">
        <v>26</v>
      </c>
      <c r="C39" s="76" t="s">
        <v>32</v>
      </c>
      <c r="D39" s="75"/>
      <c r="E39" s="77"/>
      <c r="F39" s="78">
        <v>5</v>
      </c>
      <c r="G39" s="78">
        <v>2003</v>
      </c>
      <c r="H39" s="79">
        <f t="shared" ref="H39:H46" si="4">SUM(F39*G39/1000)</f>
        <v>10.015000000000001</v>
      </c>
      <c r="I39" s="13">
        <f t="shared" ref="I39:I43" si="5">F39/6*G39</f>
        <v>1669.1666666666667</v>
      </c>
      <c r="J39" s="23"/>
    </row>
    <row r="40" spans="1:14" ht="15.75" customHeight="1">
      <c r="A40" s="29">
        <v>7</v>
      </c>
      <c r="B40" s="84" t="s">
        <v>105</v>
      </c>
      <c r="C40" s="85" t="s">
        <v>29</v>
      </c>
      <c r="D40" s="75" t="s">
        <v>123</v>
      </c>
      <c r="E40" s="77">
        <v>81.5</v>
      </c>
      <c r="F40" s="86">
        <f>E40*30/1000</f>
        <v>2.4449999999999998</v>
      </c>
      <c r="G40" s="78">
        <v>2757.78</v>
      </c>
      <c r="H40" s="79">
        <f t="shared" si="4"/>
        <v>6.7427720999999998</v>
      </c>
      <c r="I40" s="13">
        <f t="shared" si="5"/>
        <v>1123.7953500000001</v>
      </c>
      <c r="J40" s="23"/>
    </row>
    <row r="41" spans="1:14" ht="15.75" customHeight="1">
      <c r="A41" s="29">
        <v>8</v>
      </c>
      <c r="B41" s="75" t="s">
        <v>68</v>
      </c>
      <c r="C41" s="76" t="s">
        <v>29</v>
      </c>
      <c r="D41" s="75" t="s">
        <v>88</v>
      </c>
      <c r="E41" s="78">
        <v>81.5</v>
      </c>
      <c r="F41" s="86">
        <f>SUM(E41*155/1000)</f>
        <v>12.6325</v>
      </c>
      <c r="G41" s="78">
        <v>460.02</v>
      </c>
      <c r="H41" s="79">
        <f t="shared" si="4"/>
        <v>5.8112026500000002</v>
      </c>
      <c r="I41" s="13">
        <f t="shared" si="5"/>
        <v>968.53377499999999</v>
      </c>
      <c r="J41" s="23"/>
      <c r="L41" s="18"/>
      <c r="M41" s="19"/>
      <c r="N41" s="20"/>
    </row>
    <row r="42" spans="1:14" ht="15.75" hidden="1" customHeight="1">
      <c r="A42" s="29"/>
      <c r="B42" s="75" t="s">
        <v>118</v>
      </c>
      <c r="C42" s="76" t="s">
        <v>119</v>
      </c>
      <c r="D42" s="75" t="s">
        <v>67</v>
      </c>
      <c r="E42" s="77"/>
      <c r="F42" s="86">
        <v>26</v>
      </c>
      <c r="G42" s="78">
        <v>314</v>
      </c>
      <c r="H42" s="79">
        <f t="shared" si="4"/>
        <v>8.1639999999999997</v>
      </c>
      <c r="I42" s="13">
        <v>0</v>
      </c>
      <c r="J42" s="23"/>
      <c r="L42" s="18"/>
      <c r="M42" s="19"/>
      <c r="N42" s="20"/>
    </row>
    <row r="43" spans="1:14" ht="47.25" customHeight="1">
      <c r="A43" s="29">
        <v>9</v>
      </c>
      <c r="B43" s="75" t="s">
        <v>82</v>
      </c>
      <c r="C43" s="76" t="s">
        <v>89</v>
      </c>
      <c r="D43" s="75" t="s">
        <v>124</v>
      </c>
      <c r="E43" s="78">
        <v>81.5</v>
      </c>
      <c r="F43" s="86">
        <f>SUM(E43*35/1000)</f>
        <v>2.8525</v>
      </c>
      <c r="G43" s="78">
        <v>7611.16</v>
      </c>
      <c r="H43" s="79">
        <f t="shared" si="4"/>
        <v>21.710833900000001</v>
      </c>
      <c r="I43" s="13">
        <f t="shared" si="5"/>
        <v>3618.4723166666663</v>
      </c>
      <c r="J43" s="23"/>
      <c r="L43" s="18"/>
      <c r="M43" s="19"/>
      <c r="N43" s="20"/>
    </row>
    <row r="44" spans="1:14" ht="15.75" customHeight="1">
      <c r="A44" s="29">
        <v>10</v>
      </c>
      <c r="B44" s="75" t="s">
        <v>90</v>
      </c>
      <c r="C44" s="76" t="s">
        <v>89</v>
      </c>
      <c r="D44" s="75" t="s">
        <v>69</v>
      </c>
      <c r="E44" s="78">
        <v>81.5</v>
      </c>
      <c r="F44" s="86">
        <f>SUM(E44*45/1000)</f>
        <v>3.6675</v>
      </c>
      <c r="G44" s="78">
        <v>562.25</v>
      </c>
      <c r="H44" s="79">
        <f t="shared" si="4"/>
        <v>2.0620518750000003</v>
      </c>
      <c r="I44" s="13">
        <f>(F44/7.5*1.5)*G44</f>
        <v>412.41037500000004</v>
      </c>
      <c r="J44" s="23"/>
      <c r="L44" s="18"/>
      <c r="M44" s="19"/>
      <c r="N44" s="20"/>
    </row>
    <row r="45" spans="1:14" ht="15.75" customHeight="1">
      <c r="A45" s="29">
        <v>11</v>
      </c>
      <c r="B45" s="84" t="s">
        <v>70</v>
      </c>
      <c r="C45" s="85" t="s">
        <v>33</v>
      </c>
      <c r="D45" s="84"/>
      <c r="E45" s="82"/>
      <c r="F45" s="86">
        <v>0.9</v>
      </c>
      <c r="G45" s="86">
        <v>974.83</v>
      </c>
      <c r="H45" s="79">
        <f t="shared" si="4"/>
        <v>0.8773470000000001</v>
      </c>
      <c r="I45" s="13">
        <f>(F45/7.5*1.5)*G45</f>
        <v>175.46940000000004</v>
      </c>
      <c r="J45" s="23"/>
      <c r="L45" s="18"/>
      <c r="M45" s="19"/>
      <c r="N45" s="20"/>
    </row>
    <row r="46" spans="1:14" ht="18" customHeight="1">
      <c r="A46" s="29">
        <v>12</v>
      </c>
      <c r="B46" s="47" t="s">
        <v>156</v>
      </c>
      <c r="C46" s="48" t="s">
        <v>29</v>
      </c>
      <c r="D46" s="84" t="s">
        <v>157</v>
      </c>
      <c r="E46" s="82">
        <v>2.4</v>
      </c>
      <c r="F46" s="86">
        <f>SUM(E46*12/1000)</f>
        <v>2.8799999999999996E-2</v>
      </c>
      <c r="G46" s="86">
        <v>260.2</v>
      </c>
      <c r="H46" s="79">
        <f t="shared" si="4"/>
        <v>7.4937599999999986E-3</v>
      </c>
      <c r="I46" s="13">
        <f>F46/6*G46</f>
        <v>1.2489599999999998</v>
      </c>
      <c r="J46" s="23"/>
      <c r="L46" s="18"/>
      <c r="M46" s="19"/>
      <c r="N46" s="20"/>
    </row>
    <row r="47" spans="1:14" ht="17.25" customHeight="1">
      <c r="A47" s="186" t="s">
        <v>129</v>
      </c>
      <c r="B47" s="187"/>
      <c r="C47" s="187"/>
      <c r="D47" s="187"/>
      <c r="E47" s="187"/>
      <c r="F47" s="187"/>
      <c r="G47" s="187"/>
      <c r="H47" s="187"/>
      <c r="I47" s="188"/>
      <c r="J47" s="23"/>
      <c r="L47" s="18"/>
      <c r="M47" s="19"/>
      <c r="N47" s="20"/>
    </row>
    <row r="48" spans="1:14" ht="15.75" hidden="1" customHeight="1">
      <c r="A48" s="29"/>
      <c r="B48" s="75" t="s">
        <v>125</v>
      </c>
      <c r="C48" s="76" t="s">
        <v>89</v>
      </c>
      <c r="D48" s="75" t="s">
        <v>42</v>
      </c>
      <c r="E48" s="77">
        <v>1080</v>
      </c>
      <c r="F48" s="78">
        <f>SUM(E48*2/1000)</f>
        <v>2.16</v>
      </c>
      <c r="G48" s="33">
        <v>1172.4100000000001</v>
      </c>
      <c r="H48" s="79">
        <f t="shared" ref="H48:H56" si="6">SUM(F48*G48/1000)</f>
        <v>2.5324056000000006</v>
      </c>
      <c r="I48" s="13">
        <f t="shared" ref="I48:I51" si="7">F48/2*G48</f>
        <v>1266.2028000000003</v>
      </c>
      <c r="J48" s="23"/>
      <c r="L48" s="18"/>
      <c r="M48" s="19"/>
      <c r="N48" s="20"/>
    </row>
    <row r="49" spans="1:22" ht="19.5" hidden="1" customHeight="1">
      <c r="A49" s="29"/>
      <c r="B49" s="75" t="s">
        <v>35</v>
      </c>
      <c r="C49" s="76" t="s">
        <v>89</v>
      </c>
      <c r="D49" s="75" t="s">
        <v>42</v>
      </c>
      <c r="E49" s="77">
        <v>39</v>
      </c>
      <c r="F49" s="78">
        <f>SUM(E49*2/1000)</f>
        <v>7.8E-2</v>
      </c>
      <c r="G49" s="33">
        <v>4419.05</v>
      </c>
      <c r="H49" s="79">
        <f t="shared" si="6"/>
        <v>0.34468589999999999</v>
      </c>
      <c r="I49" s="13">
        <f t="shared" si="7"/>
        <v>172.34295</v>
      </c>
      <c r="J49" s="23"/>
      <c r="L49" s="18"/>
      <c r="M49" s="19"/>
      <c r="N49" s="20"/>
    </row>
    <row r="50" spans="1:22" ht="17.25" hidden="1" customHeight="1">
      <c r="A50" s="29"/>
      <c r="B50" s="75" t="s">
        <v>36</v>
      </c>
      <c r="C50" s="76" t="s">
        <v>89</v>
      </c>
      <c r="D50" s="75" t="s">
        <v>42</v>
      </c>
      <c r="E50" s="77">
        <v>1037</v>
      </c>
      <c r="F50" s="78">
        <f>SUM(E50*2/1000)</f>
        <v>2.0739999999999998</v>
      </c>
      <c r="G50" s="33">
        <v>1803.69</v>
      </c>
      <c r="H50" s="79">
        <f t="shared" si="6"/>
        <v>3.7408530600000001</v>
      </c>
      <c r="I50" s="13">
        <f t="shared" si="7"/>
        <v>1870.42653</v>
      </c>
      <c r="J50" s="23"/>
      <c r="L50" s="18"/>
      <c r="M50" s="19"/>
      <c r="N50" s="20"/>
    </row>
    <row r="51" spans="1:22" ht="18" hidden="1" customHeight="1">
      <c r="A51" s="29"/>
      <c r="B51" s="75" t="s">
        <v>37</v>
      </c>
      <c r="C51" s="76" t="s">
        <v>89</v>
      </c>
      <c r="D51" s="75" t="s">
        <v>42</v>
      </c>
      <c r="E51" s="77">
        <v>2274</v>
      </c>
      <c r="F51" s="78">
        <f>SUM(E51*2/1000)</f>
        <v>4.548</v>
      </c>
      <c r="G51" s="33">
        <v>1243.43</v>
      </c>
      <c r="H51" s="79">
        <f t="shared" si="6"/>
        <v>5.6551196399999997</v>
      </c>
      <c r="I51" s="13">
        <f t="shared" si="7"/>
        <v>2827.5598199999999</v>
      </c>
      <c r="J51" s="23"/>
      <c r="L51" s="18"/>
      <c r="M51" s="19"/>
      <c r="N51" s="20"/>
    </row>
    <row r="52" spans="1:22" ht="18.75" hidden="1" customHeight="1">
      <c r="A52" s="29"/>
      <c r="B52" s="75" t="s">
        <v>34</v>
      </c>
      <c r="C52" s="76" t="s">
        <v>53</v>
      </c>
      <c r="D52" s="75" t="s">
        <v>42</v>
      </c>
      <c r="E52" s="77">
        <v>83.04</v>
      </c>
      <c r="F52" s="78">
        <v>1.66</v>
      </c>
      <c r="G52" s="33">
        <v>1352.76</v>
      </c>
      <c r="H52" s="79">
        <f>SUM(F52*G52/1000)</f>
        <v>2.2455816</v>
      </c>
      <c r="I52" s="13">
        <f>F52/2*G52</f>
        <v>1122.7908</v>
      </c>
      <c r="J52" s="23"/>
      <c r="L52" s="18"/>
      <c r="M52" s="19"/>
      <c r="N52" s="20"/>
    </row>
    <row r="53" spans="1:22" ht="18" customHeight="1">
      <c r="A53" s="29">
        <v>13</v>
      </c>
      <c r="B53" s="75" t="s">
        <v>250</v>
      </c>
      <c r="C53" s="76" t="s">
        <v>89</v>
      </c>
      <c r="D53" s="75" t="s">
        <v>206</v>
      </c>
      <c r="E53" s="77">
        <v>2626.5</v>
      </c>
      <c r="F53" s="78">
        <f>SUM(E53*5/1000)</f>
        <v>13.1325</v>
      </c>
      <c r="G53" s="33">
        <v>1803.69</v>
      </c>
      <c r="H53" s="79">
        <f t="shared" ref="H53:H55" si="8">SUM(F53*G53/1000)</f>
        <v>23.686958925000003</v>
      </c>
      <c r="I53" s="13">
        <f>F53/5*G53</f>
        <v>4737.3917849999998</v>
      </c>
      <c r="J53" s="23"/>
      <c r="L53" s="18"/>
      <c r="M53" s="19"/>
      <c r="N53" s="20"/>
    </row>
    <row r="54" spans="1:22" ht="18" hidden="1" customHeight="1">
      <c r="A54" s="29"/>
      <c r="B54" s="75" t="s">
        <v>91</v>
      </c>
      <c r="C54" s="76" t="s">
        <v>89</v>
      </c>
      <c r="D54" s="75" t="s">
        <v>42</v>
      </c>
      <c r="E54" s="77">
        <v>2626.5</v>
      </c>
      <c r="F54" s="78">
        <f>SUM(E54*2/1000)</f>
        <v>5.2530000000000001</v>
      </c>
      <c r="G54" s="33">
        <v>1591.6</v>
      </c>
      <c r="H54" s="79">
        <f t="shared" si="8"/>
        <v>8.3606747999999982</v>
      </c>
      <c r="I54" s="13">
        <f>F54/2*G54</f>
        <v>4180.3373999999994</v>
      </c>
      <c r="J54" s="23"/>
      <c r="L54" s="18"/>
      <c r="M54" s="19"/>
      <c r="N54" s="20"/>
    </row>
    <row r="55" spans="1:22" ht="18.75" hidden="1" customHeight="1">
      <c r="A55" s="29"/>
      <c r="B55" s="75" t="s">
        <v>92</v>
      </c>
      <c r="C55" s="76" t="s">
        <v>38</v>
      </c>
      <c r="D55" s="75" t="s">
        <v>42</v>
      </c>
      <c r="E55" s="77">
        <v>15</v>
      </c>
      <c r="F55" s="78">
        <f>SUM(E55*2/100)</f>
        <v>0.3</v>
      </c>
      <c r="G55" s="33">
        <v>4058.32</v>
      </c>
      <c r="H55" s="79">
        <f t="shared" si="8"/>
        <v>1.2174960000000001</v>
      </c>
      <c r="I55" s="13">
        <f t="shared" ref="I55:I56" si="9">F55/2*G55</f>
        <v>608.74800000000005</v>
      </c>
      <c r="J55" s="23"/>
      <c r="L55" s="18"/>
      <c r="M55" s="19"/>
      <c r="N55" s="20"/>
    </row>
    <row r="56" spans="1:22" ht="19.5" hidden="1" customHeight="1">
      <c r="A56" s="29"/>
      <c r="B56" s="75" t="s">
        <v>39</v>
      </c>
      <c r="C56" s="76" t="s">
        <v>40</v>
      </c>
      <c r="D56" s="75" t="s">
        <v>42</v>
      </c>
      <c r="E56" s="77">
        <v>1</v>
      </c>
      <c r="F56" s="78">
        <v>0.02</v>
      </c>
      <c r="G56" s="33">
        <v>7412.92</v>
      </c>
      <c r="H56" s="79">
        <f t="shared" si="6"/>
        <v>0.14825839999999998</v>
      </c>
      <c r="I56" s="13">
        <f t="shared" si="9"/>
        <v>74.129199999999997</v>
      </c>
      <c r="J56" s="23"/>
      <c r="L56" s="18"/>
      <c r="M56" s="19"/>
      <c r="N56" s="20"/>
    </row>
    <row r="57" spans="1:22" ht="17.25" hidden="1" customHeight="1">
      <c r="A57" s="29">
        <v>15</v>
      </c>
      <c r="B57" s="75" t="s">
        <v>41</v>
      </c>
      <c r="C57" s="76" t="s">
        <v>106</v>
      </c>
      <c r="D57" s="75" t="s">
        <v>71</v>
      </c>
      <c r="E57" s="77">
        <v>90</v>
      </c>
      <c r="F57" s="78">
        <f>SUM(E57)*3</f>
        <v>270</v>
      </c>
      <c r="G57" s="74">
        <v>86.15</v>
      </c>
      <c r="H57" s="79">
        <f>SUM(F57*G57/1000)</f>
        <v>23.2605</v>
      </c>
      <c r="I57" s="13">
        <f>F57/3*G57</f>
        <v>7753.5000000000009</v>
      </c>
      <c r="J57" s="23"/>
      <c r="L57" s="18"/>
      <c r="M57" s="19"/>
      <c r="N57" s="20"/>
    </row>
    <row r="58" spans="1:22" ht="15.75" customHeight="1">
      <c r="A58" s="186" t="s">
        <v>130</v>
      </c>
      <c r="B58" s="187"/>
      <c r="C58" s="187"/>
      <c r="D58" s="187"/>
      <c r="E58" s="187"/>
      <c r="F58" s="187"/>
      <c r="G58" s="187"/>
      <c r="H58" s="187"/>
      <c r="I58" s="188"/>
      <c r="J58" s="23"/>
      <c r="L58" s="18"/>
    </row>
    <row r="59" spans="1:22" ht="15.75" customHeight="1">
      <c r="A59" s="29"/>
      <c r="B59" s="106" t="s">
        <v>43</v>
      </c>
      <c r="C59" s="76"/>
      <c r="D59" s="75"/>
      <c r="E59" s="77"/>
      <c r="F59" s="78"/>
      <c r="G59" s="78"/>
      <c r="H59" s="79"/>
      <c r="I59" s="13"/>
    </row>
    <row r="60" spans="1:22" ht="31.5" customHeight="1">
      <c r="A60" s="29">
        <v>14</v>
      </c>
      <c r="B60" s="75" t="s">
        <v>193</v>
      </c>
      <c r="C60" s="76" t="s">
        <v>87</v>
      </c>
      <c r="D60" s="75" t="s">
        <v>221</v>
      </c>
      <c r="E60" s="77">
        <v>111</v>
      </c>
      <c r="F60" s="78">
        <f>SUM(E60*6/100)</f>
        <v>6.66</v>
      </c>
      <c r="G60" s="33">
        <v>2029.3</v>
      </c>
      <c r="H60" s="79">
        <f>SUM(F60*G60/1000)</f>
        <v>13.515138</v>
      </c>
      <c r="I60" s="13">
        <f>G60*1.3</f>
        <v>2638.09</v>
      </c>
    </row>
    <row r="61" spans="1:22" ht="15.75" customHeight="1">
      <c r="A61" s="29">
        <v>15</v>
      </c>
      <c r="B61" s="75" t="s">
        <v>219</v>
      </c>
      <c r="C61" s="76" t="s">
        <v>159</v>
      </c>
      <c r="D61" s="75" t="s">
        <v>220</v>
      </c>
      <c r="E61" s="77"/>
      <c r="F61" s="78">
        <v>3</v>
      </c>
      <c r="G61" s="33">
        <v>1582.05</v>
      </c>
      <c r="H61" s="79">
        <f>SUM(F61*G61/1000)</f>
        <v>4.7461499999999992</v>
      </c>
      <c r="I61" s="13">
        <f>G61*3</f>
        <v>4746.1499999999996</v>
      </c>
    </row>
    <row r="62" spans="1:22" ht="15.75" customHeight="1">
      <c r="A62" s="29"/>
      <c r="B62" s="107" t="s">
        <v>44</v>
      </c>
      <c r="C62" s="87"/>
      <c r="D62" s="88"/>
      <c r="E62" s="89"/>
      <c r="F62" s="90"/>
      <c r="G62" s="33"/>
      <c r="H62" s="91"/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29"/>
      <c r="B63" s="88" t="s">
        <v>45</v>
      </c>
      <c r="C63" s="87" t="s">
        <v>53</v>
      </c>
      <c r="D63" s="88" t="s">
        <v>54</v>
      </c>
      <c r="E63" s="89">
        <v>130</v>
      </c>
      <c r="F63" s="90">
        <f>E63/100</f>
        <v>1.3</v>
      </c>
      <c r="G63" s="33">
        <v>1040.8399999999999</v>
      </c>
      <c r="H63" s="91">
        <f>F63*G63/1000</f>
        <v>1.353092</v>
      </c>
      <c r="I63" s="13">
        <v>0</v>
      </c>
      <c r="J63" s="25"/>
      <c r="K63" s="25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29">
        <v>16</v>
      </c>
      <c r="B64" s="88" t="s">
        <v>120</v>
      </c>
      <c r="C64" s="87" t="s">
        <v>25</v>
      </c>
      <c r="D64" s="88" t="s">
        <v>205</v>
      </c>
      <c r="E64" s="89">
        <v>130</v>
      </c>
      <c r="F64" s="92">
        <f>E64*12</f>
        <v>1560</v>
      </c>
      <c r="G64" s="93">
        <v>1.2</v>
      </c>
      <c r="H64" s="90">
        <f>F64*G64/1000</f>
        <v>1.8720000000000001</v>
      </c>
      <c r="I64" s="13">
        <f t="shared" ref="I64" si="10">F64/12*G64</f>
        <v>156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29"/>
      <c r="B65" s="108" t="s">
        <v>46</v>
      </c>
      <c r="C65" s="87"/>
      <c r="D65" s="88"/>
      <c r="E65" s="89"/>
      <c r="F65" s="92"/>
      <c r="G65" s="92"/>
      <c r="H65" s="90" t="s">
        <v>136</v>
      </c>
      <c r="I65" s="13"/>
      <c r="J65" s="5"/>
      <c r="K65" s="5"/>
      <c r="L65" s="5"/>
      <c r="M65" s="5"/>
      <c r="N65" s="5"/>
      <c r="O65" s="5"/>
      <c r="P65" s="5"/>
      <c r="Q65" s="5"/>
      <c r="R65" s="162"/>
      <c r="S65" s="162"/>
      <c r="T65" s="162"/>
      <c r="U65" s="162"/>
    </row>
    <row r="66" spans="1:21" ht="15.75" hidden="1" customHeight="1">
      <c r="A66" s="29"/>
      <c r="B66" s="94" t="s">
        <v>47</v>
      </c>
      <c r="C66" s="95" t="s">
        <v>106</v>
      </c>
      <c r="D66" s="75" t="s">
        <v>67</v>
      </c>
      <c r="E66" s="16">
        <v>9</v>
      </c>
      <c r="F66" s="74">
        <f>SUM(E66)</f>
        <v>9</v>
      </c>
      <c r="G66" s="33">
        <v>291.68</v>
      </c>
      <c r="H66" s="68">
        <f t="shared" ref="H66:H84" si="11">SUM(F66*G66/1000)</f>
        <v>2.6251199999999999</v>
      </c>
      <c r="I66" s="13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29"/>
      <c r="B67" s="94" t="s">
        <v>48</v>
      </c>
      <c r="C67" s="95" t="s">
        <v>106</v>
      </c>
      <c r="D67" s="75" t="s">
        <v>67</v>
      </c>
      <c r="E67" s="16">
        <v>4</v>
      </c>
      <c r="F67" s="74">
        <f>SUM(E67)</f>
        <v>4</v>
      </c>
      <c r="G67" s="33">
        <v>100.01</v>
      </c>
      <c r="H67" s="68">
        <f t="shared" si="11"/>
        <v>0.40004000000000001</v>
      </c>
      <c r="I67" s="13">
        <v>0</v>
      </c>
    </row>
    <row r="68" spans="1:21" ht="15.75" hidden="1" customHeight="1">
      <c r="A68" s="29"/>
      <c r="B68" s="94" t="s">
        <v>49</v>
      </c>
      <c r="C68" s="96" t="s">
        <v>108</v>
      </c>
      <c r="D68" s="35" t="s">
        <v>54</v>
      </c>
      <c r="E68" s="77">
        <v>13287</v>
      </c>
      <c r="F68" s="74">
        <f>SUM(E68/100)</f>
        <v>132.87</v>
      </c>
      <c r="G68" s="33">
        <v>278.24</v>
      </c>
      <c r="H68" s="68">
        <f t="shared" si="11"/>
        <v>36.969748799999998</v>
      </c>
      <c r="I68" s="13">
        <v>0</v>
      </c>
    </row>
    <row r="69" spans="1:21" ht="15.75" hidden="1" customHeight="1">
      <c r="A69" s="29"/>
      <c r="B69" s="94" t="s">
        <v>50</v>
      </c>
      <c r="C69" s="95" t="s">
        <v>109</v>
      </c>
      <c r="D69" s="35" t="s">
        <v>54</v>
      </c>
      <c r="E69" s="77">
        <v>13287</v>
      </c>
      <c r="F69" s="33">
        <f>SUM(E69/1000)</f>
        <v>13.287000000000001</v>
      </c>
      <c r="G69" s="33">
        <v>216.68</v>
      </c>
      <c r="H69" s="68">
        <f t="shared" si="11"/>
        <v>2.8790271600000001</v>
      </c>
      <c r="I69" s="13">
        <v>0</v>
      </c>
    </row>
    <row r="70" spans="1:21" ht="15.75" hidden="1" customHeight="1">
      <c r="A70" s="29"/>
      <c r="B70" s="94" t="s">
        <v>51</v>
      </c>
      <c r="C70" s="95" t="s">
        <v>76</v>
      </c>
      <c r="D70" s="35" t="s">
        <v>54</v>
      </c>
      <c r="E70" s="77">
        <v>2110</v>
      </c>
      <c r="F70" s="33">
        <f>SUM(E70/100)</f>
        <v>21.1</v>
      </c>
      <c r="G70" s="33">
        <v>2720.94</v>
      </c>
      <c r="H70" s="68">
        <f>SUM(F70*G70/1000)</f>
        <v>57.411834000000006</v>
      </c>
      <c r="I70" s="13">
        <v>0</v>
      </c>
    </row>
    <row r="71" spans="1:21" ht="15.75" hidden="1" customHeight="1">
      <c r="A71" s="29"/>
      <c r="B71" s="97" t="s">
        <v>110</v>
      </c>
      <c r="C71" s="95" t="s">
        <v>33</v>
      </c>
      <c r="D71" s="35"/>
      <c r="E71" s="77">
        <v>8.6</v>
      </c>
      <c r="F71" s="33">
        <f>SUM(E71)</f>
        <v>8.6</v>
      </c>
      <c r="G71" s="33">
        <v>42.61</v>
      </c>
      <c r="H71" s="68">
        <f t="shared" si="11"/>
        <v>0.36644599999999999</v>
      </c>
      <c r="I71" s="13">
        <v>0</v>
      </c>
    </row>
    <row r="72" spans="1:21" ht="15.75" hidden="1" customHeight="1">
      <c r="A72" s="29"/>
      <c r="B72" s="97" t="s">
        <v>111</v>
      </c>
      <c r="C72" s="95" t="s">
        <v>33</v>
      </c>
      <c r="D72" s="35"/>
      <c r="E72" s="77">
        <v>8.6</v>
      </c>
      <c r="F72" s="33">
        <f>SUM(E72)</f>
        <v>8.6</v>
      </c>
      <c r="G72" s="33">
        <v>46.04</v>
      </c>
      <c r="H72" s="68">
        <f t="shared" si="11"/>
        <v>0.39594399999999996</v>
      </c>
      <c r="I72" s="13">
        <v>0</v>
      </c>
    </row>
    <row r="73" spans="1:21" ht="15.75" hidden="1" customHeight="1">
      <c r="A73" s="29"/>
      <c r="B73" s="35" t="s">
        <v>57</v>
      </c>
      <c r="C73" s="95" t="s">
        <v>58</v>
      </c>
      <c r="D73" s="35" t="s">
        <v>54</v>
      </c>
      <c r="E73" s="16">
        <v>3</v>
      </c>
      <c r="F73" s="33">
        <f>SUM(E73)</f>
        <v>3</v>
      </c>
      <c r="G73" s="33">
        <v>65.42</v>
      </c>
      <c r="H73" s="68">
        <f t="shared" si="11"/>
        <v>0.19625999999999999</v>
      </c>
      <c r="I73" s="13">
        <v>0</v>
      </c>
    </row>
    <row r="74" spans="1:21" ht="15.75" customHeight="1">
      <c r="A74" s="29"/>
      <c r="B74" s="109" t="s">
        <v>72</v>
      </c>
      <c r="C74" s="95"/>
      <c r="D74" s="35"/>
      <c r="E74" s="16"/>
      <c r="F74" s="33"/>
      <c r="G74" s="33"/>
      <c r="H74" s="68" t="s">
        <v>136</v>
      </c>
      <c r="I74" s="13"/>
    </row>
    <row r="75" spans="1:21" ht="31.5" hidden="1" customHeight="1">
      <c r="A75" s="29"/>
      <c r="B75" s="35" t="s">
        <v>160</v>
      </c>
      <c r="C75" s="95" t="s">
        <v>106</v>
      </c>
      <c r="D75" s="75" t="s">
        <v>67</v>
      </c>
      <c r="E75" s="16">
        <v>1</v>
      </c>
      <c r="F75" s="33">
        <v>1</v>
      </c>
      <c r="G75" s="33">
        <v>1543.4</v>
      </c>
      <c r="H75" s="68">
        <f t="shared" ref="H75:H77" si="12">SUM(F75*G75/1000)</f>
        <v>1.5434000000000001</v>
      </c>
      <c r="I75" s="13">
        <v>0</v>
      </c>
    </row>
    <row r="76" spans="1:21" ht="15.75" hidden="1" customHeight="1">
      <c r="A76" s="29">
        <v>17</v>
      </c>
      <c r="B76" s="35" t="s">
        <v>73</v>
      </c>
      <c r="C76" s="95" t="s">
        <v>74</v>
      </c>
      <c r="D76" s="75" t="s">
        <v>67</v>
      </c>
      <c r="E76" s="16">
        <v>3</v>
      </c>
      <c r="F76" s="33">
        <f>E76/10</f>
        <v>0.3</v>
      </c>
      <c r="G76" s="33">
        <v>657.87</v>
      </c>
      <c r="H76" s="68">
        <f t="shared" si="12"/>
        <v>0.19736099999999998</v>
      </c>
      <c r="I76" s="13">
        <f>G76*0.9</f>
        <v>592.08299999999997</v>
      </c>
    </row>
    <row r="77" spans="1:21" ht="15.75" hidden="1" customHeight="1">
      <c r="A77" s="29"/>
      <c r="B77" s="35" t="s">
        <v>161</v>
      </c>
      <c r="C77" s="95" t="s">
        <v>106</v>
      </c>
      <c r="D77" s="75" t="s">
        <v>67</v>
      </c>
      <c r="E77" s="16">
        <v>2</v>
      </c>
      <c r="F77" s="78">
        <f>SUM(E77)</f>
        <v>2</v>
      </c>
      <c r="G77" s="33">
        <v>1118.72</v>
      </c>
      <c r="H77" s="68">
        <f t="shared" si="12"/>
        <v>2.2374399999999999</v>
      </c>
      <c r="I77" s="13">
        <v>0</v>
      </c>
    </row>
    <row r="78" spans="1:21" ht="15.75" hidden="1" customHeight="1">
      <c r="A78" s="29"/>
      <c r="B78" s="47" t="s">
        <v>162</v>
      </c>
      <c r="C78" s="48" t="s">
        <v>106</v>
      </c>
      <c r="D78" s="75" t="s">
        <v>67</v>
      </c>
      <c r="E78" s="16">
        <v>1</v>
      </c>
      <c r="F78" s="93">
        <v>1</v>
      </c>
      <c r="G78" s="33">
        <v>1605.83</v>
      </c>
      <c r="H78" s="68">
        <f>SUM(F78*G78/1000)</f>
        <v>1.6058299999999999</v>
      </c>
      <c r="I78" s="13">
        <v>0</v>
      </c>
    </row>
    <row r="79" spans="1:21" ht="15.75" customHeight="1">
      <c r="A79" s="29">
        <v>17</v>
      </c>
      <c r="B79" s="47" t="s">
        <v>163</v>
      </c>
      <c r="C79" s="48" t="s">
        <v>106</v>
      </c>
      <c r="D79" s="35" t="s">
        <v>205</v>
      </c>
      <c r="E79" s="98">
        <v>2</v>
      </c>
      <c r="F79" s="92">
        <f>E79*12</f>
        <v>24</v>
      </c>
      <c r="G79" s="99">
        <v>53.42</v>
      </c>
      <c r="H79" s="68">
        <f t="shared" ref="H79:H80" si="13">SUM(F79*G79/1000)</f>
        <v>1.2820799999999999</v>
      </c>
      <c r="I79" s="13">
        <f t="shared" ref="I79:I82" si="14">F79/12*G79</f>
        <v>106.84</v>
      </c>
    </row>
    <row r="80" spans="1:21" ht="15.75" hidden="1" customHeight="1">
      <c r="A80" s="29">
        <v>18</v>
      </c>
      <c r="B80" s="57" t="s">
        <v>164</v>
      </c>
      <c r="C80" s="95"/>
      <c r="D80" s="35" t="s">
        <v>30</v>
      </c>
      <c r="E80" s="16">
        <v>1</v>
      </c>
      <c r="F80" s="33">
        <v>12</v>
      </c>
      <c r="G80" s="33">
        <v>1194</v>
      </c>
      <c r="H80" s="68">
        <f t="shared" si="13"/>
        <v>14.327999999999999</v>
      </c>
      <c r="I80" s="13">
        <f t="shared" si="14"/>
        <v>1194</v>
      </c>
    </row>
    <row r="81" spans="1:9" ht="15.75" customHeight="1">
      <c r="A81" s="29"/>
      <c r="B81" s="110" t="s">
        <v>165</v>
      </c>
      <c r="C81" s="48"/>
      <c r="D81" s="35"/>
      <c r="E81" s="16"/>
      <c r="F81" s="33"/>
      <c r="G81" s="33"/>
      <c r="H81" s="68"/>
      <c r="I81" s="13"/>
    </row>
    <row r="82" spans="1:9" ht="15.75" customHeight="1">
      <c r="A82" s="29">
        <v>18</v>
      </c>
      <c r="B82" s="35" t="s">
        <v>166</v>
      </c>
      <c r="C82" s="100" t="s">
        <v>167</v>
      </c>
      <c r="D82" s="75" t="s">
        <v>206</v>
      </c>
      <c r="E82" s="16">
        <v>2626.5</v>
      </c>
      <c r="F82" s="33">
        <f>SUM(E82*12)</f>
        <v>31518</v>
      </c>
      <c r="G82" s="33">
        <v>2.2799999999999998</v>
      </c>
      <c r="H82" s="68">
        <f t="shared" ref="H82" si="15">SUM(F82*G82/1000)</f>
        <v>71.861039999999988</v>
      </c>
      <c r="I82" s="13">
        <f t="shared" si="14"/>
        <v>5988.4199999999992</v>
      </c>
    </row>
    <row r="83" spans="1:9" ht="15.75" hidden="1" customHeight="1">
      <c r="A83" s="29"/>
      <c r="B83" s="111" t="s">
        <v>75</v>
      </c>
      <c r="C83" s="95"/>
      <c r="D83" s="35"/>
      <c r="E83" s="16"/>
      <c r="F83" s="33"/>
      <c r="G83" s="33" t="s">
        <v>136</v>
      </c>
      <c r="H83" s="68" t="s">
        <v>136</v>
      </c>
      <c r="I83" s="13"/>
    </row>
    <row r="84" spans="1:9" ht="15.75" hidden="1" customHeight="1">
      <c r="A84" s="29"/>
      <c r="B84" s="101" t="s">
        <v>126</v>
      </c>
      <c r="C84" s="96" t="s">
        <v>76</v>
      </c>
      <c r="D84" s="94"/>
      <c r="E84" s="102"/>
      <c r="F84" s="74">
        <v>0.5</v>
      </c>
      <c r="G84" s="74">
        <v>3619.09</v>
      </c>
      <c r="H84" s="68">
        <f t="shared" si="11"/>
        <v>1.8095450000000002</v>
      </c>
      <c r="I84" s="13"/>
    </row>
    <row r="85" spans="1:9" ht="15.75" hidden="1" customHeight="1">
      <c r="A85" s="29"/>
      <c r="B85" s="62" t="s">
        <v>93</v>
      </c>
      <c r="C85" s="13"/>
      <c r="D85" s="13"/>
      <c r="E85" s="13"/>
      <c r="F85" s="13"/>
      <c r="G85" s="13"/>
      <c r="H85" s="13"/>
      <c r="I85" s="13"/>
    </row>
    <row r="86" spans="1:9" ht="15.75" hidden="1" customHeight="1">
      <c r="A86" s="29"/>
      <c r="B86" s="75" t="s">
        <v>112</v>
      </c>
      <c r="C86" s="103"/>
      <c r="D86" s="104"/>
      <c r="E86" s="105"/>
      <c r="F86" s="34">
        <v>1</v>
      </c>
      <c r="G86" s="34">
        <v>8275.7000000000007</v>
      </c>
      <c r="H86" s="68">
        <f>G86*F86/1000</f>
        <v>8.2757000000000005</v>
      </c>
      <c r="I86" s="13"/>
    </row>
    <row r="87" spans="1:9" ht="15" customHeight="1">
      <c r="A87" s="174" t="s">
        <v>131</v>
      </c>
      <c r="B87" s="175"/>
      <c r="C87" s="175"/>
      <c r="D87" s="175"/>
      <c r="E87" s="175"/>
      <c r="F87" s="175"/>
      <c r="G87" s="175"/>
      <c r="H87" s="175"/>
      <c r="I87" s="176"/>
    </row>
    <row r="88" spans="1:9" ht="15.75" customHeight="1">
      <c r="A88" s="29">
        <v>19</v>
      </c>
      <c r="B88" s="75" t="s">
        <v>113</v>
      </c>
      <c r="C88" s="95" t="s">
        <v>55</v>
      </c>
      <c r="D88" s="61" t="s">
        <v>142</v>
      </c>
      <c r="E88" s="33">
        <v>2626.5</v>
      </c>
      <c r="F88" s="33">
        <f>SUM(E88*12)</f>
        <v>31518</v>
      </c>
      <c r="G88" s="33">
        <v>3.1</v>
      </c>
      <c r="H88" s="68">
        <f>SUM(F88*G88/1000)</f>
        <v>97.705799999999996</v>
      </c>
      <c r="I88" s="13">
        <f t="shared" ref="I88:I89" si="16">F88/12*G88</f>
        <v>8142.1500000000005</v>
      </c>
    </row>
    <row r="89" spans="1:9" ht="31.5" customHeight="1">
      <c r="A89" s="29">
        <v>20</v>
      </c>
      <c r="B89" s="35" t="s">
        <v>77</v>
      </c>
      <c r="C89" s="95"/>
      <c r="D89" s="61" t="s">
        <v>142</v>
      </c>
      <c r="E89" s="77">
        <f>E88</f>
        <v>2626.5</v>
      </c>
      <c r="F89" s="33">
        <f>E89*12</f>
        <v>31518</v>
      </c>
      <c r="G89" s="33">
        <v>3.5</v>
      </c>
      <c r="H89" s="68">
        <f>F89*G89/1000</f>
        <v>110.313</v>
      </c>
      <c r="I89" s="13">
        <f t="shared" si="16"/>
        <v>9192.75</v>
      </c>
    </row>
    <row r="90" spans="1:9" ht="15.75" customHeight="1">
      <c r="A90" s="29"/>
      <c r="B90" s="36" t="s">
        <v>80</v>
      </c>
      <c r="C90" s="59"/>
      <c r="D90" s="58"/>
      <c r="E90" s="55"/>
      <c r="F90" s="55"/>
      <c r="G90" s="55"/>
      <c r="H90" s="60">
        <f>H80</f>
        <v>14.327999999999999</v>
      </c>
      <c r="I90" s="55">
        <f>I89+I88+I82+I79+I64+I61+I60+I53+I46+I45+I44+I43+I41+I40+I28+I27+I20+I18+I17+I16</f>
        <v>63915.807538333334</v>
      </c>
    </row>
    <row r="91" spans="1:9" ht="15.75" customHeight="1">
      <c r="A91" s="163" t="s">
        <v>60</v>
      </c>
      <c r="B91" s="164"/>
      <c r="C91" s="164"/>
      <c r="D91" s="164"/>
      <c r="E91" s="164"/>
      <c r="F91" s="164"/>
      <c r="G91" s="164"/>
      <c r="H91" s="164"/>
      <c r="I91" s="165"/>
    </row>
    <row r="92" spans="1:9" ht="15.75" customHeight="1">
      <c r="A92" s="29" t="s">
        <v>214</v>
      </c>
      <c r="B92" s="46" t="s">
        <v>121</v>
      </c>
      <c r="C92" s="49" t="s">
        <v>106</v>
      </c>
      <c r="D92" s="14"/>
      <c r="E92" s="17"/>
      <c r="F92" s="13">
        <v>135</v>
      </c>
      <c r="G92" s="13">
        <v>55.55</v>
      </c>
      <c r="H92" s="56">
        <f t="shared" ref="H92:H94" si="17">G92*F92/1000</f>
        <v>7.49925</v>
      </c>
      <c r="I92" s="13">
        <f>G92*45</f>
        <v>2499.75</v>
      </c>
    </row>
    <row r="93" spans="1:9" ht="15.75" customHeight="1">
      <c r="A93" s="29">
        <v>22</v>
      </c>
      <c r="B93" s="46" t="s">
        <v>176</v>
      </c>
      <c r="C93" s="49" t="s">
        <v>177</v>
      </c>
      <c r="D93" s="35"/>
      <c r="E93" s="16"/>
      <c r="F93" s="33">
        <v>1</v>
      </c>
      <c r="G93" s="33">
        <v>129209.35</v>
      </c>
      <c r="H93" s="68">
        <f t="shared" si="17"/>
        <v>129.20935</v>
      </c>
      <c r="I93" s="13">
        <f>G93</f>
        <v>129209.35</v>
      </c>
    </row>
    <row r="94" spans="1:9" ht="31.5" customHeight="1">
      <c r="A94" s="29">
        <v>23</v>
      </c>
      <c r="B94" s="47" t="s">
        <v>178</v>
      </c>
      <c r="C94" s="48" t="s">
        <v>29</v>
      </c>
      <c r="D94" s="35"/>
      <c r="E94" s="16"/>
      <c r="F94" s="33">
        <v>0.01</v>
      </c>
      <c r="G94" s="33">
        <v>1655.27</v>
      </c>
      <c r="H94" s="68">
        <f t="shared" si="17"/>
        <v>1.65527E-2</v>
      </c>
      <c r="I94" s="13">
        <f>G94*0.01</f>
        <v>16.552700000000002</v>
      </c>
    </row>
    <row r="95" spans="1:9" ht="16.5" customHeight="1">
      <c r="A95" s="29"/>
      <c r="B95" s="41" t="s">
        <v>52</v>
      </c>
      <c r="C95" s="37"/>
      <c r="D95" s="44"/>
      <c r="E95" s="37">
        <v>1</v>
      </c>
      <c r="F95" s="37"/>
      <c r="G95" s="37"/>
      <c r="H95" s="37"/>
      <c r="I95" s="31">
        <f>I94+I93</f>
        <v>129225.90270000001</v>
      </c>
    </row>
    <row r="96" spans="1:9" ht="15.75" customHeight="1">
      <c r="A96" s="29"/>
      <c r="B96" s="43" t="s">
        <v>78</v>
      </c>
      <c r="C96" s="15"/>
      <c r="D96" s="15"/>
      <c r="E96" s="38"/>
      <c r="F96" s="38"/>
      <c r="G96" s="39"/>
      <c r="H96" s="39"/>
      <c r="I96" s="16">
        <v>0</v>
      </c>
    </row>
    <row r="97" spans="1:9" ht="15.75" customHeight="1">
      <c r="A97" s="45"/>
      <c r="B97" s="42" t="s">
        <v>148</v>
      </c>
      <c r="C97" s="32"/>
      <c r="D97" s="32"/>
      <c r="E97" s="32"/>
      <c r="F97" s="32"/>
      <c r="G97" s="32"/>
      <c r="H97" s="32"/>
      <c r="I97" s="40">
        <f>I90+I95</f>
        <v>193141.71023833333</v>
      </c>
    </row>
    <row r="98" spans="1:9" ht="15.75" customHeight="1">
      <c r="A98" s="191" t="s">
        <v>215</v>
      </c>
      <c r="B98" s="192"/>
      <c r="C98" s="192"/>
      <c r="D98" s="192"/>
      <c r="E98" s="140"/>
      <c r="F98" s="140"/>
      <c r="G98" s="140"/>
      <c r="H98" s="140"/>
      <c r="I98" s="141"/>
    </row>
    <row r="99" spans="1:9" ht="15.75" customHeight="1">
      <c r="A99" s="166" t="s">
        <v>251</v>
      </c>
      <c r="B99" s="166"/>
      <c r="C99" s="166"/>
      <c r="D99" s="166"/>
      <c r="E99" s="166"/>
      <c r="F99" s="166"/>
      <c r="G99" s="166"/>
      <c r="H99" s="166"/>
      <c r="I99" s="166"/>
    </row>
    <row r="100" spans="1:9" ht="15.75">
      <c r="A100" s="50"/>
      <c r="B100" s="167" t="s">
        <v>252</v>
      </c>
      <c r="C100" s="167"/>
      <c r="D100" s="167"/>
      <c r="E100" s="167"/>
      <c r="F100" s="167"/>
      <c r="G100" s="167"/>
      <c r="H100" s="53"/>
      <c r="I100" s="3"/>
    </row>
    <row r="101" spans="1:9">
      <c r="A101" s="116"/>
      <c r="B101" s="168" t="s">
        <v>6</v>
      </c>
      <c r="C101" s="168"/>
      <c r="D101" s="168"/>
      <c r="E101" s="168"/>
      <c r="F101" s="168"/>
      <c r="G101" s="168"/>
      <c r="H101" s="24"/>
      <c r="I101" s="5"/>
    </row>
    <row r="102" spans="1:9" ht="15.75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 customHeight="1">
      <c r="A103" s="169" t="s">
        <v>7</v>
      </c>
      <c r="B103" s="169"/>
      <c r="C103" s="169"/>
      <c r="D103" s="169"/>
      <c r="E103" s="169"/>
      <c r="F103" s="169"/>
      <c r="G103" s="169"/>
      <c r="H103" s="169"/>
      <c r="I103" s="169"/>
    </row>
    <row r="104" spans="1:9" ht="15.75">
      <c r="A104" s="169" t="s">
        <v>8</v>
      </c>
      <c r="B104" s="169"/>
      <c r="C104" s="169"/>
      <c r="D104" s="169"/>
      <c r="E104" s="169"/>
      <c r="F104" s="169"/>
      <c r="G104" s="169"/>
      <c r="H104" s="169"/>
      <c r="I104" s="169"/>
    </row>
    <row r="105" spans="1:9" ht="15.75">
      <c r="A105" s="170" t="s">
        <v>61</v>
      </c>
      <c r="B105" s="170"/>
      <c r="C105" s="170"/>
      <c r="D105" s="170"/>
      <c r="E105" s="170"/>
      <c r="F105" s="170"/>
      <c r="G105" s="170"/>
      <c r="H105" s="170"/>
      <c r="I105" s="170"/>
    </row>
    <row r="106" spans="1:9" ht="15.75">
      <c r="A106" s="11"/>
    </row>
    <row r="107" spans="1:9" ht="15.75">
      <c r="A107" s="171" t="s">
        <v>9</v>
      </c>
      <c r="B107" s="171"/>
      <c r="C107" s="171"/>
      <c r="D107" s="171"/>
      <c r="E107" s="171"/>
      <c r="F107" s="171"/>
      <c r="G107" s="171"/>
      <c r="H107" s="171"/>
      <c r="I107" s="171"/>
    </row>
    <row r="108" spans="1:9" ht="15.75" customHeight="1">
      <c r="A108" s="4"/>
    </row>
    <row r="109" spans="1:9" ht="15.75">
      <c r="B109" s="118" t="s">
        <v>10</v>
      </c>
      <c r="C109" s="172" t="s">
        <v>132</v>
      </c>
      <c r="D109" s="172"/>
      <c r="E109" s="172"/>
      <c r="F109" s="51"/>
      <c r="I109" s="119"/>
    </row>
    <row r="110" spans="1:9">
      <c r="A110" s="116"/>
      <c r="C110" s="168" t="s">
        <v>11</v>
      </c>
      <c r="D110" s="168"/>
      <c r="E110" s="168"/>
      <c r="F110" s="24"/>
      <c r="I110" s="117" t="s">
        <v>12</v>
      </c>
    </row>
    <row r="111" spans="1:9" ht="15.75" customHeight="1">
      <c r="A111" s="25"/>
      <c r="C111" s="12"/>
      <c r="D111" s="12"/>
      <c r="G111" s="12"/>
      <c r="H111" s="12"/>
    </row>
    <row r="112" spans="1:9" ht="15.75" customHeight="1">
      <c r="B112" s="118" t="s">
        <v>13</v>
      </c>
      <c r="C112" s="173"/>
      <c r="D112" s="173"/>
      <c r="E112" s="173"/>
      <c r="F112" s="52"/>
      <c r="I112" s="119"/>
    </row>
    <row r="113" spans="1:9" ht="15.75" customHeight="1">
      <c r="A113" s="116"/>
      <c r="C113" s="162" t="s">
        <v>11</v>
      </c>
      <c r="D113" s="162"/>
      <c r="E113" s="162"/>
      <c r="F113" s="116"/>
      <c r="I113" s="117" t="s">
        <v>12</v>
      </c>
    </row>
    <row r="114" spans="1:9" ht="15.75">
      <c r="A114" s="4" t="s">
        <v>14</v>
      </c>
    </row>
    <row r="115" spans="1:9">
      <c r="A115" s="195" t="s">
        <v>15</v>
      </c>
      <c r="B115" s="195"/>
      <c r="C115" s="195"/>
      <c r="D115" s="195"/>
      <c r="E115" s="195"/>
      <c r="F115" s="195"/>
      <c r="G115" s="195"/>
      <c r="H115" s="195"/>
      <c r="I115" s="195"/>
    </row>
    <row r="116" spans="1:9" ht="45" customHeight="1">
      <c r="A116" s="196" t="s">
        <v>16</v>
      </c>
      <c r="B116" s="196"/>
      <c r="C116" s="196"/>
      <c r="D116" s="196"/>
      <c r="E116" s="196"/>
      <c r="F116" s="196"/>
      <c r="G116" s="196"/>
      <c r="H116" s="196"/>
      <c r="I116" s="196"/>
    </row>
    <row r="117" spans="1:9" ht="30" customHeight="1">
      <c r="A117" s="196" t="s">
        <v>17</v>
      </c>
      <c r="B117" s="196"/>
      <c r="C117" s="196"/>
      <c r="D117" s="196"/>
      <c r="E117" s="196"/>
      <c r="F117" s="196"/>
      <c r="G117" s="196"/>
      <c r="H117" s="196"/>
      <c r="I117" s="196"/>
    </row>
    <row r="118" spans="1:9" ht="30" customHeight="1">
      <c r="A118" s="196" t="s">
        <v>21</v>
      </c>
      <c r="B118" s="196"/>
      <c r="C118" s="196"/>
      <c r="D118" s="196"/>
      <c r="E118" s="196"/>
      <c r="F118" s="196"/>
      <c r="G118" s="196"/>
      <c r="H118" s="196"/>
      <c r="I118" s="196"/>
    </row>
    <row r="119" spans="1:9" ht="15" customHeight="1">
      <c r="A119" s="196" t="s">
        <v>20</v>
      </c>
      <c r="B119" s="196"/>
      <c r="C119" s="196"/>
      <c r="D119" s="196"/>
      <c r="E119" s="196"/>
      <c r="F119" s="196"/>
      <c r="G119" s="196"/>
      <c r="H119" s="196"/>
      <c r="I119" s="196"/>
    </row>
    <row r="122" spans="1:9" ht="30">
      <c r="B122" s="137" t="s">
        <v>268</v>
      </c>
      <c r="C122" s="200">
        <v>72094.8</v>
      </c>
      <c r="D122" s="201"/>
      <c r="E122" s="201"/>
      <c r="F122" s="202"/>
    </row>
    <row r="123" spans="1:9" ht="30">
      <c r="B123" s="137" t="s">
        <v>269</v>
      </c>
      <c r="C123" s="200">
        <f>I97-I95</f>
        <v>63915.80753833332</v>
      </c>
      <c r="D123" s="201"/>
      <c r="E123" s="201"/>
      <c r="F123" s="202"/>
    </row>
    <row r="124" spans="1:9" ht="30">
      <c r="B124" s="137" t="s">
        <v>270</v>
      </c>
      <c r="C124" s="200">
        <f>I95</f>
        <v>129225.90270000001</v>
      </c>
      <c r="D124" s="201"/>
      <c r="E124" s="201"/>
      <c r="F124" s="202"/>
    </row>
    <row r="125" spans="1:9">
      <c r="B125" s="138" t="s">
        <v>271</v>
      </c>
      <c r="C125" s="200">
        <v>75896.7</v>
      </c>
      <c r="D125" s="201"/>
      <c r="E125" s="201"/>
      <c r="F125" s="202"/>
    </row>
    <row r="126" spans="1:9" ht="47.25">
      <c r="B126" s="139" t="s">
        <v>272</v>
      </c>
      <c r="C126" s="203">
        <v>224353.76</v>
      </c>
      <c r="D126" s="204"/>
      <c r="E126" s="204"/>
      <c r="F126" s="205"/>
    </row>
    <row r="127" spans="1:9" ht="30">
      <c r="B127" s="137" t="s">
        <v>273</v>
      </c>
      <c r="C127" s="197">
        <f>C123+C124-C122</f>
        <v>121046.91023833332</v>
      </c>
      <c r="D127" s="198"/>
      <c r="E127" s="198"/>
      <c r="F127" s="199"/>
    </row>
  </sheetData>
  <autoFilter ref="I12:I60"/>
  <mergeCells count="36">
    <mergeCell ref="C127:F127"/>
    <mergeCell ref="A98:D98"/>
    <mergeCell ref="C122:F122"/>
    <mergeCell ref="C123:F123"/>
    <mergeCell ref="C124:F124"/>
    <mergeCell ref="C125:F125"/>
    <mergeCell ref="C126:F126"/>
    <mergeCell ref="A115:I115"/>
    <mergeCell ref="A116:I116"/>
    <mergeCell ref="A117:I117"/>
    <mergeCell ref="A118:I118"/>
    <mergeCell ref="A119:I119"/>
    <mergeCell ref="R65:U65"/>
    <mergeCell ref="C113:E113"/>
    <mergeCell ref="A91:I91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87:I87"/>
    <mergeCell ref="A3:I3"/>
    <mergeCell ref="A4:I4"/>
    <mergeCell ref="A5:I5"/>
    <mergeCell ref="A8:I8"/>
    <mergeCell ref="A10:I10"/>
    <mergeCell ref="A14:I14"/>
    <mergeCell ref="A15:I15"/>
    <mergeCell ref="A29:I29"/>
    <mergeCell ref="A47:I47"/>
    <mergeCell ref="A58:I58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31"/>
  <sheetViews>
    <sheetView topLeftCell="A99" workbookViewId="0">
      <selection activeCell="K104" sqref="K104"/>
    </sheetView>
  </sheetViews>
  <sheetFormatPr defaultRowHeight="15"/>
  <cols>
    <col min="2" max="2" width="51.85546875" customWidth="1"/>
    <col min="3" max="3" width="18.140625" customWidth="1"/>
    <col min="4" max="4" width="18.28515625" customWidth="1"/>
    <col min="5" max="6" width="0" hidden="1" customWidth="1"/>
    <col min="7" max="7" width="18" customWidth="1"/>
    <col min="8" max="8" width="0" hidden="1" customWidth="1"/>
    <col min="9" max="9" width="18.7109375" customWidth="1"/>
  </cols>
  <sheetData>
    <row r="1" spans="1:9" ht="15.75">
      <c r="A1" s="27" t="s">
        <v>85</v>
      </c>
      <c r="I1" s="26"/>
    </row>
    <row r="2" spans="1:9" ht="15.75">
      <c r="A2" s="28" t="s">
        <v>62</v>
      </c>
    </row>
    <row r="3" spans="1:9" ht="15.75">
      <c r="A3" s="179" t="s">
        <v>179</v>
      </c>
      <c r="B3" s="179"/>
      <c r="C3" s="179"/>
      <c r="D3" s="179"/>
      <c r="E3" s="179"/>
      <c r="F3" s="179"/>
      <c r="G3" s="179"/>
      <c r="H3" s="179"/>
      <c r="I3" s="179"/>
    </row>
    <row r="4" spans="1:9" ht="32.25" customHeight="1">
      <c r="A4" s="180" t="s">
        <v>128</v>
      </c>
      <c r="B4" s="180"/>
      <c r="C4" s="180"/>
      <c r="D4" s="180"/>
      <c r="E4" s="180"/>
      <c r="F4" s="180"/>
      <c r="G4" s="180"/>
      <c r="H4" s="180"/>
      <c r="I4" s="180"/>
    </row>
    <row r="5" spans="1:9" ht="15.75">
      <c r="A5" s="179" t="s">
        <v>184</v>
      </c>
      <c r="B5" s="181"/>
      <c r="C5" s="181"/>
      <c r="D5" s="181"/>
      <c r="E5" s="181"/>
      <c r="F5" s="181"/>
      <c r="G5" s="181"/>
      <c r="H5" s="181"/>
      <c r="I5" s="181"/>
    </row>
    <row r="6" spans="1:9" ht="15.75">
      <c r="A6" s="2"/>
      <c r="B6" s="124"/>
      <c r="C6" s="124"/>
      <c r="D6" s="124"/>
      <c r="E6" s="124"/>
      <c r="F6" s="124"/>
      <c r="G6" s="124"/>
      <c r="H6" s="124"/>
      <c r="I6" s="125">
        <v>43220</v>
      </c>
    </row>
    <row r="7" spans="1:9" ht="15.75">
      <c r="B7" s="120"/>
      <c r="C7" s="120"/>
      <c r="D7" s="120"/>
      <c r="E7" s="3"/>
      <c r="F7" s="3"/>
      <c r="G7" s="3"/>
      <c r="H7" s="3"/>
    </row>
    <row r="8" spans="1:9" ht="65.25" customHeight="1">
      <c r="A8" s="182" t="s">
        <v>154</v>
      </c>
      <c r="B8" s="182"/>
      <c r="C8" s="182"/>
      <c r="D8" s="182"/>
      <c r="E8" s="182"/>
      <c r="F8" s="182"/>
      <c r="G8" s="182"/>
      <c r="H8" s="182"/>
      <c r="I8" s="182"/>
    </row>
    <row r="9" spans="1:9" ht="15.75">
      <c r="A9" s="4"/>
    </row>
    <row r="10" spans="1:9" ht="54.75" customHeight="1">
      <c r="A10" s="183" t="s">
        <v>143</v>
      </c>
      <c r="B10" s="183"/>
      <c r="C10" s="183"/>
      <c r="D10" s="183"/>
      <c r="E10" s="183"/>
      <c r="F10" s="183"/>
      <c r="G10" s="183"/>
      <c r="H10" s="183"/>
      <c r="I10" s="183"/>
    </row>
    <row r="11" spans="1:9" ht="15.75">
      <c r="A11" s="4"/>
    </row>
    <row r="12" spans="1:9" ht="52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84" t="s">
        <v>59</v>
      </c>
      <c r="B14" s="184"/>
      <c r="C14" s="184"/>
      <c r="D14" s="184"/>
      <c r="E14" s="184"/>
      <c r="F14" s="184"/>
      <c r="G14" s="184"/>
      <c r="H14" s="184"/>
      <c r="I14" s="184"/>
    </row>
    <row r="15" spans="1:9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</row>
    <row r="16" spans="1:9" ht="30">
      <c r="A16" s="29">
        <v>1</v>
      </c>
      <c r="B16" s="75" t="s">
        <v>242</v>
      </c>
      <c r="C16" s="76" t="s">
        <v>87</v>
      </c>
      <c r="D16" s="75" t="s">
        <v>233</v>
      </c>
      <c r="E16" s="77">
        <v>49.72</v>
      </c>
      <c r="F16" s="78">
        <f>SUM(E16*156/100)</f>
        <v>77.563199999999995</v>
      </c>
      <c r="G16" s="78">
        <v>230</v>
      </c>
      <c r="H16" s="79">
        <f t="shared" ref="H16:H25" si="0">SUM(F16*G16/1000)</f>
        <v>17.839535999999999</v>
      </c>
      <c r="I16" s="13">
        <f>F16/12*G16</f>
        <v>1486.6279999999999</v>
      </c>
    </row>
    <row r="17" spans="1:9" ht="40.5" customHeight="1">
      <c r="A17" s="29">
        <v>2</v>
      </c>
      <c r="B17" s="75" t="s">
        <v>243</v>
      </c>
      <c r="C17" s="76" t="s">
        <v>87</v>
      </c>
      <c r="D17" s="75" t="s">
        <v>210</v>
      </c>
      <c r="E17" s="77">
        <v>198.88</v>
      </c>
      <c r="F17" s="78">
        <f>SUM(E17*104/100)</f>
        <v>206.83520000000001</v>
      </c>
      <c r="G17" s="78">
        <v>230</v>
      </c>
      <c r="H17" s="79">
        <f t="shared" si="0"/>
        <v>47.572096000000002</v>
      </c>
      <c r="I17" s="13">
        <f>198.88/100*12*G17</f>
        <v>5489.0879999999997</v>
      </c>
    </row>
    <row r="18" spans="1:9" ht="30">
      <c r="A18" s="29">
        <v>3</v>
      </c>
      <c r="B18" s="75" t="s">
        <v>222</v>
      </c>
      <c r="C18" s="76" t="s">
        <v>87</v>
      </c>
      <c r="D18" s="75" t="s">
        <v>209</v>
      </c>
      <c r="E18" s="77">
        <v>248.6</v>
      </c>
      <c r="F18" s="78">
        <f>SUM(E18*24/100)</f>
        <v>59.663999999999994</v>
      </c>
      <c r="G18" s="78">
        <v>661.67</v>
      </c>
      <c r="H18" s="79">
        <f t="shared" si="0"/>
        <v>39.477878879999999</v>
      </c>
      <c r="I18" s="13">
        <f>248.6/100*2*G18</f>
        <v>3289.8232399999993</v>
      </c>
    </row>
    <row r="19" spans="1:9" hidden="1">
      <c r="A19" s="29"/>
      <c r="B19" s="75" t="s">
        <v>94</v>
      </c>
      <c r="C19" s="76" t="s">
        <v>95</v>
      </c>
      <c r="D19" s="75" t="s">
        <v>96</v>
      </c>
      <c r="E19" s="77">
        <v>18.48</v>
      </c>
      <c r="F19" s="78">
        <f>SUM(E19/10)</f>
        <v>1.8480000000000001</v>
      </c>
      <c r="G19" s="78">
        <v>223.17</v>
      </c>
      <c r="H19" s="79">
        <f t="shared" si="0"/>
        <v>0.41241815999999998</v>
      </c>
      <c r="I19" s="13">
        <v>0</v>
      </c>
    </row>
    <row r="20" spans="1:9">
      <c r="A20" s="29">
        <v>4</v>
      </c>
      <c r="B20" s="75" t="s">
        <v>97</v>
      </c>
      <c r="C20" s="76" t="s">
        <v>87</v>
      </c>
      <c r="D20" s="75" t="s">
        <v>223</v>
      </c>
      <c r="E20" s="77">
        <v>10.5</v>
      </c>
      <c r="F20" s="78">
        <f>SUM(E20*12/100)</f>
        <v>1.26</v>
      </c>
      <c r="G20" s="78">
        <v>285.76</v>
      </c>
      <c r="H20" s="79">
        <f t="shared" si="0"/>
        <v>0.36005759999999998</v>
      </c>
      <c r="I20" s="13">
        <f>F20/12*G20</f>
        <v>30.004799999999999</v>
      </c>
    </row>
    <row r="21" spans="1:9" hidden="1">
      <c r="A21" s="29">
        <v>5</v>
      </c>
      <c r="B21" s="75" t="s">
        <v>98</v>
      </c>
      <c r="C21" s="76" t="s">
        <v>87</v>
      </c>
      <c r="D21" s="75" t="s">
        <v>42</v>
      </c>
      <c r="E21" s="77">
        <v>3</v>
      </c>
      <c r="F21" s="78">
        <f>SUM(E21*2/100)</f>
        <v>0.06</v>
      </c>
      <c r="G21" s="78">
        <v>283.44</v>
      </c>
      <c r="H21" s="79">
        <f t="shared" si="0"/>
        <v>1.7006399999999998E-2</v>
      </c>
      <c r="I21" s="13">
        <f>F21/6*G21</f>
        <v>2.8344</v>
      </c>
    </row>
    <row r="22" spans="1:9" hidden="1">
      <c r="A22" s="29"/>
      <c r="B22" s="75" t="s">
        <v>99</v>
      </c>
      <c r="C22" s="76" t="s">
        <v>53</v>
      </c>
      <c r="D22" s="75" t="s">
        <v>96</v>
      </c>
      <c r="E22" s="77">
        <v>267.75</v>
      </c>
      <c r="F22" s="78">
        <f>SUM(E22/100)</f>
        <v>2.6775000000000002</v>
      </c>
      <c r="G22" s="78">
        <v>353.14</v>
      </c>
      <c r="H22" s="79">
        <f t="shared" si="0"/>
        <v>0.94553235000000002</v>
      </c>
      <c r="I22" s="13">
        <v>0</v>
      </c>
    </row>
    <row r="23" spans="1:9" hidden="1">
      <c r="A23" s="29"/>
      <c r="B23" s="75" t="s">
        <v>100</v>
      </c>
      <c r="C23" s="76" t="s">
        <v>53</v>
      </c>
      <c r="D23" s="75" t="s">
        <v>96</v>
      </c>
      <c r="E23" s="80">
        <v>36.229999999999997</v>
      </c>
      <c r="F23" s="78">
        <f>SUM(E23/100)</f>
        <v>0.36229999999999996</v>
      </c>
      <c r="G23" s="78">
        <v>58.08</v>
      </c>
      <c r="H23" s="79">
        <f t="shared" si="0"/>
        <v>2.1042383999999997E-2</v>
      </c>
      <c r="I23" s="13">
        <v>0</v>
      </c>
    </row>
    <row r="24" spans="1:9" hidden="1">
      <c r="A24" s="29"/>
      <c r="B24" s="75" t="s">
        <v>101</v>
      </c>
      <c r="C24" s="76" t="s">
        <v>53</v>
      </c>
      <c r="D24" s="75" t="s">
        <v>54</v>
      </c>
      <c r="E24" s="77">
        <v>15</v>
      </c>
      <c r="F24" s="78">
        <f>SUM(E24/100)</f>
        <v>0.15</v>
      </c>
      <c r="G24" s="78">
        <v>511.12</v>
      </c>
      <c r="H24" s="79">
        <f t="shared" si="0"/>
        <v>7.6667999999999986E-2</v>
      </c>
      <c r="I24" s="13">
        <v>0</v>
      </c>
    </row>
    <row r="25" spans="1:9" hidden="1">
      <c r="A25" s="29"/>
      <c r="B25" s="75" t="s">
        <v>102</v>
      </c>
      <c r="C25" s="76" t="s">
        <v>53</v>
      </c>
      <c r="D25" s="75" t="s">
        <v>54</v>
      </c>
      <c r="E25" s="77">
        <v>6.38</v>
      </c>
      <c r="F25" s="78">
        <f>SUM(E25/100)</f>
        <v>6.3799999999999996E-2</v>
      </c>
      <c r="G25" s="78">
        <v>683.05</v>
      </c>
      <c r="H25" s="79">
        <f t="shared" si="0"/>
        <v>4.3578589999999993E-2</v>
      </c>
      <c r="I25" s="13">
        <v>0</v>
      </c>
    </row>
    <row r="26" spans="1:9" hidden="1">
      <c r="A26" s="29"/>
      <c r="B26" s="75" t="s">
        <v>122</v>
      </c>
      <c r="C26" s="76" t="s">
        <v>53</v>
      </c>
      <c r="D26" s="75" t="s">
        <v>54</v>
      </c>
      <c r="E26" s="77">
        <v>14.25</v>
      </c>
      <c r="F26" s="78">
        <v>0.14000000000000001</v>
      </c>
      <c r="G26" s="78">
        <v>283.44</v>
      </c>
      <c r="H26" s="79">
        <f>G26*F26/1000</f>
        <v>3.9681600000000004E-2</v>
      </c>
      <c r="I26" s="13">
        <v>0</v>
      </c>
    </row>
    <row r="27" spans="1:9">
      <c r="A27" s="29">
        <v>5</v>
      </c>
      <c r="B27" s="75" t="s">
        <v>64</v>
      </c>
      <c r="C27" s="76" t="s">
        <v>33</v>
      </c>
      <c r="D27" s="75" t="s">
        <v>63</v>
      </c>
      <c r="E27" s="82">
        <v>0.1</v>
      </c>
      <c r="F27" s="78">
        <f>SUM(E27*155)</f>
        <v>15.5</v>
      </c>
      <c r="G27" s="78">
        <v>264.85000000000002</v>
      </c>
      <c r="H27" s="79">
        <f>SUM(F27*G27/1000)</f>
        <v>4.105175</v>
      </c>
      <c r="I27" s="13">
        <f>F27/12*G27</f>
        <v>342.09791666666672</v>
      </c>
    </row>
    <row r="28" spans="1:9">
      <c r="A28" s="29">
        <v>6</v>
      </c>
      <c r="B28" s="83" t="s">
        <v>23</v>
      </c>
      <c r="C28" s="76" t="s">
        <v>24</v>
      </c>
      <c r="D28" s="83" t="s">
        <v>136</v>
      </c>
      <c r="E28" s="77">
        <v>2626.5</v>
      </c>
      <c r="F28" s="78">
        <f>SUM(E28*12)</f>
        <v>31518</v>
      </c>
      <c r="G28" s="78">
        <v>3.36</v>
      </c>
      <c r="H28" s="79">
        <f>SUM(F28*G28/1000)</f>
        <v>105.90048</v>
      </c>
      <c r="I28" s="13">
        <f t="shared" ref="I28" si="1">F28/12*G28</f>
        <v>8825.0399999999991</v>
      </c>
    </row>
    <row r="29" spans="1:9">
      <c r="A29" s="185" t="s">
        <v>84</v>
      </c>
      <c r="B29" s="185"/>
      <c r="C29" s="185"/>
      <c r="D29" s="185"/>
      <c r="E29" s="185"/>
      <c r="F29" s="185"/>
      <c r="G29" s="185"/>
      <c r="H29" s="185"/>
      <c r="I29" s="185"/>
    </row>
    <row r="30" spans="1:9" hidden="1">
      <c r="A30" s="29"/>
      <c r="B30" s="106" t="s">
        <v>28</v>
      </c>
      <c r="C30" s="76"/>
      <c r="D30" s="75"/>
      <c r="E30" s="77"/>
      <c r="F30" s="78"/>
      <c r="G30" s="78"/>
      <c r="H30" s="79"/>
      <c r="I30" s="13"/>
    </row>
    <row r="31" spans="1:9" hidden="1">
      <c r="A31" s="29"/>
      <c r="B31" s="75" t="s">
        <v>104</v>
      </c>
      <c r="C31" s="76" t="s">
        <v>89</v>
      </c>
      <c r="D31" s="75" t="s">
        <v>149</v>
      </c>
      <c r="E31" s="78">
        <v>665</v>
      </c>
      <c r="F31" s="78">
        <f>SUM(E31*52/1000)</f>
        <v>34.58</v>
      </c>
      <c r="G31" s="78">
        <v>204.44</v>
      </c>
      <c r="H31" s="79">
        <f t="shared" ref="H31:H37" si="2">SUM(F31*G31/1000)</f>
        <v>7.0695351999999989</v>
      </c>
      <c r="I31" s="13">
        <f t="shared" ref="I31:I32" si="3">F31/6*G31</f>
        <v>1178.2558666666666</v>
      </c>
    </row>
    <row r="32" spans="1:9" ht="45" hidden="1">
      <c r="A32" s="29"/>
      <c r="B32" s="75" t="s">
        <v>117</v>
      </c>
      <c r="C32" s="76" t="s">
        <v>89</v>
      </c>
      <c r="D32" s="75" t="s">
        <v>150</v>
      </c>
      <c r="E32" s="78">
        <v>81.5</v>
      </c>
      <c r="F32" s="78">
        <f>SUM(E32*78/1000)</f>
        <v>6.3570000000000002</v>
      </c>
      <c r="G32" s="78">
        <v>339.21</v>
      </c>
      <c r="H32" s="79">
        <f t="shared" si="2"/>
        <v>2.1563579700000002</v>
      </c>
      <c r="I32" s="13">
        <f t="shared" si="3"/>
        <v>359.39299500000004</v>
      </c>
    </row>
    <row r="33" spans="1:9" hidden="1">
      <c r="A33" s="29"/>
      <c r="B33" s="75" t="s">
        <v>27</v>
      </c>
      <c r="C33" s="76" t="s">
        <v>89</v>
      </c>
      <c r="D33" s="75" t="s">
        <v>54</v>
      </c>
      <c r="E33" s="78">
        <v>665</v>
      </c>
      <c r="F33" s="78">
        <f>SUM(E33/1000)</f>
        <v>0.66500000000000004</v>
      </c>
      <c r="G33" s="78">
        <v>3961.23</v>
      </c>
      <c r="H33" s="79">
        <f t="shared" si="2"/>
        <v>2.63421795</v>
      </c>
      <c r="I33" s="13">
        <f>F33*G33</f>
        <v>2634.2179500000002</v>
      </c>
    </row>
    <row r="34" spans="1:9" hidden="1">
      <c r="A34" s="29"/>
      <c r="B34" s="75" t="s">
        <v>116</v>
      </c>
      <c r="C34" s="76" t="s">
        <v>40</v>
      </c>
      <c r="D34" s="75" t="s">
        <v>63</v>
      </c>
      <c r="E34" s="78">
        <v>3</v>
      </c>
      <c r="F34" s="78">
        <f>E34*155/100</f>
        <v>4.6500000000000004</v>
      </c>
      <c r="G34" s="78">
        <v>1707.63</v>
      </c>
      <c r="H34" s="79">
        <f>G34*F34/1000</f>
        <v>7.9404795000000012</v>
      </c>
      <c r="I34" s="13">
        <f>F34/6*G34</f>
        <v>1323.4132500000001</v>
      </c>
    </row>
    <row r="35" spans="1:9" hidden="1">
      <c r="A35" s="29"/>
      <c r="B35" s="75" t="s">
        <v>103</v>
      </c>
      <c r="C35" s="76" t="s">
        <v>31</v>
      </c>
      <c r="D35" s="75" t="s">
        <v>63</v>
      </c>
      <c r="E35" s="81">
        <f>1/3</f>
        <v>0.33333333333333331</v>
      </c>
      <c r="F35" s="78">
        <f>155/3</f>
        <v>51.666666666666664</v>
      </c>
      <c r="G35" s="78">
        <v>74.349999999999994</v>
      </c>
      <c r="H35" s="79">
        <f>SUM(G35*155/3/1000)</f>
        <v>3.8414166666666665</v>
      </c>
      <c r="I35" s="13">
        <f>F35/6*G35</f>
        <v>640.23611111111109</v>
      </c>
    </row>
    <row r="36" spans="1:9" hidden="1">
      <c r="A36" s="29"/>
      <c r="B36" s="75" t="s">
        <v>65</v>
      </c>
      <c r="C36" s="76" t="s">
        <v>33</v>
      </c>
      <c r="D36" s="75" t="s">
        <v>67</v>
      </c>
      <c r="E36" s="77"/>
      <c r="F36" s="78">
        <v>1</v>
      </c>
      <c r="G36" s="78">
        <v>250.92</v>
      </c>
      <c r="H36" s="79">
        <f t="shared" si="2"/>
        <v>0.25091999999999998</v>
      </c>
      <c r="I36" s="13">
        <v>0</v>
      </c>
    </row>
    <row r="37" spans="1:9" hidden="1">
      <c r="A37" s="29"/>
      <c r="B37" s="75" t="s">
        <v>66</v>
      </c>
      <c r="C37" s="76" t="s">
        <v>32</v>
      </c>
      <c r="D37" s="75" t="s">
        <v>67</v>
      </c>
      <c r="E37" s="77"/>
      <c r="F37" s="78">
        <v>1</v>
      </c>
      <c r="G37" s="78">
        <v>1490.31</v>
      </c>
      <c r="H37" s="79">
        <f t="shared" si="2"/>
        <v>1.49031</v>
      </c>
      <c r="I37" s="13">
        <v>0</v>
      </c>
    </row>
    <row r="38" spans="1:9">
      <c r="A38" s="29"/>
      <c r="B38" s="106" t="s">
        <v>5</v>
      </c>
      <c r="C38" s="76"/>
      <c r="D38" s="75"/>
      <c r="E38" s="77"/>
      <c r="F38" s="78"/>
      <c r="G38" s="78"/>
      <c r="H38" s="79" t="s">
        <v>136</v>
      </c>
      <c r="I38" s="13"/>
    </row>
    <row r="39" spans="1:9" ht="30">
      <c r="A39" s="29">
        <v>7</v>
      </c>
      <c r="B39" s="84" t="s">
        <v>224</v>
      </c>
      <c r="C39" s="76" t="s">
        <v>32</v>
      </c>
      <c r="D39" s="75" t="s">
        <v>202</v>
      </c>
      <c r="E39" s="77"/>
      <c r="F39" s="78">
        <v>5</v>
      </c>
      <c r="G39" s="78">
        <v>2003</v>
      </c>
      <c r="H39" s="79">
        <f t="shared" ref="H39:H46" si="4">SUM(F39*G39/1000)</f>
        <v>10.015000000000001</v>
      </c>
      <c r="I39" s="13">
        <f>G39*2</f>
        <v>4006</v>
      </c>
    </row>
    <row r="40" spans="1:9">
      <c r="A40" s="29">
        <v>8</v>
      </c>
      <c r="B40" s="84" t="s">
        <v>105</v>
      </c>
      <c r="C40" s="85" t="s">
        <v>29</v>
      </c>
      <c r="D40" s="75" t="s">
        <v>123</v>
      </c>
      <c r="E40" s="77">
        <v>81.5</v>
      </c>
      <c r="F40" s="86">
        <f>E40*30/1000</f>
        <v>2.4449999999999998</v>
      </c>
      <c r="G40" s="78">
        <v>2757.78</v>
      </c>
      <c r="H40" s="79">
        <f t="shared" si="4"/>
        <v>6.7427720999999998</v>
      </c>
      <c r="I40" s="13">
        <f t="shared" ref="I40:I43" si="5">F40/6*G40</f>
        <v>1123.7953500000001</v>
      </c>
    </row>
    <row r="41" spans="1:9">
      <c r="A41" s="29">
        <v>9</v>
      </c>
      <c r="B41" s="75" t="s">
        <v>68</v>
      </c>
      <c r="C41" s="76" t="s">
        <v>29</v>
      </c>
      <c r="D41" s="75" t="s">
        <v>88</v>
      </c>
      <c r="E41" s="78">
        <v>81.5</v>
      </c>
      <c r="F41" s="86">
        <f>SUM(E41*155/1000)</f>
        <v>12.6325</v>
      </c>
      <c r="G41" s="78">
        <v>460.02</v>
      </c>
      <c r="H41" s="79">
        <f t="shared" si="4"/>
        <v>5.8112026500000002</v>
      </c>
      <c r="I41" s="13">
        <f t="shared" si="5"/>
        <v>968.53377499999999</v>
      </c>
    </row>
    <row r="42" spans="1:9" hidden="1">
      <c r="A42" s="29"/>
      <c r="B42" s="75" t="s">
        <v>118</v>
      </c>
      <c r="C42" s="76" t="s">
        <v>119</v>
      </c>
      <c r="D42" s="75" t="s">
        <v>67</v>
      </c>
      <c r="E42" s="77"/>
      <c r="F42" s="86">
        <v>26</v>
      </c>
      <c r="G42" s="78">
        <v>314</v>
      </c>
      <c r="H42" s="79">
        <f t="shared" si="4"/>
        <v>8.1639999999999997</v>
      </c>
      <c r="I42" s="13">
        <v>0</v>
      </c>
    </row>
    <row r="43" spans="1:9" ht="60">
      <c r="A43" s="29">
        <v>10</v>
      </c>
      <c r="B43" s="75" t="s">
        <v>82</v>
      </c>
      <c r="C43" s="76" t="s">
        <v>89</v>
      </c>
      <c r="D43" s="75" t="s">
        <v>124</v>
      </c>
      <c r="E43" s="78">
        <v>81.5</v>
      </c>
      <c r="F43" s="86">
        <f>SUM(E43*35/1000)</f>
        <v>2.8525</v>
      </c>
      <c r="G43" s="78">
        <v>7611.16</v>
      </c>
      <c r="H43" s="79">
        <f t="shared" si="4"/>
        <v>21.710833900000001</v>
      </c>
      <c r="I43" s="13">
        <f t="shared" si="5"/>
        <v>3618.4723166666663</v>
      </c>
    </row>
    <row r="44" spans="1:9">
      <c r="A44" s="29">
        <v>11</v>
      </c>
      <c r="B44" s="75" t="s">
        <v>90</v>
      </c>
      <c r="C44" s="76" t="s">
        <v>89</v>
      </c>
      <c r="D44" s="75" t="s">
        <v>69</v>
      </c>
      <c r="E44" s="78">
        <v>81.5</v>
      </c>
      <c r="F44" s="86">
        <f>SUM(E44*45/1000)</f>
        <v>3.6675</v>
      </c>
      <c r="G44" s="78">
        <v>562.25</v>
      </c>
      <c r="H44" s="79">
        <f t="shared" si="4"/>
        <v>2.0620518750000003</v>
      </c>
      <c r="I44" s="13">
        <f>(F44/7.5*1.5)*G44</f>
        <v>412.41037500000004</v>
      </c>
    </row>
    <row r="45" spans="1:9">
      <c r="A45" s="29">
        <v>12</v>
      </c>
      <c r="B45" s="84" t="s">
        <v>70</v>
      </c>
      <c r="C45" s="85" t="s">
        <v>33</v>
      </c>
      <c r="D45" s="84"/>
      <c r="E45" s="82"/>
      <c r="F45" s="86">
        <v>0.9</v>
      </c>
      <c r="G45" s="86">
        <v>974.83</v>
      </c>
      <c r="H45" s="79">
        <f t="shared" si="4"/>
        <v>0.8773470000000001</v>
      </c>
      <c r="I45" s="13">
        <f>(F45/7.5*1.5)*G45</f>
        <v>175.46940000000004</v>
      </c>
    </row>
    <row r="46" spans="1:9" ht="30">
      <c r="A46" s="29">
        <v>13</v>
      </c>
      <c r="B46" s="47" t="s">
        <v>156</v>
      </c>
      <c r="C46" s="48" t="s">
        <v>29</v>
      </c>
      <c r="D46" s="84" t="s">
        <v>157</v>
      </c>
      <c r="E46" s="82">
        <v>2.4</v>
      </c>
      <c r="F46" s="86">
        <f>SUM(E46*12/1000)</f>
        <v>2.8799999999999996E-2</v>
      </c>
      <c r="G46" s="86">
        <v>260.2</v>
      </c>
      <c r="H46" s="79">
        <f t="shared" si="4"/>
        <v>7.4937599999999986E-3</v>
      </c>
      <c r="I46" s="13">
        <f>F46/6*G46</f>
        <v>1.2489599999999998</v>
      </c>
    </row>
    <row r="47" spans="1:9">
      <c r="A47" s="186" t="s">
        <v>129</v>
      </c>
      <c r="B47" s="187"/>
      <c r="C47" s="187"/>
      <c r="D47" s="187"/>
      <c r="E47" s="187"/>
      <c r="F47" s="187"/>
      <c r="G47" s="187"/>
      <c r="H47" s="187"/>
      <c r="I47" s="188"/>
    </row>
    <row r="48" spans="1:9" hidden="1">
      <c r="A48" s="29"/>
      <c r="B48" s="75" t="s">
        <v>125</v>
      </c>
      <c r="C48" s="76" t="s">
        <v>89</v>
      </c>
      <c r="D48" s="75" t="s">
        <v>42</v>
      </c>
      <c r="E48" s="77">
        <v>1080</v>
      </c>
      <c r="F48" s="78">
        <f>SUM(E48*2/1000)</f>
        <v>2.16</v>
      </c>
      <c r="G48" s="33">
        <v>1172.4100000000001</v>
      </c>
      <c r="H48" s="79">
        <f t="shared" ref="H48:H56" si="6">SUM(F48*G48/1000)</f>
        <v>2.5324056000000006</v>
      </c>
      <c r="I48" s="13">
        <f t="shared" ref="I48:I51" si="7">F48/2*G48</f>
        <v>1266.2028000000003</v>
      </c>
    </row>
    <row r="49" spans="1:9" hidden="1">
      <c r="A49" s="29"/>
      <c r="B49" s="75" t="s">
        <v>35</v>
      </c>
      <c r="C49" s="76" t="s">
        <v>89</v>
      </c>
      <c r="D49" s="75" t="s">
        <v>42</v>
      </c>
      <c r="E49" s="77">
        <v>39</v>
      </c>
      <c r="F49" s="78">
        <f>SUM(E49*2/1000)</f>
        <v>7.8E-2</v>
      </c>
      <c r="G49" s="33">
        <v>4419.05</v>
      </c>
      <c r="H49" s="79">
        <f t="shared" si="6"/>
        <v>0.34468589999999999</v>
      </c>
      <c r="I49" s="13">
        <f t="shared" si="7"/>
        <v>172.34295</v>
      </c>
    </row>
    <row r="50" spans="1:9" hidden="1">
      <c r="A50" s="29"/>
      <c r="B50" s="75" t="s">
        <v>36</v>
      </c>
      <c r="C50" s="76" t="s">
        <v>89</v>
      </c>
      <c r="D50" s="75" t="s">
        <v>42</v>
      </c>
      <c r="E50" s="77">
        <v>1037</v>
      </c>
      <c r="F50" s="78">
        <f>SUM(E50*2/1000)</f>
        <v>2.0739999999999998</v>
      </c>
      <c r="G50" s="33">
        <v>1803.69</v>
      </c>
      <c r="H50" s="79">
        <f t="shared" si="6"/>
        <v>3.7408530600000001</v>
      </c>
      <c r="I50" s="13">
        <f t="shared" si="7"/>
        <v>1870.42653</v>
      </c>
    </row>
    <row r="51" spans="1:9" hidden="1">
      <c r="A51" s="29"/>
      <c r="B51" s="75" t="s">
        <v>37</v>
      </c>
      <c r="C51" s="76" t="s">
        <v>89</v>
      </c>
      <c r="D51" s="75" t="s">
        <v>42</v>
      </c>
      <c r="E51" s="77">
        <v>2274</v>
      </c>
      <c r="F51" s="78">
        <f>SUM(E51*2/1000)</f>
        <v>4.548</v>
      </c>
      <c r="G51" s="33">
        <v>1243.43</v>
      </c>
      <c r="H51" s="79">
        <f t="shared" si="6"/>
        <v>5.6551196399999997</v>
      </c>
      <c r="I51" s="13">
        <f t="shared" si="7"/>
        <v>2827.5598199999999</v>
      </c>
    </row>
    <row r="52" spans="1:9" hidden="1">
      <c r="A52" s="29"/>
      <c r="B52" s="75" t="s">
        <v>34</v>
      </c>
      <c r="C52" s="76" t="s">
        <v>53</v>
      </c>
      <c r="D52" s="75" t="s">
        <v>42</v>
      </c>
      <c r="E52" s="77">
        <v>83.04</v>
      </c>
      <c r="F52" s="78">
        <v>1.66</v>
      </c>
      <c r="G52" s="33">
        <v>1352.76</v>
      </c>
      <c r="H52" s="79">
        <f>SUM(F52*G52/1000)</f>
        <v>2.2455816</v>
      </c>
      <c r="I52" s="13">
        <f>F52/2*G52</f>
        <v>1122.7908</v>
      </c>
    </row>
    <row r="53" spans="1:9" ht="13.5" customHeight="1">
      <c r="A53" s="29">
        <v>14</v>
      </c>
      <c r="B53" s="75" t="s">
        <v>255</v>
      </c>
      <c r="C53" s="76" t="s">
        <v>89</v>
      </c>
      <c r="D53" s="75" t="s">
        <v>140</v>
      </c>
      <c r="E53" s="77">
        <v>2626.5</v>
      </c>
      <c r="F53" s="78">
        <f>SUM(E53*5/1000)</f>
        <v>13.1325</v>
      </c>
      <c r="G53" s="33">
        <v>1803.69</v>
      </c>
      <c r="H53" s="79">
        <f t="shared" ref="H53:H55" si="8">SUM(F53*G53/1000)</f>
        <v>23.686958925000003</v>
      </c>
      <c r="I53" s="13">
        <f>F53/5*G53</f>
        <v>4737.3917849999998</v>
      </c>
    </row>
    <row r="54" spans="1:9" ht="14.25" hidden="1" customHeight="1">
      <c r="A54" s="29"/>
      <c r="B54" s="75" t="s">
        <v>91</v>
      </c>
      <c r="C54" s="76" t="s">
        <v>89</v>
      </c>
      <c r="D54" s="75" t="s">
        <v>42</v>
      </c>
      <c r="E54" s="77">
        <v>2626.5</v>
      </c>
      <c r="F54" s="78">
        <f>SUM(E54*2/1000)</f>
        <v>5.2530000000000001</v>
      </c>
      <c r="G54" s="33">
        <v>1591.6</v>
      </c>
      <c r="H54" s="79">
        <f t="shared" si="8"/>
        <v>8.3606747999999982</v>
      </c>
      <c r="I54" s="13">
        <f>F54/2*G54</f>
        <v>4180.3373999999994</v>
      </c>
    </row>
    <row r="55" spans="1:9" ht="15" hidden="1" customHeight="1">
      <c r="A55" s="29"/>
      <c r="B55" s="75" t="s">
        <v>92</v>
      </c>
      <c r="C55" s="76" t="s">
        <v>38</v>
      </c>
      <c r="D55" s="75" t="s">
        <v>42</v>
      </c>
      <c r="E55" s="77">
        <v>15</v>
      </c>
      <c r="F55" s="78">
        <f>SUM(E55*2/100)</f>
        <v>0.3</v>
      </c>
      <c r="G55" s="33">
        <v>4058.32</v>
      </c>
      <c r="H55" s="79">
        <f t="shared" si="8"/>
        <v>1.2174960000000001</v>
      </c>
      <c r="I55" s="13">
        <f t="shared" ref="I55:I56" si="9">F55/2*G55</f>
        <v>608.74800000000005</v>
      </c>
    </row>
    <row r="56" spans="1:9" ht="13.5" hidden="1" customHeight="1">
      <c r="A56" s="29"/>
      <c r="B56" s="75" t="s">
        <v>39</v>
      </c>
      <c r="C56" s="76" t="s">
        <v>40</v>
      </c>
      <c r="D56" s="75" t="s">
        <v>42</v>
      </c>
      <c r="E56" s="77">
        <v>1</v>
      </c>
      <c r="F56" s="78">
        <v>0.02</v>
      </c>
      <c r="G56" s="33">
        <v>7412.92</v>
      </c>
      <c r="H56" s="79">
        <f t="shared" si="6"/>
        <v>0.14825839999999998</v>
      </c>
      <c r="I56" s="13">
        <f t="shared" si="9"/>
        <v>74.129199999999997</v>
      </c>
    </row>
    <row r="57" spans="1:9">
      <c r="A57" s="29">
        <v>15</v>
      </c>
      <c r="B57" s="75" t="s">
        <v>41</v>
      </c>
      <c r="C57" s="76" t="s">
        <v>106</v>
      </c>
      <c r="D57" s="75" t="s">
        <v>206</v>
      </c>
      <c r="E57" s="77">
        <v>90</v>
      </c>
      <c r="F57" s="78">
        <f>SUM(E57)*3</f>
        <v>270</v>
      </c>
      <c r="G57" s="74">
        <v>86.15</v>
      </c>
      <c r="H57" s="79">
        <f>SUM(F57*G57/1000)</f>
        <v>23.2605</v>
      </c>
      <c r="I57" s="13">
        <f>F57/3*G57</f>
        <v>7753.5000000000009</v>
      </c>
    </row>
    <row r="58" spans="1:9">
      <c r="A58" s="186" t="s">
        <v>130</v>
      </c>
      <c r="B58" s="187"/>
      <c r="C58" s="187"/>
      <c r="D58" s="187"/>
      <c r="E58" s="187"/>
      <c r="F58" s="187"/>
      <c r="G58" s="187"/>
      <c r="H58" s="187"/>
      <c r="I58" s="188"/>
    </row>
    <row r="59" spans="1:9">
      <c r="A59" s="29"/>
      <c r="B59" s="106" t="s">
        <v>43</v>
      </c>
      <c r="C59" s="76"/>
      <c r="D59" s="75"/>
      <c r="E59" s="77"/>
      <c r="F59" s="78"/>
      <c r="G59" s="78"/>
      <c r="H59" s="79"/>
      <c r="I59" s="13"/>
    </row>
    <row r="60" spans="1:9" ht="30">
      <c r="A60" s="29">
        <v>16</v>
      </c>
      <c r="B60" s="75" t="s">
        <v>195</v>
      </c>
      <c r="C60" s="76" t="s">
        <v>87</v>
      </c>
      <c r="D60" s="75" t="s">
        <v>225</v>
      </c>
      <c r="E60" s="77">
        <v>111</v>
      </c>
      <c r="F60" s="78">
        <f>SUM(E60*6/100)</f>
        <v>6.66</v>
      </c>
      <c r="G60" s="33">
        <v>2029.3</v>
      </c>
      <c r="H60" s="79">
        <f>SUM(F60*G60/1000)</f>
        <v>13.515138</v>
      </c>
      <c r="I60" s="13">
        <f>G60*0.76</f>
        <v>1542.268</v>
      </c>
    </row>
    <row r="61" spans="1:9">
      <c r="A61" s="29">
        <v>17</v>
      </c>
      <c r="B61" s="75" t="s">
        <v>219</v>
      </c>
      <c r="C61" s="76" t="s">
        <v>159</v>
      </c>
      <c r="D61" s="75" t="s">
        <v>226</v>
      </c>
      <c r="E61" s="77"/>
      <c r="F61" s="78">
        <v>3</v>
      </c>
      <c r="G61" s="33">
        <v>1582.05</v>
      </c>
      <c r="H61" s="79">
        <f>SUM(F61*G61/1000)</f>
        <v>4.7461499999999992</v>
      </c>
      <c r="I61" s="13">
        <f>G61*2</f>
        <v>3164.1</v>
      </c>
    </row>
    <row r="62" spans="1:9">
      <c r="A62" s="29"/>
      <c r="B62" s="107" t="s">
        <v>44</v>
      </c>
      <c r="C62" s="87"/>
      <c r="D62" s="88"/>
      <c r="E62" s="89"/>
      <c r="F62" s="90"/>
      <c r="G62" s="33"/>
      <c r="H62" s="91"/>
      <c r="I62" s="13"/>
    </row>
    <row r="63" spans="1:9" hidden="1">
      <c r="A63" s="29"/>
      <c r="B63" s="88" t="s">
        <v>45</v>
      </c>
      <c r="C63" s="87" t="s">
        <v>53</v>
      </c>
      <c r="D63" s="88" t="s">
        <v>54</v>
      </c>
      <c r="E63" s="89">
        <v>130</v>
      </c>
      <c r="F63" s="90">
        <f>E63/100</f>
        <v>1.3</v>
      </c>
      <c r="G63" s="33">
        <v>1040.8399999999999</v>
      </c>
      <c r="H63" s="91">
        <f>F63*G63/1000</f>
        <v>1.353092</v>
      </c>
      <c r="I63" s="13">
        <v>0</v>
      </c>
    </row>
    <row r="64" spans="1:9">
      <c r="A64" s="29">
        <v>18</v>
      </c>
      <c r="B64" s="88" t="s">
        <v>120</v>
      </c>
      <c r="C64" s="87" t="s">
        <v>25</v>
      </c>
      <c r="D64" s="88" t="s">
        <v>205</v>
      </c>
      <c r="E64" s="89">
        <v>130</v>
      </c>
      <c r="F64" s="92">
        <f>E64*12</f>
        <v>1560</v>
      </c>
      <c r="G64" s="93">
        <v>1.2</v>
      </c>
      <c r="H64" s="90">
        <f>F64*G64/1000</f>
        <v>1.8720000000000001</v>
      </c>
      <c r="I64" s="13">
        <f t="shared" ref="I64" si="10">F64/12*G64</f>
        <v>156</v>
      </c>
    </row>
    <row r="65" spans="1:9" hidden="1">
      <c r="A65" s="29"/>
      <c r="B65" s="108" t="s">
        <v>46</v>
      </c>
      <c r="C65" s="87"/>
      <c r="D65" s="88"/>
      <c r="E65" s="89"/>
      <c r="F65" s="92"/>
      <c r="G65" s="92"/>
      <c r="H65" s="90" t="s">
        <v>136</v>
      </c>
      <c r="I65" s="13"/>
    </row>
    <row r="66" spans="1:9" hidden="1">
      <c r="A66" s="29"/>
      <c r="B66" s="94" t="s">
        <v>47</v>
      </c>
      <c r="C66" s="95" t="s">
        <v>106</v>
      </c>
      <c r="D66" s="75" t="s">
        <v>67</v>
      </c>
      <c r="E66" s="16">
        <v>9</v>
      </c>
      <c r="F66" s="74">
        <f>SUM(E66)</f>
        <v>9</v>
      </c>
      <c r="G66" s="33">
        <v>291.68</v>
      </c>
      <c r="H66" s="68">
        <f t="shared" ref="H66:H84" si="11">SUM(F66*G66/1000)</f>
        <v>2.6251199999999999</v>
      </c>
      <c r="I66" s="13">
        <v>0</v>
      </c>
    </row>
    <row r="67" spans="1:9" hidden="1">
      <c r="A67" s="29"/>
      <c r="B67" s="94" t="s">
        <v>48</v>
      </c>
      <c r="C67" s="95" t="s">
        <v>106</v>
      </c>
      <c r="D67" s="75" t="s">
        <v>67</v>
      </c>
      <c r="E67" s="16">
        <v>4</v>
      </c>
      <c r="F67" s="74">
        <f>SUM(E67)</f>
        <v>4</v>
      </c>
      <c r="G67" s="33">
        <v>100.01</v>
      </c>
      <c r="H67" s="68">
        <f t="shared" si="11"/>
        <v>0.40004000000000001</v>
      </c>
      <c r="I67" s="13">
        <v>0</v>
      </c>
    </row>
    <row r="68" spans="1:9" hidden="1">
      <c r="A68" s="29"/>
      <c r="B68" s="94" t="s">
        <v>49</v>
      </c>
      <c r="C68" s="96" t="s">
        <v>108</v>
      </c>
      <c r="D68" s="35" t="s">
        <v>54</v>
      </c>
      <c r="E68" s="77">
        <v>13287</v>
      </c>
      <c r="F68" s="74">
        <f>SUM(E68/100)</f>
        <v>132.87</v>
      </c>
      <c r="G68" s="33">
        <v>278.24</v>
      </c>
      <c r="H68" s="68">
        <f t="shared" si="11"/>
        <v>36.969748799999998</v>
      </c>
      <c r="I68" s="13">
        <v>0</v>
      </c>
    </row>
    <row r="69" spans="1:9" hidden="1">
      <c r="A69" s="29"/>
      <c r="B69" s="94" t="s">
        <v>50</v>
      </c>
      <c r="C69" s="95" t="s">
        <v>109</v>
      </c>
      <c r="D69" s="35" t="s">
        <v>54</v>
      </c>
      <c r="E69" s="77">
        <v>13287</v>
      </c>
      <c r="F69" s="33">
        <f>SUM(E69/1000)</f>
        <v>13.287000000000001</v>
      </c>
      <c r="G69" s="33">
        <v>216.68</v>
      </c>
      <c r="H69" s="68">
        <f t="shared" si="11"/>
        <v>2.8790271600000001</v>
      </c>
      <c r="I69" s="13">
        <v>0</v>
      </c>
    </row>
    <row r="70" spans="1:9" hidden="1">
      <c r="A70" s="29"/>
      <c r="B70" s="94" t="s">
        <v>51</v>
      </c>
      <c r="C70" s="95" t="s">
        <v>76</v>
      </c>
      <c r="D70" s="35" t="s">
        <v>54</v>
      </c>
      <c r="E70" s="77">
        <v>2110</v>
      </c>
      <c r="F70" s="33">
        <f>SUM(E70/100)</f>
        <v>21.1</v>
      </c>
      <c r="G70" s="33">
        <v>2720.94</v>
      </c>
      <c r="H70" s="68">
        <f>SUM(F70*G70/1000)</f>
        <v>57.411834000000006</v>
      </c>
      <c r="I70" s="13">
        <v>0</v>
      </c>
    </row>
    <row r="71" spans="1:9" hidden="1">
      <c r="A71" s="29"/>
      <c r="B71" s="97" t="s">
        <v>110</v>
      </c>
      <c r="C71" s="95" t="s">
        <v>33</v>
      </c>
      <c r="D71" s="35"/>
      <c r="E71" s="77">
        <v>8.6</v>
      </c>
      <c r="F71" s="33">
        <f>SUM(E71)</f>
        <v>8.6</v>
      </c>
      <c r="G71" s="33">
        <v>42.61</v>
      </c>
      <c r="H71" s="68">
        <f t="shared" si="11"/>
        <v>0.36644599999999999</v>
      </c>
      <c r="I71" s="13">
        <v>0</v>
      </c>
    </row>
    <row r="72" spans="1:9" hidden="1">
      <c r="A72" s="29"/>
      <c r="B72" s="97" t="s">
        <v>111</v>
      </c>
      <c r="C72" s="95" t="s">
        <v>33</v>
      </c>
      <c r="D72" s="35"/>
      <c r="E72" s="77">
        <v>8.6</v>
      </c>
      <c r="F72" s="33">
        <f>SUM(E72)</f>
        <v>8.6</v>
      </c>
      <c r="G72" s="33">
        <v>46.04</v>
      </c>
      <c r="H72" s="68">
        <f t="shared" si="11"/>
        <v>0.39594399999999996</v>
      </c>
      <c r="I72" s="13">
        <v>0</v>
      </c>
    </row>
    <row r="73" spans="1:9" hidden="1">
      <c r="A73" s="29"/>
      <c r="B73" s="35" t="s">
        <v>57</v>
      </c>
      <c r="C73" s="95" t="s">
        <v>58</v>
      </c>
      <c r="D73" s="35" t="s">
        <v>54</v>
      </c>
      <c r="E73" s="16">
        <v>3</v>
      </c>
      <c r="F73" s="33">
        <f>SUM(E73)</f>
        <v>3</v>
      </c>
      <c r="G73" s="33">
        <v>65.42</v>
      </c>
      <c r="H73" s="68">
        <f t="shared" si="11"/>
        <v>0.19625999999999999</v>
      </c>
      <c r="I73" s="13">
        <v>0</v>
      </c>
    </row>
    <row r="74" spans="1:9">
      <c r="A74" s="29"/>
      <c r="B74" s="109" t="s">
        <v>72</v>
      </c>
      <c r="C74" s="95"/>
      <c r="D74" s="35"/>
      <c r="E74" s="16"/>
      <c r="F74" s="33"/>
      <c r="G74" s="33"/>
      <c r="H74" s="68" t="s">
        <v>136</v>
      </c>
      <c r="I74" s="13"/>
    </row>
    <row r="75" spans="1:9" ht="30" hidden="1">
      <c r="A75" s="29"/>
      <c r="B75" s="35" t="s">
        <v>160</v>
      </c>
      <c r="C75" s="95" t="s">
        <v>106</v>
      </c>
      <c r="D75" s="75" t="s">
        <v>67</v>
      </c>
      <c r="E75" s="16">
        <v>1</v>
      </c>
      <c r="F75" s="33">
        <v>1</v>
      </c>
      <c r="G75" s="33">
        <v>1543.4</v>
      </c>
      <c r="H75" s="68">
        <f t="shared" ref="H75:H77" si="12">SUM(F75*G75/1000)</f>
        <v>1.5434000000000001</v>
      </c>
      <c r="I75" s="13">
        <v>0</v>
      </c>
    </row>
    <row r="76" spans="1:9" hidden="1">
      <c r="A76" s="29">
        <v>17</v>
      </c>
      <c r="B76" s="35" t="s">
        <v>73</v>
      </c>
      <c r="C76" s="95" t="s">
        <v>74</v>
      </c>
      <c r="D76" s="75" t="s">
        <v>67</v>
      </c>
      <c r="E76" s="16">
        <v>3</v>
      </c>
      <c r="F76" s="33">
        <f>E76/10</f>
        <v>0.3</v>
      </c>
      <c r="G76" s="33">
        <v>657.87</v>
      </c>
      <c r="H76" s="68">
        <f t="shared" si="12"/>
        <v>0.19736099999999998</v>
      </c>
      <c r="I76" s="13">
        <f>G76*0.9</f>
        <v>592.08299999999997</v>
      </c>
    </row>
    <row r="77" spans="1:9" hidden="1">
      <c r="A77" s="29"/>
      <c r="B77" s="35" t="s">
        <v>161</v>
      </c>
      <c r="C77" s="95" t="s">
        <v>106</v>
      </c>
      <c r="D77" s="75" t="s">
        <v>67</v>
      </c>
      <c r="E77" s="16">
        <v>2</v>
      </c>
      <c r="F77" s="78">
        <f>SUM(E77)</f>
        <v>2</v>
      </c>
      <c r="G77" s="33">
        <v>1118.72</v>
      </c>
      <c r="H77" s="68">
        <f t="shared" si="12"/>
        <v>2.2374399999999999</v>
      </c>
      <c r="I77" s="13">
        <v>0</v>
      </c>
    </row>
    <row r="78" spans="1:9" hidden="1">
      <c r="A78" s="29"/>
      <c r="B78" s="47" t="s">
        <v>162</v>
      </c>
      <c r="C78" s="48" t="s">
        <v>106</v>
      </c>
      <c r="D78" s="75" t="s">
        <v>67</v>
      </c>
      <c r="E78" s="16">
        <v>1</v>
      </c>
      <c r="F78" s="93">
        <v>1</v>
      </c>
      <c r="G78" s="33">
        <v>1605.83</v>
      </c>
      <c r="H78" s="68">
        <f>SUM(F78*G78/1000)</f>
        <v>1.6058299999999999</v>
      </c>
      <c r="I78" s="13">
        <v>0</v>
      </c>
    </row>
    <row r="79" spans="1:9" ht="30">
      <c r="A79" s="29">
        <v>19</v>
      </c>
      <c r="B79" s="47" t="s">
        <v>163</v>
      </c>
      <c r="C79" s="48" t="s">
        <v>106</v>
      </c>
      <c r="D79" s="35" t="s">
        <v>205</v>
      </c>
      <c r="E79" s="98">
        <v>2</v>
      </c>
      <c r="F79" s="92">
        <f>E79*12</f>
        <v>24</v>
      </c>
      <c r="G79" s="99">
        <v>53.42</v>
      </c>
      <c r="H79" s="68">
        <f t="shared" ref="H79:H80" si="13">SUM(F79*G79/1000)</f>
        <v>1.2820799999999999</v>
      </c>
      <c r="I79" s="13">
        <f t="shared" ref="I79:I82" si="14">F79/12*G79</f>
        <v>106.84</v>
      </c>
    </row>
    <row r="80" spans="1:9">
      <c r="A80" s="29">
        <v>20</v>
      </c>
      <c r="B80" s="57" t="s">
        <v>164</v>
      </c>
      <c r="C80" s="95"/>
      <c r="D80" s="35" t="s">
        <v>205</v>
      </c>
      <c r="E80" s="16">
        <v>1</v>
      </c>
      <c r="F80" s="33">
        <v>12</v>
      </c>
      <c r="G80" s="33">
        <v>1194</v>
      </c>
      <c r="H80" s="68">
        <f t="shared" si="13"/>
        <v>14.327999999999999</v>
      </c>
      <c r="I80" s="13">
        <f t="shared" si="14"/>
        <v>1194</v>
      </c>
    </row>
    <row r="81" spans="1:9">
      <c r="A81" s="29"/>
      <c r="B81" s="110" t="s">
        <v>165</v>
      </c>
      <c r="C81" s="48"/>
      <c r="D81" s="35"/>
      <c r="E81" s="16"/>
      <c r="F81" s="33"/>
      <c r="G81" s="33"/>
      <c r="H81" s="68"/>
      <c r="I81" s="13"/>
    </row>
    <row r="82" spans="1:9">
      <c r="A82" s="29">
        <v>21</v>
      </c>
      <c r="B82" s="35" t="s">
        <v>166</v>
      </c>
      <c r="C82" s="100" t="s">
        <v>167</v>
      </c>
      <c r="D82" s="75" t="s">
        <v>67</v>
      </c>
      <c r="E82" s="16">
        <v>2626.5</v>
      </c>
      <c r="F82" s="33">
        <f>SUM(E82*12)</f>
        <v>31518</v>
      </c>
      <c r="G82" s="33">
        <v>2.2799999999999998</v>
      </c>
      <c r="H82" s="68">
        <f t="shared" ref="H82" si="15">SUM(F82*G82/1000)</f>
        <v>71.861039999999988</v>
      </c>
      <c r="I82" s="13">
        <f t="shared" si="14"/>
        <v>5988.4199999999992</v>
      </c>
    </row>
    <row r="83" spans="1:9" hidden="1">
      <c r="A83" s="29"/>
      <c r="B83" s="111" t="s">
        <v>75</v>
      </c>
      <c r="C83" s="95"/>
      <c r="D83" s="35"/>
      <c r="E83" s="16"/>
      <c r="F83" s="33"/>
      <c r="G83" s="33" t="s">
        <v>136</v>
      </c>
      <c r="H83" s="68" t="s">
        <v>136</v>
      </c>
      <c r="I83" s="13"/>
    </row>
    <row r="84" spans="1:9" hidden="1">
      <c r="A84" s="29"/>
      <c r="B84" s="101" t="s">
        <v>126</v>
      </c>
      <c r="C84" s="96" t="s">
        <v>76</v>
      </c>
      <c r="D84" s="94"/>
      <c r="E84" s="102"/>
      <c r="F84" s="74">
        <v>0.5</v>
      </c>
      <c r="G84" s="74">
        <v>3619.09</v>
      </c>
      <c r="H84" s="68">
        <f t="shared" si="11"/>
        <v>1.8095450000000002</v>
      </c>
      <c r="I84" s="13"/>
    </row>
    <row r="85" spans="1:9" ht="28.5" hidden="1">
      <c r="A85" s="29"/>
      <c r="B85" s="62" t="s">
        <v>93</v>
      </c>
      <c r="C85" s="13"/>
      <c r="D85" s="13"/>
      <c r="E85" s="13"/>
      <c r="F85" s="13"/>
      <c r="G85" s="13"/>
      <c r="H85" s="13"/>
      <c r="I85" s="13"/>
    </row>
    <row r="86" spans="1:9" hidden="1">
      <c r="A86" s="29"/>
      <c r="B86" s="75" t="s">
        <v>112</v>
      </c>
      <c r="C86" s="103"/>
      <c r="D86" s="104"/>
      <c r="E86" s="105"/>
      <c r="F86" s="34">
        <v>1</v>
      </c>
      <c r="G86" s="34">
        <v>8275.7000000000007</v>
      </c>
      <c r="H86" s="68">
        <f>G86*F86/1000</f>
        <v>8.2757000000000005</v>
      </c>
      <c r="I86" s="13"/>
    </row>
    <row r="87" spans="1:9">
      <c r="A87" s="174" t="s">
        <v>133</v>
      </c>
      <c r="B87" s="175"/>
      <c r="C87" s="175"/>
      <c r="D87" s="175"/>
      <c r="E87" s="175"/>
      <c r="F87" s="175"/>
      <c r="G87" s="175"/>
      <c r="H87" s="175"/>
      <c r="I87" s="176"/>
    </row>
    <row r="88" spans="1:9">
      <c r="A88" s="29">
        <v>22</v>
      </c>
      <c r="B88" s="75" t="s">
        <v>113</v>
      </c>
      <c r="C88" s="95" t="s">
        <v>55</v>
      </c>
      <c r="D88" s="61" t="s">
        <v>142</v>
      </c>
      <c r="E88" s="33">
        <v>2626.5</v>
      </c>
      <c r="F88" s="33">
        <f>SUM(E88*12)</f>
        <v>31518</v>
      </c>
      <c r="G88" s="33">
        <v>3.1</v>
      </c>
      <c r="H88" s="68">
        <f>SUM(F88*G88/1000)</f>
        <v>97.705799999999996</v>
      </c>
      <c r="I88" s="13">
        <f t="shared" ref="I88:I89" si="16">F88/12*G88</f>
        <v>8142.1500000000005</v>
      </c>
    </row>
    <row r="89" spans="1:9" ht="30">
      <c r="A89" s="29">
        <v>23</v>
      </c>
      <c r="B89" s="35" t="s">
        <v>77</v>
      </c>
      <c r="C89" s="95"/>
      <c r="D89" s="61" t="s">
        <v>142</v>
      </c>
      <c r="E89" s="77">
        <f>E88</f>
        <v>2626.5</v>
      </c>
      <c r="F89" s="33">
        <f>E89*12</f>
        <v>31518</v>
      </c>
      <c r="G89" s="33">
        <v>3.5</v>
      </c>
      <c r="H89" s="68">
        <f>F89*G89/1000</f>
        <v>110.313</v>
      </c>
      <c r="I89" s="13">
        <f t="shared" si="16"/>
        <v>9192.75</v>
      </c>
    </row>
    <row r="90" spans="1:9">
      <c r="A90" s="29"/>
      <c r="B90" s="36" t="s">
        <v>80</v>
      </c>
      <c r="C90" s="59"/>
      <c r="D90" s="58"/>
      <c r="E90" s="55"/>
      <c r="F90" s="55"/>
      <c r="G90" s="55"/>
      <c r="H90" s="60">
        <f>H80</f>
        <v>14.327999999999999</v>
      </c>
      <c r="I90" s="55">
        <f>I89+I88+I82+I80+I79+I64+I61+I60+I57+I53+I46+I45+I44+I43+I41+I40+I39+I28+I27+I20+I18+I17+I16</f>
        <v>71746.031918333334</v>
      </c>
    </row>
    <row r="91" spans="1:9">
      <c r="A91" s="163" t="s">
        <v>60</v>
      </c>
      <c r="B91" s="164"/>
      <c r="C91" s="164"/>
      <c r="D91" s="164"/>
      <c r="E91" s="164"/>
      <c r="F91" s="164"/>
      <c r="G91" s="164"/>
      <c r="H91" s="164"/>
      <c r="I91" s="165"/>
    </row>
    <row r="92" spans="1:9" ht="30">
      <c r="A92" s="29" t="s">
        <v>253</v>
      </c>
      <c r="B92" s="46" t="s">
        <v>121</v>
      </c>
      <c r="C92" s="49" t="s">
        <v>106</v>
      </c>
      <c r="D92" s="14"/>
      <c r="E92" s="17"/>
      <c r="F92" s="13">
        <v>135</v>
      </c>
      <c r="G92" s="13">
        <v>55.55</v>
      </c>
      <c r="H92" s="56">
        <f t="shared" ref="H92:H93" si="17">G92*F92/1000</f>
        <v>7.49925</v>
      </c>
      <c r="I92" s="13">
        <f>G92*45</f>
        <v>2499.75</v>
      </c>
    </row>
    <row r="93" spans="1:9">
      <c r="A93" s="29">
        <v>25</v>
      </c>
      <c r="B93" s="46" t="s">
        <v>185</v>
      </c>
      <c r="C93" s="49" t="s">
        <v>83</v>
      </c>
      <c r="D93" s="35"/>
      <c r="E93" s="16"/>
      <c r="F93" s="33">
        <v>1</v>
      </c>
      <c r="G93" s="33">
        <v>203.68</v>
      </c>
      <c r="H93" s="68">
        <f t="shared" si="17"/>
        <v>0.20368</v>
      </c>
      <c r="I93" s="13">
        <f>G93*1</f>
        <v>203.68</v>
      </c>
    </row>
    <row r="94" spans="1:9" ht="30">
      <c r="A94" s="29">
        <v>26</v>
      </c>
      <c r="B94" s="47" t="s">
        <v>79</v>
      </c>
      <c r="C94" s="48" t="s">
        <v>106</v>
      </c>
      <c r="D94" s="35"/>
      <c r="E94" s="16"/>
      <c r="F94" s="33"/>
      <c r="G94" s="74">
        <v>86.69</v>
      </c>
      <c r="H94" s="68"/>
      <c r="I94" s="13">
        <f>G94*1</f>
        <v>86.69</v>
      </c>
    </row>
    <row r="95" spans="1:9" ht="30">
      <c r="A95" s="29">
        <v>27</v>
      </c>
      <c r="B95" s="47" t="s">
        <v>180</v>
      </c>
      <c r="C95" s="48" t="s">
        <v>106</v>
      </c>
      <c r="D95" s="35"/>
      <c r="E95" s="16"/>
      <c r="F95" s="33"/>
      <c r="G95" s="74">
        <v>3534.74</v>
      </c>
      <c r="H95" s="68"/>
      <c r="I95" s="13">
        <f>G95*1</f>
        <v>3534.74</v>
      </c>
    </row>
    <row r="96" spans="1:9" ht="30">
      <c r="A96" s="29">
        <v>28</v>
      </c>
      <c r="B96" s="75" t="s">
        <v>181</v>
      </c>
      <c r="C96" s="76" t="s">
        <v>38</v>
      </c>
      <c r="D96" s="35"/>
      <c r="E96" s="16"/>
      <c r="F96" s="33"/>
      <c r="G96" s="33">
        <v>3724.37</v>
      </c>
      <c r="H96" s="68"/>
      <c r="I96" s="13">
        <f>G96*0.04</f>
        <v>148.97479999999999</v>
      </c>
    </row>
    <row r="97" spans="1:9" ht="30">
      <c r="A97" s="29">
        <v>29</v>
      </c>
      <c r="B97" s="47" t="s">
        <v>182</v>
      </c>
      <c r="C97" s="48" t="s">
        <v>29</v>
      </c>
      <c r="D97" s="35"/>
      <c r="E97" s="16"/>
      <c r="F97" s="33"/>
      <c r="G97" s="33">
        <v>1655.27</v>
      </c>
      <c r="H97" s="68"/>
      <c r="I97" s="13">
        <f>G97*0.02</f>
        <v>33.105400000000003</v>
      </c>
    </row>
    <row r="98" spans="1:9">
      <c r="A98" s="29">
        <v>30</v>
      </c>
      <c r="B98" s="75" t="s">
        <v>183</v>
      </c>
      <c r="C98" s="76" t="s">
        <v>40</v>
      </c>
      <c r="D98" s="35"/>
      <c r="E98" s="16"/>
      <c r="F98" s="33"/>
      <c r="G98" s="33">
        <v>7412.92</v>
      </c>
      <c r="H98" s="68"/>
      <c r="I98" s="13">
        <f>G98*0.02</f>
        <v>148.25839999999999</v>
      </c>
    </row>
    <row r="99" spans="1:9">
      <c r="A99" s="29"/>
      <c r="B99" s="41" t="s">
        <v>52</v>
      </c>
      <c r="C99" s="37"/>
      <c r="D99" s="44"/>
      <c r="E99" s="37">
        <v>1</v>
      </c>
      <c r="F99" s="37"/>
      <c r="G99" s="37"/>
      <c r="H99" s="37"/>
      <c r="I99" s="31">
        <f>I98+I97+I96+I95+I94+I93</f>
        <v>4155.4485999999997</v>
      </c>
    </row>
    <row r="100" spans="1:9">
      <c r="A100" s="29"/>
      <c r="B100" s="43" t="s">
        <v>78</v>
      </c>
      <c r="C100" s="15"/>
      <c r="D100" s="15"/>
      <c r="E100" s="38"/>
      <c r="F100" s="38"/>
      <c r="G100" s="39"/>
      <c r="H100" s="39"/>
      <c r="I100" s="16">
        <v>0</v>
      </c>
    </row>
    <row r="101" spans="1:9">
      <c r="A101" s="45"/>
      <c r="B101" s="42" t="s">
        <v>148</v>
      </c>
      <c r="C101" s="32"/>
      <c r="D101" s="32"/>
      <c r="E101" s="32"/>
      <c r="F101" s="32"/>
      <c r="G101" s="32"/>
      <c r="H101" s="32"/>
      <c r="I101" s="40">
        <f>I90+I99</f>
        <v>75901.480518333337</v>
      </c>
    </row>
    <row r="102" spans="1:9">
      <c r="A102" s="191" t="s">
        <v>254</v>
      </c>
      <c r="B102" s="192"/>
      <c r="C102" s="192"/>
      <c r="D102" s="192"/>
      <c r="E102" s="192"/>
      <c r="F102" s="192"/>
      <c r="G102" s="192"/>
      <c r="H102" s="192"/>
      <c r="I102" s="192"/>
    </row>
    <row r="103" spans="1:9" ht="15.75">
      <c r="A103" s="166" t="s">
        <v>311</v>
      </c>
      <c r="B103" s="166"/>
      <c r="C103" s="166"/>
      <c r="D103" s="166"/>
      <c r="E103" s="166"/>
      <c r="F103" s="166"/>
      <c r="G103" s="166"/>
      <c r="H103" s="166"/>
      <c r="I103" s="166"/>
    </row>
    <row r="104" spans="1:9" ht="15.75">
      <c r="A104" s="50"/>
      <c r="B104" s="167" t="s">
        <v>312</v>
      </c>
      <c r="C104" s="167"/>
      <c r="D104" s="167"/>
      <c r="E104" s="167"/>
      <c r="F104" s="167"/>
      <c r="G104" s="167"/>
      <c r="H104" s="53"/>
      <c r="I104" s="3"/>
    </row>
    <row r="105" spans="1:9">
      <c r="A105" s="123"/>
      <c r="B105" s="168" t="s">
        <v>6</v>
      </c>
      <c r="C105" s="168"/>
      <c r="D105" s="168"/>
      <c r="E105" s="168"/>
      <c r="F105" s="168"/>
      <c r="G105" s="168"/>
      <c r="H105" s="24"/>
      <c r="I105" s="5"/>
    </row>
    <row r="106" spans="1:9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>
      <c r="A107" s="169" t="s">
        <v>7</v>
      </c>
      <c r="B107" s="169"/>
      <c r="C107" s="169"/>
      <c r="D107" s="169"/>
      <c r="E107" s="169"/>
      <c r="F107" s="169"/>
      <c r="G107" s="169"/>
      <c r="H107" s="169"/>
      <c r="I107" s="169"/>
    </row>
    <row r="108" spans="1:9" ht="15.75">
      <c r="A108" s="169" t="s">
        <v>8</v>
      </c>
      <c r="B108" s="169"/>
      <c r="C108" s="169"/>
      <c r="D108" s="169"/>
      <c r="E108" s="169"/>
      <c r="F108" s="169"/>
      <c r="G108" s="169"/>
      <c r="H108" s="169"/>
      <c r="I108" s="169"/>
    </row>
    <row r="109" spans="1:9" ht="15.75">
      <c r="A109" s="170" t="s">
        <v>61</v>
      </c>
      <c r="B109" s="170"/>
      <c r="C109" s="170"/>
      <c r="D109" s="170"/>
      <c r="E109" s="170"/>
      <c r="F109" s="170"/>
      <c r="G109" s="170"/>
      <c r="H109" s="170"/>
      <c r="I109" s="170"/>
    </row>
    <row r="110" spans="1:9" ht="15.75">
      <c r="A110" s="11"/>
    </row>
    <row r="111" spans="1:9" ht="15.75">
      <c r="A111" s="171" t="s">
        <v>9</v>
      </c>
      <c r="B111" s="171"/>
      <c r="C111" s="171"/>
      <c r="D111" s="171"/>
      <c r="E111" s="171"/>
      <c r="F111" s="171"/>
      <c r="G111" s="171"/>
      <c r="H111" s="171"/>
      <c r="I111" s="171"/>
    </row>
    <row r="112" spans="1:9" ht="15.75">
      <c r="A112" s="4"/>
    </row>
    <row r="113" spans="1:9" ht="15.75">
      <c r="B113" s="120" t="s">
        <v>10</v>
      </c>
      <c r="C113" s="172" t="s">
        <v>132</v>
      </c>
      <c r="D113" s="172"/>
      <c r="E113" s="172"/>
      <c r="F113" s="51"/>
      <c r="I113" s="122"/>
    </row>
    <row r="114" spans="1:9">
      <c r="A114" s="123"/>
      <c r="C114" s="168" t="s">
        <v>11</v>
      </c>
      <c r="D114" s="168"/>
      <c r="E114" s="168"/>
      <c r="F114" s="24"/>
      <c r="I114" s="121" t="s">
        <v>12</v>
      </c>
    </row>
    <row r="115" spans="1:9" ht="15.75">
      <c r="A115" s="25"/>
      <c r="C115" s="12"/>
      <c r="D115" s="12"/>
      <c r="G115" s="12"/>
      <c r="H115" s="12"/>
    </row>
    <row r="116" spans="1:9" ht="15.75">
      <c r="B116" s="120" t="s">
        <v>13</v>
      </c>
      <c r="C116" s="173"/>
      <c r="D116" s="173"/>
      <c r="E116" s="173"/>
      <c r="F116" s="52"/>
      <c r="I116" s="122"/>
    </row>
    <row r="117" spans="1:9">
      <c r="A117" s="123"/>
      <c r="C117" s="162" t="s">
        <v>11</v>
      </c>
      <c r="D117" s="162"/>
      <c r="E117" s="162"/>
      <c r="F117" s="123"/>
      <c r="I117" s="121" t="s">
        <v>12</v>
      </c>
    </row>
    <row r="118" spans="1:9" ht="15.75">
      <c r="A118" s="4" t="s">
        <v>14</v>
      </c>
    </row>
    <row r="119" spans="1:9">
      <c r="A119" s="195" t="s">
        <v>15</v>
      </c>
      <c r="B119" s="195"/>
      <c r="C119" s="195"/>
      <c r="D119" s="195"/>
      <c r="E119" s="195"/>
      <c r="F119" s="195"/>
      <c r="G119" s="195"/>
      <c r="H119" s="195"/>
      <c r="I119" s="195"/>
    </row>
    <row r="120" spans="1:9" ht="45" customHeight="1">
      <c r="A120" s="196" t="s">
        <v>16</v>
      </c>
      <c r="B120" s="196"/>
      <c r="C120" s="196"/>
      <c r="D120" s="196"/>
      <c r="E120" s="196"/>
      <c r="F120" s="196"/>
      <c r="G120" s="196"/>
      <c r="H120" s="196"/>
      <c r="I120" s="196"/>
    </row>
    <row r="121" spans="1:9" ht="34.5" customHeight="1">
      <c r="A121" s="196" t="s">
        <v>17</v>
      </c>
      <c r="B121" s="196"/>
      <c r="C121" s="196"/>
      <c r="D121" s="196"/>
      <c r="E121" s="196"/>
      <c r="F121" s="196"/>
      <c r="G121" s="196"/>
      <c r="H121" s="196"/>
      <c r="I121" s="196"/>
    </row>
    <row r="122" spans="1:9" ht="35.25" customHeight="1">
      <c r="A122" s="196" t="s">
        <v>21</v>
      </c>
      <c r="B122" s="196"/>
      <c r="C122" s="196"/>
      <c r="D122" s="196"/>
      <c r="E122" s="196"/>
      <c r="F122" s="196"/>
      <c r="G122" s="196"/>
      <c r="H122" s="196"/>
      <c r="I122" s="196"/>
    </row>
    <row r="123" spans="1:9" ht="15.75">
      <c r="A123" s="196" t="s">
        <v>20</v>
      </c>
      <c r="B123" s="196"/>
      <c r="C123" s="196"/>
      <c r="D123" s="196"/>
      <c r="E123" s="196"/>
      <c r="F123" s="196"/>
      <c r="G123" s="196"/>
      <c r="H123" s="196"/>
      <c r="I123" s="196"/>
    </row>
    <row r="126" spans="1:9" ht="30">
      <c r="B126" s="137" t="s">
        <v>274</v>
      </c>
      <c r="C126" s="200">
        <v>72094.8</v>
      </c>
      <c r="D126" s="201"/>
      <c r="E126" s="201"/>
      <c r="F126" s="202"/>
    </row>
    <row r="127" spans="1:9" ht="30">
      <c r="B127" s="137" t="s">
        <v>275</v>
      </c>
      <c r="C127" s="200">
        <f>I101-I99</f>
        <v>71746.031918333334</v>
      </c>
      <c r="D127" s="201"/>
      <c r="E127" s="201"/>
      <c r="F127" s="202"/>
    </row>
    <row r="128" spans="1:9" ht="30">
      <c r="B128" s="137" t="s">
        <v>207</v>
      </c>
      <c r="C128" s="200">
        <f>I99</f>
        <v>4155.4485999999997</v>
      </c>
      <c r="D128" s="201"/>
      <c r="E128" s="201"/>
      <c r="F128" s="202"/>
    </row>
    <row r="129" spans="2:6">
      <c r="B129" s="138" t="s">
        <v>276</v>
      </c>
      <c r="C129" s="200">
        <v>82410.11</v>
      </c>
      <c r="D129" s="201"/>
      <c r="E129" s="201"/>
      <c r="F129" s="202"/>
    </row>
    <row r="130" spans="2:6" ht="63">
      <c r="B130" s="139" t="s">
        <v>277</v>
      </c>
      <c r="C130" s="203">
        <v>214038.45</v>
      </c>
      <c r="D130" s="204"/>
      <c r="E130" s="204"/>
      <c r="F130" s="205"/>
    </row>
    <row r="131" spans="2:6" ht="30">
      <c r="B131" s="137" t="s">
        <v>278</v>
      </c>
      <c r="C131" s="197">
        <f>C127+C128-C126</f>
        <v>3806.6805183333345</v>
      </c>
      <c r="D131" s="198"/>
      <c r="E131" s="198"/>
      <c r="F131" s="199"/>
    </row>
  </sheetData>
  <mergeCells count="35">
    <mergeCell ref="C131:F131"/>
    <mergeCell ref="A102:I102"/>
    <mergeCell ref="C126:F126"/>
    <mergeCell ref="C127:F127"/>
    <mergeCell ref="C128:F128"/>
    <mergeCell ref="C129:F129"/>
    <mergeCell ref="C130:F130"/>
    <mergeCell ref="A109:I109"/>
    <mergeCell ref="A108:I108"/>
    <mergeCell ref="A120:I120"/>
    <mergeCell ref="A121:I121"/>
    <mergeCell ref="A122:I122"/>
    <mergeCell ref="A123:I123"/>
    <mergeCell ref="A111:I111"/>
    <mergeCell ref="C113:E113"/>
    <mergeCell ref="C114:E114"/>
    <mergeCell ref="A14:I14"/>
    <mergeCell ref="A3:I3"/>
    <mergeCell ref="A4:I4"/>
    <mergeCell ref="A5:I5"/>
    <mergeCell ref="A8:I8"/>
    <mergeCell ref="A10:I10"/>
    <mergeCell ref="A15:I15"/>
    <mergeCell ref="A29:I29"/>
    <mergeCell ref="A47:I47"/>
    <mergeCell ref="A58:I58"/>
    <mergeCell ref="A87:I87"/>
    <mergeCell ref="C116:E116"/>
    <mergeCell ref="C117:E117"/>
    <mergeCell ref="A119:I119"/>
    <mergeCell ref="A91:I91"/>
    <mergeCell ref="A103:I103"/>
    <mergeCell ref="B104:G104"/>
    <mergeCell ref="B105:G105"/>
    <mergeCell ref="A107:I10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27"/>
  <sheetViews>
    <sheetView topLeftCell="A114" workbookViewId="0">
      <selection activeCell="K100" sqref="K100"/>
    </sheetView>
  </sheetViews>
  <sheetFormatPr defaultRowHeight="15"/>
  <cols>
    <col min="2" max="2" width="54.42578125" customWidth="1"/>
    <col min="3" max="4" width="18.42578125" customWidth="1"/>
    <col min="5" max="6" width="0" hidden="1" customWidth="1"/>
    <col min="7" max="7" width="18.42578125" customWidth="1"/>
    <col min="8" max="8" width="0" hidden="1" customWidth="1"/>
    <col min="9" max="9" width="17.85546875" customWidth="1"/>
  </cols>
  <sheetData>
    <row r="1" spans="1:9" ht="15.75">
      <c r="A1" s="27" t="s">
        <v>85</v>
      </c>
      <c r="I1" s="26"/>
    </row>
    <row r="2" spans="1:9" ht="15.75">
      <c r="A2" s="28" t="s">
        <v>62</v>
      </c>
    </row>
    <row r="3" spans="1:9" ht="15.75">
      <c r="A3" s="179" t="s">
        <v>200</v>
      </c>
      <c r="B3" s="179"/>
      <c r="C3" s="179"/>
      <c r="D3" s="179"/>
      <c r="E3" s="179"/>
      <c r="F3" s="179"/>
      <c r="G3" s="179"/>
      <c r="H3" s="179"/>
      <c r="I3" s="179"/>
    </row>
    <row r="4" spans="1:9" ht="30" customHeight="1">
      <c r="A4" s="180" t="s">
        <v>128</v>
      </c>
      <c r="B4" s="180"/>
      <c r="C4" s="180"/>
      <c r="D4" s="180"/>
      <c r="E4" s="180"/>
      <c r="F4" s="180"/>
      <c r="G4" s="180"/>
      <c r="H4" s="180"/>
      <c r="I4" s="180"/>
    </row>
    <row r="5" spans="1:9" ht="15.75">
      <c r="A5" s="179" t="s">
        <v>197</v>
      </c>
      <c r="B5" s="181"/>
      <c r="C5" s="181"/>
      <c r="D5" s="181"/>
      <c r="E5" s="181"/>
      <c r="F5" s="181"/>
      <c r="G5" s="181"/>
      <c r="H5" s="181"/>
      <c r="I5" s="181"/>
    </row>
    <row r="6" spans="1:9" ht="15.75">
      <c r="A6" s="2"/>
      <c r="B6" s="126"/>
      <c r="C6" s="126"/>
      <c r="D6" s="126"/>
      <c r="E6" s="126"/>
      <c r="F6" s="126"/>
      <c r="G6" s="126"/>
      <c r="H6" s="126"/>
      <c r="I6" s="125">
        <v>43251</v>
      </c>
    </row>
    <row r="7" spans="1:9" ht="15.75">
      <c r="B7" s="129"/>
      <c r="C7" s="129"/>
      <c r="D7" s="129"/>
      <c r="E7" s="3"/>
      <c r="F7" s="3"/>
      <c r="G7" s="3"/>
      <c r="H7" s="3"/>
    </row>
    <row r="8" spans="1:9" ht="78" customHeight="1">
      <c r="A8" s="182" t="s">
        <v>154</v>
      </c>
      <c r="B8" s="182"/>
      <c r="C8" s="182"/>
      <c r="D8" s="182"/>
      <c r="E8" s="182"/>
      <c r="F8" s="182"/>
      <c r="G8" s="182"/>
      <c r="H8" s="182"/>
      <c r="I8" s="182"/>
    </row>
    <row r="9" spans="1:9" ht="15.75">
      <c r="A9" s="4"/>
    </row>
    <row r="10" spans="1:9" ht="51" customHeight="1">
      <c r="A10" s="183" t="s">
        <v>143</v>
      </c>
      <c r="B10" s="183"/>
      <c r="C10" s="183"/>
      <c r="D10" s="183"/>
      <c r="E10" s="183"/>
      <c r="F10" s="183"/>
      <c r="G10" s="183"/>
      <c r="H10" s="183"/>
      <c r="I10" s="183"/>
    </row>
    <row r="11" spans="1:9" ht="15.75">
      <c r="A11" s="4"/>
    </row>
    <row r="12" spans="1:9" ht="66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84" t="s">
        <v>59</v>
      </c>
      <c r="B14" s="184"/>
      <c r="C14" s="184"/>
      <c r="D14" s="184"/>
      <c r="E14" s="184"/>
      <c r="F14" s="184"/>
      <c r="G14" s="184"/>
      <c r="H14" s="184"/>
      <c r="I14" s="184"/>
    </row>
    <row r="15" spans="1:9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</row>
    <row r="16" spans="1:9" ht="32.25" customHeight="1">
      <c r="A16" s="29">
        <v>1</v>
      </c>
      <c r="B16" s="75" t="s">
        <v>244</v>
      </c>
      <c r="C16" s="76" t="s">
        <v>87</v>
      </c>
      <c r="D16" s="75" t="s">
        <v>233</v>
      </c>
      <c r="E16" s="77">
        <v>49.72</v>
      </c>
      <c r="F16" s="78">
        <f>SUM(E16*156/100)</f>
        <v>77.563199999999995</v>
      </c>
      <c r="G16" s="78">
        <v>230</v>
      </c>
      <c r="H16" s="79">
        <f t="shared" ref="H16:H25" si="0">SUM(F16*G16/1000)</f>
        <v>17.839535999999999</v>
      </c>
      <c r="I16" s="13">
        <f>F16/12*G16</f>
        <v>1486.6279999999999</v>
      </c>
    </row>
    <row r="17" spans="1:9" ht="28.5" customHeight="1">
      <c r="A17" s="29">
        <v>2</v>
      </c>
      <c r="B17" s="75" t="s">
        <v>245</v>
      </c>
      <c r="C17" s="76" t="s">
        <v>87</v>
      </c>
      <c r="D17" s="75" t="s">
        <v>210</v>
      </c>
      <c r="E17" s="77">
        <v>198.88</v>
      </c>
      <c r="F17" s="78">
        <f>SUM(E17*104/100)</f>
        <v>206.83520000000001</v>
      </c>
      <c r="G17" s="78">
        <v>230</v>
      </c>
      <c r="H17" s="79">
        <f t="shared" si="0"/>
        <v>47.572096000000002</v>
      </c>
      <c r="I17" s="13">
        <f>198.88/100*12*G17</f>
        <v>5489.0879999999997</v>
      </c>
    </row>
    <row r="18" spans="1:9" ht="30">
      <c r="A18" s="29">
        <v>3</v>
      </c>
      <c r="B18" s="75" t="s">
        <v>229</v>
      </c>
      <c r="C18" s="76" t="s">
        <v>87</v>
      </c>
      <c r="D18" s="75" t="s">
        <v>209</v>
      </c>
      <c r="E18" s="77">
        <v>248.6</v>
      </c>
      <c r="F18" s="78">
        <f>SUM(E18*24/100)</f>
        <v>59.663999999999994</v>
      </c>
      <c r="G18" s="78">
        <v>661.67</v>
      </c>
      <c r="H18" s="79">
        <f t="shared" si="0"/>
        <v>39.477878879999999</v>
      </c>
      <c r="I18" s="13">
        <f>F18/12*G18</f>
        <v>3289.8232399999993</v>
      </c>
    </row>
    <row r="19" spans="1:9" hidden="1">
      <c r="A19" s="29">
        <v>4</v>
      </c>
      <c r="B19" s="75" t="s">
        <v>94</v>
      </c>
      <c r="C19" s="76" t="s">
        <v>95</v>
      </c>
      <c r="D19" s="75" t="s">
        <v>96</v>
      </c>
      <c r="E19" s="77">
        <v>18.48</v>
      </c>
      <c r="F19" s="78">
        <f>SUM(E19/10)</f>
        <v>1.8480000000000001</v>
      </c>
      <c r="G19" s="78">
        <v>223.17</v>
      </c>
      <c r="H19" s="79">
        <f t="shared" si="0"/>
        <v>0.41241815999999998</v>
      </c>
      <c r="I19" s="13">
        <f>1.848*G19</f>
        <v>412.41816</v>
      </c>
    </row>
    <row r="20" spans="1:9">
      <c r="A20" s="29">
        <v>5</v>
      </c>
      <c r="B20" s="75" t="s">
        <v>97</v>
      </c>
      <c r="C20" s="76" t="s">
        <v>87</v>
      </c>
      <c r="D20" s="75" t="s">
        <v>230</v>
      </c>
      <c r="E20" s="77">
        <v>10.5</v>
      </c>
      <c r="F20" s="78">
        <f>SUM(E20*12/100)</f>
        <v>1.26</v>
      </c>
      <c r="G20" s="78">
        <v>285.76</v>
      </c>
      <c r="H20" s="79">
        <f t="shared" si="0"/>
        <v>0.36005759999999998</v>
      </c>
      <c r="I20" s="13">
        <f>F20/12*G20</f>
        <v>30.004799999999999</v>
      </c>
    </row>
    <row r="21" spans="1:9" hidden="1">
      <c r="A21" s="29">
        <v>6</v>
      </c>
      <c r="B21" s="75" t="s">
        <v>98</v>
      </c>
      <c r="C21" s="76" t="s">
        <v>87</v>
      </c>
      <c r="D21" s="75" t="s">
        <v>42</v>
      </c>
      <c r="E21" s="77">
        <v>3</v>
      </c>
      <c r="F21" s="78">
        <f>SUM(E21*2/100)</f>
        <v>0.06</v>
      </c>
      <c r="G21" s="78">
        <v>283.44</v>
      </c>
      <c r="H21" s="79">
        <f t="shared" si="0"/>
        <v>1.7006399999999998E-2</v>
      </c>
      <c r="I21" s="13">
        <f>0.03*G21</f>
        <v>8.5031999999999996</v>
      </c>
    </row>
    <row r="22" spans="1:9" hidden="1">
      <c r="A22" s="29">
        <v>7</v>
      </c>
      <c r="B22" s="75" t="s">
        <v>99</v>
      </c>
      <c r="C22" s="76" t="s">
        <v>53</v>
      </c>
      <c r="D22" s="75" t="s">
        <v>96</v>
      </c>
      <c r="E22" s="77">
        <v>267.75</v>
      </c>
      <c r="F22" s="78">
        <f>SUM(E22/100)</f>
        <v>2.6775000000000002</v>
      </c>
      <c r="G22" s="78">
        <v>353.14</v>
      </c>
      <c r="H22" s="79">
        <f t="shared" si="0"/>
        <v>0.94553235000000002</v>
      </c>
      <c r="I22" s="13">
        <f>2.6775*G22</f>
        <v>945.53235000000006</v>
      </c>
    </row>
    <row r="23" spans="1:9" hidden="1">
      <c r="A23" s="29">
        <v>8</v>
      </c>
      <c r="B23" s="75" t="s">
        <v>100</v>
      </c>
      <c r="C23" s="76" t="s">
        <v>53</v>
      </c>
      <c r="D23" s="75" t="s">
        <v>96</v>
      </c>
      <c r="E23" s="80">
        <v>36.229999999999997</v>
      </c>
      <c r="F23" s="78">
        <f>SUM(E23/100)</f>
        <v>0.36229999999999996</v>
      </c>
      <c r="G23" s="78">
        <v>58.08</v>
      </c>
      <c r="H23" s="79">
        <f t="shared" si="0"/>
        <v>2.1042383999999997E-2</v>
      </c>
      <c r="I23" s="13">
        <f>0.3623*G23</f>
        <v>21.042383999999998</v>
      </c>
    </row>
    <row r="24" spans="1:9" hidden="1">
      <c r="A24" s="29">
        <v>9</v>
      </c>
      <c r="B24" s="75" t="s">
        <v>101</v>
      </c>
      <c r="C24" s="76" t="s">
        <v>53</v>
      </c>
      <c r="D24" s="75" t="s">
        <v>54</v>
      </c>
      <c r="E24" s="77">
        <v>15</v>
      </c>
      <c r="F24" s="78">
        <f>SUM(E24/100)</f>
        <v>0.15</v>
      </c>
      <c r="G24" s="78">
        <v>511.12</v>
      </c>
      <c r="H24" s="79">
        <f t="shared" si="0"/>
        <v>7.6667999999999986E-2</v>
      </c>
      <c r="I24" s="13">
        <f>0.15*G24</f>
        <v>76.667999999999992</v>
      </c>
    </row>
    <row r="25" spans="1:9" hidden="1">
      <c r="A25" s="29">
        <v>10</v>
      </c>
      <c r="B25" s="75" t="s">
        <v>102</v>
      </c>
      <c r="C25" s="76" t="s">
        <v>53</v>
      </c>
      <c r="D25" s="75" t="s">
        <v>54</v>
      </c>
      <c r="E25" s="77">
        <v>6.38</v>
      </c>
      <c r="F25" s="78">
        <f>SUM(E25/100)</f>
        <v>6.3799999999999996E-2</v>
      </c>
      <c r="G25" s="78">
        <v>683.05</v>
      </c>
      <c r="H25" s="79">
        <f t="shared" si="0"/>
        <v>4.3578589999999993E-2</v>
      </c>
      <c r="I25" s="13">
        <f>0.0638*G25</f>
        <v>43.578589999999991</v>
      </c>
    </row>
    <row r="26" spans="1:9" hidden="1">
      <c r="A26" s="29">
        <v>11</v>
      </c>
      <c r="B26" s="75" t="s">
        <v>122</v>
      </c>
      <c r="C26" s="76" t="s">
        <v>53</v>
      </c>
      <c r="D26" s="75" t="s">
        <v>54</v>
      </c>
      <c r="E26" s="77">
        <v>14.25</v>
      </c>
      <c r="F26" s="78">
        <v>0.14000000000000001</v>
      </c>
      <c r="G26" s="78">
        <v>283.44</v>
      </c>
      <c r="H26" s="79">
        <f>G26*F26/1000</f>
        <v>3.9681600000000004E-2</v>
      </c>
      <c r="I26" s="13">
        <f>0.14*G26</f>
        <v>39.681600000000003</v>
      </c>
    </row>
    <row r="27" spans="1:9">
      <c r="A27" s="29">
        <v>12</v>
      </c>
      <c r="B27" s="75" t="s">
        <v>64</v>
      </c>
      <c r="C27" s="76" t="s">
        <v>33</v>
      </c>
      <c r="D27" s="75" t="s">
        <v>63</v>
      </c>
      <c r="E27" s="82">
        <v>0.1</v>
      </c>
      <c r="F27" s="78">
        <f>SUM(E27*155)</f>
        <v>15.5</v>
      </c>
      <c r="G27" s="78">
        <v>264.85000000000002</v>
      </c>
      <c r="H27" s="79">
        <f>SUM(F27*G27/1000)</f>
        <v>4.105175</v>
      </c>
      <c r="I27" s="13">
        <f>F27/12*G27</f>
        <v>342.09791666666672</v>
      </c>
    </row>
    <row r="28" spans="1:9">
      <c r="A28" s="29">
        <v>13</v>
      </c>
      <c r="B28" s="83" t="s">
        <v>23</v>
      </c>
      <c r="C28" s="76" t="s">
        <v>24</v>
      </c>
      <c r="D28" s="83" t="s">
        <v>136</v>
      </c>
      <c r="E28" s="77">
        <v>2626.5</v>
      </c>
      <c r="F28" s="78">
        <f>SUM(E28*12)</f>
        <v>31518</v>
      </c>
      <c r="G28" s="78">
        <v>3.36</v>
      </c>
      <c r="H28" s="79">
        <f>SUM(F28*G28/1000)</f>
        <v>105.90048</v>
      </c>
      <c r="I28" s="13">
        <f t="shared" ref="I28" si="1">F28/12*G28</f>
        <v>8825.0399999999991</v>
      </c>
    </row>
    <row r="29" spans="1:9">
      <c r="A29" s="185" t="s">
        <v>84</v>
      </c>
      <c r="B29" s="185"/>
      <c r="C29" s="185"/>
      <c r="D29" s="185"/>
      <c r="E29" s="185"/>
      <c r="F29" s="185"/>
      <c r="G29" s="185"/>
      <c r="H29" s="185"/>
      <c r="I29" s="185"/>
    </row>
    <row r="30" spans="1:9">
      <c r="A30" s="29"/>
      <c r="B30" s="106" t="s">
        <v>28</v>
      </c>
      <c r="C30" s="76"/>
      <c r="D30" s="75"/>
      <c r="E30" s="77"/>
      <c r="F30" s="78"/>
      <c r="G30" s="78"/>
      <c r="H30" s="79"/>
      <c r="I30" s="13"/>
    </row>
    <row r="31" spans="1:9">
      <c r="A31" s="29">
        <v>14</v>
      </c>
      <c r="B31" s="75" t="s">
        <v>104</v>
      </c>
      <c r="C31" s="76" t="s">
        <v>89</v>
      </c>
      <c r="D31" s="75" t="s">
        <v>149</v>
      </c>
      <c r="E31" s="78">
        <v>665</v>
      </c>
      <c r="F31" s="78">
        <f>SUM(E31*52/1000)</f>
        <v>34.58</v>
      </c>
      <c r="G31" s="78">
        <v>204.44</v>
      </c>
      <c r="H31" s="79">
        <f t="shared" ref="H31:H37" si="2">SUM(F31*G31/1000)</f>
        <v>7.0695351999999989</v>
      </c>
      <c r="I31" s="13">
        <f t="shared" ref="I31:I32" si="3">F31/6*G31</f>
        <v>1178.2558666666666</v>
      </c>
    </row>
    <row r="32" spans="1:9" ht="30">
      <c r="A32" s="29">
        <v>15</v>
      </c>
      <c r="B32" s="75" t="s">
        <v>117</v>
      </c>
      <c r="C32" s="76" t="s">
        <v>89</v>
      </c>
      <c r="D32" s="75" t="s">
        <v>150</v>
      </c>
      <c r="E32" s="78">
        <v>81.5</v>
      </c>
      <c r="F32" s="78">
        <f>SUM(E32*78/1000)</f>
        <v>6.3570000000000002</v>
      </c>
      <c r="G32" s="78">
        <v>339.21</v>
      </c>
      <c r="H32" s="79">
        <f t="shared" si="2"/>
        <v>2.1563579700000002</v>
      </c>
      <c r="I32" s="13">
        <f t="shared" si="3"/>
        <v>359.39299500000004</v>
      </c>
    </row>
    <row r="33" spans="1:9">
      <c r="A33" s="29">
        <v>16</v>
      </c>
      <c r="B33" s="75" t="s">
        <v>27</v>
      </c>
      <c r="C33" s="76" t="s">
        <v>89</v>
      </c>
      <c r="D33" s="75" t="s">
        <v>54</v>
      </c>
      <c r="E33" s="78">
        <v>665</v>
      </c>
      <c r="F33" s="78">
        <f>SUM(E33/1000)</f>
        <v>0.66500000000000004</v>
      </c>
      <c r="G33" s="78">
        <v>3961.23</v>
      </c>
      <c r="H33" s="79">
        <f t="shared" si="2"/>
        <v>2.63421795</v>
      </c>
      <c r="I33" s="13">
        <f>F33*G33</f>
        <v>2634.2179500000002</v>
      </c>
    </row>
    <row r="34" spans="1:9">
      <c r="A34" s="29">
        <v>17</v>
      </c>
      <c r="B34" s="75" t="s">
        <v>116</v>
      </c>
      <c r="C34" s="76" t="s">
        <v>40</v>
      </c>
      <c r="D34" s="75" t="s">
        <v>63</v>
      </c>
      <c r="E34" s="78">
        <v>3</v>
      </c>
      <c r="F34" s="78">
        <f>E34*155/100</f>
        <v>4.6500000000000004</v>
      </c>
      <c r="G34" s="78">
        <v>1707.63</v>
      </c>
      <c r="H34" s="79">
        <f>G34*F34/1000</f>
        <v>7.9404795000000012</v>
      </c>
      <c r="I34" s="13">
        <f>F34/6*G34</f>
        <v>1323.4132500000001</v>
      </c>
    </row>
    <row r="35" spans="1:9">
      <c r="A35" s="29">
        <v>18</v>
      </c>
      <c r="B35" s="75" t="s">
        <v>103</v>
      </c>
      <c r="C35" s="76" t="s">
        <v>31</v>
      </c>
      <c r="D35" s="75" t="s">
        <v>63</v>
      </c>
      <c r="E35" s="81">
        <f>1/3</f>
        <v>0.33333333333333331</v>
      </c>
      <c r="F35" s="78">
        <f>155/3</f>
        <v>51.666666666666664</v>
      </c>
      <c r="G35" s="78">
        <v>74.349999999999994</v>
      </c>
      <c r="H35" s="79">
        <f>SUM(G35*155/3/1000)</f>
        <v>3.8414166666666665</v>
      </c>
      <c r="I35" s="13">
        <f>F35/6*G35</f>
        <v>640.23611111111109</v>
      </c>
    </row>
    <row r="36" spans="1:9" hidden="1">
      <c r="A36" s="29"/>
      <c r="B36" s="75" t="s">
        <v>65</v>
      </c>
      <c r="C36" s="76" t="s">
        <v>33</v>
      </c>
      <c r="D36" s="75" t="s">
        <v>67</v>
      </c>
      <c r="E36" s="77"/>
      <c r="F36" s="78">
        <v>1</v>
      </c>
      <c r="G36" s="78">
        <v>250.92</v>
      </c>
      <c r="H36" s="79">
        <f t="shared" si="2"/>
        <v>0.25091999999999998</v>
      </c>
      <c r="I36" s="13">
        <v>0</v>
      </c>
    </row>
    <row r="37" spans="1:9" hidden="1">
      <c r="A37" s="29"/>
      <c r="B37" s="75" t="s">
        <v>66</v>
      </c>
      <c r="C37" s="76" t="s">
        <v>32</v>
      </c>
      <c r="D37" s="75" t="s">
        <v>67</v>
      </c>
      <c r="E37" s="77"/>
      <c r="F37" s="78">
        <v>1</v>
      </c>
      <c r="G37" s="78">
        <v>1490.31</v>
      </c>
      <c r="H37" s="79">
        <f t="shared" si="2"/>
        <v>1.49031</v>
      </c>
      <c r="I37" s="13">
        <v>0</v>
      </c>
    </row>
    <row r="38" spans="1:9" hidden="1">
      <c r="A38" s="29"/>
      <c r="B38" s="106" t="s">
        <v>5</v>
      </c>
      <c r="C38" s="76"/>
      <c r="D38" s="75"/>
      <c r="E38" s="77"/>
      <c r="F38" s="78"/>
      <c r="G38" s="78"/>
      <c r="H38" s="79" t="s">
        <v>136</v>
      </c>
      <c r="I38" s="13"/>
    </row>
    <row r="39" spans="1:9" hidden="1">
      <c r="A39" s="29">
        <v>7</v>
      </c>
      <c r="B39" s="84" t="s">
        <v>26</v>
      </c>
      <c r="C39" s="76" t="s">
        <v>32</v>
      </c>
      <c r="D39" s="75"/>
      <c r="E39" s="77"/>
      <c r="F39" s="78">
        <v>5</v>
      </c>
      <c r="G39" s="78">
        <v>2003</v>
      </c>
      <c r="H39" s="79">
        <f t="shared" ref="H39:H46" si="4">SUM(F39*G39/1000)</f>
        <v>10.015000000000001</v>
      </c>
      <c r="I39" s="13">
        <f t="shared" ref="I39:I43" si="5">F39/6*G39</f>
        <v>1669.1666666666667</v>
      </c>
    </row>
    <row r="40" spans="1:9" hidden="1">
      <c r="A40" s="29">
        <v>8</v>
      </c>
      <c r="B40" s="84" t="s">
        <v>105</v>
      </c>
      <c r="C40" s="85" t="s">
        <v>29</v>
      </c>
      <c r="D40" s="75" t="s">
        <v>123</v>
      </c>
      <c r="E40" s="77">
        <v>81.5</v>
      </c>
      <c r="F40" s="86">
        <f>E40*30/1000</f>
        <v>2.4449999999999998</v>
      </c>
      <c r="G40" s="78">
        <v>2757.78</v>
      </c>
      <c r="H40" s="79">
        <f t="shared" si="4"/>
        <v>6.7427720999999998</v>
      </c>
      <c r="I40" s="13">
        <f t="shared" si="5"/>
        <v>1123.7953500000001</v>
      </c>
    </row>
    <row r="41" spans="1:9" hidden="1">
      <c r="A41" s="29">
        <v>9</v>
      </c>
      <c r="B41" s="75" t="s">
        <v>68</v>
      </c>
      <c r="C41" s="76" t="s">
        <v>29</v>
      </c>
      <c r="D41" s="75" t="s">
        <v>88</v>
      </c>
      <c r="E41" s="78">
        <v>81.5</v>
      </c>
      <c r="F41" s="86">
        <f>SUM(E41*155/1000)</f>
        <v>12.6325</v>
      </c>
      <c r="G41" s="78">
        <v>460.02</v>
      </c>
      <c r="H41" s="79">
        <f t="shared" si="4"/>
        <v>5.8112026500000002</v>
      </c>
      <c r="I41" s="13">
        <f t="shared" si="5"/>
        <v>968.53377499999999</v>
      </c>
    </row>
    <row r="42" spans="1:9" hidden="1">
      <c r="A42" s="29"/>
      <c r="B42" s="75" t="s">
        <v>118</v>
      </c>
      <c r="C42" s="76" t="s">
        <v>119</v>
      </c>
      <c r="D42" s="75" t="s">
        <v>67</v>
      </c>
      <c r="E42" s="77"/>
      <c r="F42" s="86">
        <v>26</v>
      </c>
      <c r="G42" s="78">
        <v>314</v>
      </c>
      <c r="H42" s="79">
        <f t="shared" si="4"/>
        <v>8.1639999999999997</v>
      </c>
      <c r="I42" s="13">
        <v>0</v>
      </c>
    </row>
    <row r="43" spans="1:9" ht="45" hidden="1">
      <c r="A43" s="29">
        <v>10</v>
      </c>
      <c r="B43" s="75" t="s">
        <v>82</v>
      </c>
      <c r="C43" s="76" t="s">
        <v>89</v>
      </c>
      <c r="D43" s="75" t="s">
        <v>124</v>
      </c>
      <c r="E43" s="78">
        <v>81.5</v>
      </c>
      <c r="F43" s="86">
        <f>SUM(E43*35/1000)</f>
        <v>2.8525</v>
      </c>
      <c r="G43" s="78">
        <v>7611.16</v>
      </c>
      <c r="H43" s="79">
        <f t="shared" si="4"/>
        <v>21.710833900000001</v>
      </c>
      <c r="I43" s="13">
        <f t="shared" si="5"/>
        <v>3618.4723166666663</v>
      </c>
    </row>
    <row r="44" spans="1:9" hidden="1">
      <c r="A44" s="29">
        <v>11</v>
      </c>
      <c r="B44" s="75" t="s">
        <v>90</v>
      </c>
      <c r="C44" s="76" t="s">
        <v>89</v>
      </c>
      <c r="D44" s="75" t="s">
        <v>69</v>
      </c>
      <c r="E44" s="78">
        <v>81.5</v>
      </c>
      <c r="F44" s="86">
        <f>SUM(E44*45/1000)</f>
        <v>3.6675</v>
      </c>
      <c r="G44" s="78">
        <v>562.25</v>
      </c>
      <c r="H44" s="79">
        <f t="shared" si="4"/>
        <v>2.0620518750000003</v>
      </c>
      <c r="I44" s="13">
        <f>(F44/7.5*1.5)*G44</f>
        <v>412.41037500000004</v>
      </c>
    </row>
    <row r="45" spans="1:9" hidden="1">
      <c r="A45" s="29">
        <v>12</v>
      </c>
      <c r="B45" s="84" t="s">
        <v>70</v>
      </c>
      <c r="C45" s="85" t="s">
        <v>33</v>
      </c>
      <c r="D45" s="84"/>
      <c r="E45" s="82"/>
      <c r="F45" s="86">
        <v>0.9</v>
      </c>
      <c r="G45" s="86">
        <v>974.83</v>
      </c>
      <c r="H45" s="79">
        <f t="shared" si="4"/>
        <v>0.8773470000000001</v>
      </c>
      <c r="I45" s="13">
        <f>(F45/7.5*1.5)*G45</f>
        <v>175.46940000000004</v>
      </c>
    </row>
    <row r="46" spans="1:9" ht="30" hidden="1">
      <c r="A46" s="29">
        <v>13</v>
      </c>
      <c r="B46" s="47" t="s">
        <v>156</v>
      </c>
      <c r="C46" s="48" t="s">
        <v>29</v>
      </c>
      <c r="D46" s="84" t="s">
        <v>157</v>
      </c>
      <c r="E46" s="82">
        <v>2.4</v>
      </c>
      <c r="F46" s="86">
        <f>SUM(E46*12/1000)</f>
        <v>2.8799999999999996E-2</v>
      </c>
      <c r="G46" s="86">
        <v>260.2</v>
      </c>
      <c r="H46" s="79">
        <f t="shared" si="4"/>
        <v>7.4937599999999986E-3</v>
      </c>
      <c r="I46" s="13">
        <f>F46/6*G46</f>
        <v>1.2489599999999998</v>
      </c>
    </row>
    <row r="47" spans="1:9">
      <c r="A47" s="186" t="s">
        <v>129</v>
      </c>
      <c r="B47" s="187"/>
      <c r="C47" s="187"/>
      <c r="D47" s="187"/>
      <c r="E47" s="187"/>
      <c r="F47" s="187"/>
      <c r="G47" s="187"/>
      <c r="H47" s="187"/>
      <c r="I47" s="188"/>
    </row>
    <row r="48" spans="1:9">
      <c r="A48" s="29">
        <v>19</v>
      </c>
      <c r="B48" s="75" t="s">
        <v>125</v>
      </c>
      <c r="C48" s="76" t="s">
        <v>89</v>
      </c>
      <c r="D48" s="75" t="s">
        <v>206</v>
      </c>
      <c r="E48" s="77">
        <v>1080</v>
      </c>
      <c r="F48" s="78">
        <f>SUM(E48*2/1000)</f>
        <v>2.16</v>
      </c>
      <c r="G48" s="33">
        <v>1172.4100000000001</v>
      </c>
      <c r="H48" s="79">
        <f t="shared" ref="H48:H56" si="6">SUM(F48*G48/1000)</f>
        <v>2.5324056000000006</v>
      </c>
      <c r="I48" s="13">
        <f t="shared" ref="I48:I51" si="7">F48/2*G48</f>
        <v>1266.2028000000003</v>
      </c>
    </row>
    <row r="49" spans="1:9">
      <c r="A49" s="29">
        <v>20</v>
      </c>
      <c r="B49" s="75" t="s">
        <v>35</v>
      </c>
      <c r="C49" s="76" t="s">
        <v>89</v>
      </c>
      <c r="D49" s="75" t="s">
        <v>206</v>
      </c>
      <c r="E49" s="77">
        <v>39</v>
      </c>
      <c r="F49" s="78">
        <f>SUM(E49*2/1000)</f>
        <v>7.8E-2</v>
      </c>
      <c r="G49" s="33">
        <v>4419.05</v>
      </c>
      <c r="H49" s="79">
        <f t="shared" si="6"/>
        <v>0.34468589999999999</v>
      </c>
      <c r="I49" s="13">
        <f t="shared" si="7"/>
        <v>172.34295</v>
      </c>
    </row>
    <row r="50" spans="1:9">
      <c r="A50" s="29">
        <v>21</v>
      </c>
      <c r="B50" s="75" t="s">
        <v>36</v>
      </c>
      <c r="C50" s="76" t="s">
        <v>89</v>
      </c>
      <c r="D50" s="75" t="s">
        <v>231</v>
      </c>
      <c r="E50" s="77">
        <v>1037</v>
      </c>
      <c r="F50" s="78">
        <f>SUM(E50*2/1000)</f>
        <v>2.0739999999999998</v>
      </c>
      <c r="G50" s="33">
        <v>1803.69</v>
      </c>
      <c r="H50" s="79">
        <f t="shared" si="6"/>
        <v>3.7408530600000001</v>
      </c>
      <c r="I50" s="13">
        <f t="shared" si="7"/>
        <v>1870.42653</v>
      </c>
    </row>
    <row r="51" spans="1:9">
      <c r="A51" s="29">
        <v>22</v>
      </c>
      <c r="B51" s="75" t="s">
        <v>37</v>
      </c>
      <c r="C51" s="76" t="s">
        <v>89</v>
      </c>
      <c r="D51" s="75" t="s">
        <v>206</v>
      </c>
      <c r="E51" s="77">
        <v>2274</v>
      </c>
      <c r="F51" s="78">
        <f>SUM(E51*2/1000)</f>
        <v>4.548</v>
      </c>
      <c r="G51" s="33">
        <v>1243.43</v>
      </c>
      <c r="H51" s="79">
        <f t="shared" si="6"/>
        <v>5.6551196399999997</v>
      </c>
      <c r="I51" s="13">
        <f t="shared" si="7"/>
        <v>2827.5598199999999</v>
      </c>
    </row>
    <row r="52" spans="1:9">
      <c r="A52" s="29">
        <v>23</v>
      </c>
      <c r="B52" s="75" t="s">
        <v>34</v>
      </c>
      <c r="C52" s="76" t="s">
        <v>53</v>
      </c>
      <c r="D52" s="75" t="s">
        <v>206</v>
      </c>
      <c r="E52" s="77">
        <v>83.04</v>
      </c>
      <c r="F52" s="78">
        <v>1.66</v>
      </c>
      <c r="G52" s="33">
        <v>1352.76</v>
      </c>
      <c r="H52" s="79">
        <f>SUM(F52*G52/1000)</f>
        <v>2.2455816</v>
      </c>
      <c r="I52" s="13">
        <f>F52/2*G52</f>
        <v>1122.7908</v>
      </c>
    </row>
    <row r="53" spans="1:9">
      <c r="A53" s="29">
        <v>24</v>
      </c>
      <c r="B53" s="75" t="s">
        <v>256</v>
      </c>
      <c r="C53" s="76" t="s">
        <v>89</v>
      </c>
      <c r="D53" s="75" t="s">
        <v>206</v>
      </c>
      <c r="E53" s="77">
        <v>2626.5</v>
      </c>
      <c r="F53" s="78">
        <f>SUM(E53*5/1000)</f>
        <v>13.1325</v>
      </c>
      <c r="G53" s="33">
        <v>1803.69</v>
      </c>
      <c r="H53" s="79">
        <f t="shared" ref="H53:H55" si="8">SUM(F53*G53/1000)</f>
        <v>23.686958925000003</v>
      </c>
      <c r="I53" s="13">
        <f>F53/5*G53</f>
        <v>4737.3917849999998</v>
      </c>
    </row>
    <row r="54" spans="1:9" ht="30">
      <c r="A54" s="29">
        <v>25</v>
      </c>
      <c r="B54" s="75" t="s">
        <v>91</v>
      </c>
      <c r="C54" s="76" t="s">
        <v>89</v>
      </c>
      <c r="D54" s="75" t="s">
        <v>206</v>
      </c>
      <c r="E54" s="77">
        <v>2626.5</v>
      </c>
      <c r="F54" s="78">
        <f>SUM(E54*2/1000)</f>
        <v>5.2530000000000001</v>
      </c>
      <c r="G54" s="33">
        <v>1591.6</v>
      </c>
      <c r="H54" s="79">
        <f t="shared" si="8"/>
        <v>8.3606747999999982</v>
      </c>
      <c r="I54" s="13">
        <f>F54/2*G54</f>
        <v>4180.3373999999994</v>
      </c>
    </row>
    <row r="55" spans="1:9" ht="30">
      <c r="A55" s="29">
        <v>26</v>
      </c>
      <c r="B55" s="75" t="s">
        <v>92</v>
      </c>
      <c r="C55" s="76" t="s">
        <v>38</v>
      </c>
      <c r="D55" s="75" t="s">
        <v>206</v>
      </c>
      <c r="E55" s="77">
        <v>15</v>
      </c>
      <c r="F55" s="78">
        <f>SUM(E55*2/100)</f>
        <v>0.3</v>
      </c>
      <c r="G55" s="33">
        <v>4058.32</v>
      </c>
      <c r="H55" s="79">
        <f t="shared" si="8"/>
        <v>1.2174960000000001</v>
      </c>
      <c r="I55" s="13">
        <f t="shared" ref="I55:I56" si="9">F55/2*G55</f>
        <v>608.74800000000005</v>
      </c>
    </row>
    <row r="56" spans="1:9">
      <c r="A56" s="29">
        <v>27</v>
      </c>
      <c r="B56" s="75" t="s">
        <v>39</v>
      </c>
      <c r="C56" s="76" t="s">
        <v>40</v>
      </c>
      <c r="D56" s="75" t="s">
        <v>206</v>
      </c>
      <c r="E56" s="77">
        <v>1</v>
      </c>
      <c r="F56" s="78">
        <v>0.02</v>
      </c>
      <c r="G56" s="33">
        <v>7412.92</v>
      </c>
      <c r="H56" s="79">
        <f t="shared" si="6"/>
        <v>0.14825839999999998</v>
      </c>
      <c r="I56" s="13">
        <f t="shared" si="9"/>
        <v>74.129199999999997</v>
      </c>
    </row>
    <row r="57" spans="1:9" hidden="1">
      <c r="A57" s="29">
        <v>14</v>
      </c>
      <c r="B57" s="75" t="s">
        <v>41</v>
      </c>
      <c r="C57" s="76" t="s">
        <v>106</v>
      </c>
      <c r="D57" s="75" t="s">
        <v>71</v>
      </c>
      <c r="E57" s="77">
        <v>90</v>
      </c>
      <c r="F57" s="78">
        <f>SUM(E57)*3</f>
        <v>270</v>
      </c>
      <c r="G57" s="74">
        <v>86.15</v>
      </c>
      <c r="H57" s="79">
        <f>SUM(F57*G57/1000)</f>
        <v>23.2605</v>
      </c>
      <c r="I57" s="13">
        <f>F57/3*G57</f>
        <v>7753.5000000000009</v>
      </c>
    </row>
    <row r="58" spans="1:9">
      <c r="A58" s="186" t="s">
        <v>130</v>
      </c>
      <c r="B58" s="187"/>
      <c r="C58" s="187"/>
      <c r="D58" s="187"/>
      <c r="E58" s="187"/>
      <c r="F58" s="187"/>
      <c r="G58" s="187"/>
      <c r="H58" s="187"/>
      <c r="I58" s="188"/>
    </row>
    <row r="59" spans="1:9" hidden="1">
      <c r="A59" s="29"/>
      <c r="B59" s="106" t="s">
        <v>43</v>
      </c>
      <c r="C59" s="76"/>
      <c r="D59" s="75"/>
      <c r="E59" s="77"/>
      <c r="F59" s="78"/>
      <c r="G59" s="78"/>
      <c r="H59" s="79"/>
      <c r="I59" s="13"/>
    </row>
    <row r="60" spans="1:9" ht="30" hidden="1">
      <c r="A60" s="29">
        <v>15</v>
      </c>
      <c r="B60" s="75" t="s">
        <v>195</v>
      </c>
      <c r="C60" s="76" t="s">
        <v>87</v>
      </c>
      <c r="D60" s="75" t="s">
        <v>107</v>
      </c>
      <c r="E60" s="77">
        <v>111</v>
      </c>
      <c r="F60" s="78">
        <f>SUM(E60*6/100)</f>
        <v>6.66</v>
      </c>
      <c r="G60" s="33">
        <v>2029.3</v>
      </c>
      <c r="H60" s="79">
        <f>SUM(F60*G60/1000)</f>
        <v>13.515138</v>
      </c>
      <c r="I60" s="13">
        <f>G60*0.76</f>
        <v>1542.268</v>
      </c>
    </row>
    <row r="61" spans="1:9" hidden="1">
      <c r="A61" s="29">
        <v>16</v>
      </c>
      <c r="B61" s="75" t="s">
        <v>194</v>
      </c>
      <c r="C61" s="76" t="s">
        <v>159</v>
      </c>
      <c r="D61" s="75" t="s">
        <v>67</v>
      </c>
      <c r="E61" s="77"/>
      <c r="F61" s="78">
        <v>3</v>
      </c>
      <c r="G61" s="33">
        <v>1582.05</v>
      </c>
      <c r="H61" s="79">
        <f>SUM(F61*G61/1000)</f>
        <v>4.7461499999999992</v>
      </c>
      <c r="I61" s="13">
        <f>G61*2</f>
        <v>3164.1</v>
      </c>
    </row>
    <row r="62" spans="1:9">
      <c r="A62" s="29"/>
      <c r="B62" s="107" t="s">
        <v>44</v>
      </c>
      <c r="C62" s="87"/>
      <c r="D62" s="88"/>
      <c r="E62" s="89"/>
      <c r="F62" s="90"/>
      <c r="G62" s="33"/>
      <c r="H62" s="91"/>
      <c r="I62" s="13"/>
    </row>
    <row r="63" spans="1:9" hidden="1">
      <c r="A63" s="29"/>
      <c r="B63" s="88" t="s">
        <v>45</v>
      </c>
      <c r="C63" s="87" t="s">
        <v>53</v>
      </c>
      <c r="D63" s="88" t="s">
        <v>54</v>
      </c>
      <c r="E63" s="89">
        <v>130</v>
      </c>
      <c r="F63" s="90">
        <f>E63/100</f>
        <v>1.3</v>
      </c>
      <c r="G63" s="33">
        <v>1040.8399999999999</v>
      </c>
      <c r="H63" s="91">
        <f>F63*G63/1000</f>
        <v>1.353092</v>
      </c>
      <c r="I63" s="13">
        <v>0</v>
      </c>
    </row>
    <row r="64" spans="1:9">
      <c r="A64" s="29">
        <v>28</v>
      </c>
      <c r="B64" s="88" t="s">
        <v>120</v>
      </c>
      <c r="C64" s="87" t="s">
        <v>25</v>
      </c>
      <c r="D64" s="88" t="s">
        <v>205</v>
      </c>
      <c r="E64" s="89">
        <v>130</v>
      </c>
      <c r="F64" s="92">
        <f>E64*12</f>
        <v>1560</v>
      </c>
      <c r="G64" s="93">
        <v>1.2</v>
      </c>
      <c r="H64" s="90">
        <f>F64*G64/1000</f>
        <v>1.8720000000000001</v>
      </c>
      <c r="I64" s="13">
        <f t="shared" ref="I64" si="10">F64/12*G64</f>
        <v>156</v>
      </c>
    </row>
    <row r="65" spans="1:9">
      <c r="A65" s="29"/>
      <c r="B65" s="108" t="s">
        <v>46</v>
      </c>
      <c r="C65" s="87"/>
      <c r="D65" s="88"/>
      <c r="E65" s="89"/>
      <c r="F65" s="92"/>
      <c r="G65" s="92"/>
      <c r="H65" s="90" t="s">
        <v>136</v>
      </c>
      <c r="I65" s="13"/>
    </row>
    <row r="66" spans="1:9" hidden="1">
      <c r="A66" s="29"/>
      <c r="B66" s="94" t="s">
        <v>47</v>
      </c>
      <c r="C66" s="95" t="s">
        <v>106</v>
      </c>
      <c r="D66" s="75" t="s">
        <v>67</v>
      </c>
      <c r="E66" s="16">
        <v>9</v>
      </c>
      <c r="F66" s="74">
        <f>SUM(E66)</f>
        <v>9</v>
      </c>
      <c r="G66" s="33">
        <v>291.68</v>
      </c>
      <c r="H66" s="68">
        <f t="shared" ref="H66:H84" si="11">SUM(F66*G66/1000)</f>
        <v>2.6251199999999999</v>
      </c>
      <c r="I66" s="13">
        <v>0</v>
      </c>
    </row>
    <row r="67" spans="1:9" hidden="1">
      <c r="A67" s="29"/>
      <c r="B67" s="94" t="s">
        <v>48</v>
      </c>
      <c r="C67" s="95" t="s">
        <v>106</v>
      </c>
      <c r="D67" s="75" t="s">
        <v>67</v>
      </c>
      <c r="E67" s="16">
        <v>4</v>
      </c>
      <c r="F67" s="74">
        <f>SUM(E67)</f>
        <v>4</v>
      </c>
      <c r="G67" s="33">
        <v>100.01</v>
      </c>
      <c r="H67" s="68">
        <f t="shared" si="11"/>
        <v>0.40004000000000001</v>
      </c>
      <c r="I67" s="13">
        <v>0</v>
      </c>
    </row>
    <row r="68" spans="1:9">
      <c r="A68" s="29">
        <v>29</v>
      </c>
      <c r="B68" s="94" t="s">
        <v>49</v>
      </c>
      <c r="C68" s="96" t="s">
        <v>108</v>
      </c>
      <c r="D68" s="35" t="s">
        <v>205</v>
      </c>
      <c r="E68" s="77">
        <v>13287</v>
      </c>
      <c r="F68" s="74">
        <f>SUM(E68/100)</f>
        <v>132.87</v>
      </c>
      <c r="G68" s="33">
        <v>278.24</v>
      </c>
      <c r="H68" s="68">
        <f t="shared" si="11"/>
        <v>36.969748799999998</v>
      </c>
      <c r="I68" s="13">
        <f>132.87*G68</f>
        <v>36969.748800000001</v>
      </c>
    </row>
    <row r="69" spans="1:9">
      <c r="A69" s="29">
        <v>30</v>
      </c>
      <c r="B69" s="94" t="s">
        <v>50</v>
      </c>
      <c r="C69" s="95" t="s">
        <v>109</v>
      </c>
      <c r="D69" s="35" t="s">
        <v>205</v>
      </c>
      <c r="E69" s="77">
        <v>13287</v>
      </c>
      <c r="F69" s="33">
        <f>SUM(E69/1000)</f>
        <v>13.287000000000001</v>
      </c>
      <c r="G69" s="33">
        <v>216.68</v>
      </c>
      <c r="H69" s="68">
        <f t="shared" si="11"/>
        <v>2.8790271600000001</v>
      </c>
      <c r="I69" s="13">
        <f>13.287*G69</f>
        <v>2879.0271600000001</v>
      </c>
    </row>
    <row r="70" spans="1:9">
      <c r="A70" s="29">
        <v>31</v>
      </c>
      <c r="B70" s="94" t="s">
        <v>51</v>
      </c>
      <c r="C70" s="95" t="s">
        <v>76</v>
      </c>
      <c r="D70" s="35" t="s">
        <v>205</v>
      </c>
      <c r="E70" s="77">
        <v>2110</v>
      </c>
      <c r="F70" s="33">
        <f>SUM(E70/100)</f>
        <v>21.1</v>
      </c>
      <c r="G70" s="33">
        <v>2720.94</v>
      </c>
      <c r="H70" s="68">
        <f>SUM(F70*G70/1000)</f>
        <v>57.411834000000006</v>
      </c>
      <c r="I70" s="13">
        <f>21.1*G70</f>
        <v>57411.834000000003</v>
      </c>
    </row>
    <row r="71" spans="1:9">
      <c r="A71" s="29">
        <v>32</v>
      </c>
      <c r="B71" s="97" t="s">
        <v>110</v>
      </c>
      <c r="C71" s="95" t="s">
        <v>33</v>
      </c>
      <c r="D71" s="35"/>
      <c r="E71" s="77">
        <v>8.6</v>
      </c>
      <c r="F71" s="33">
        <f>SUM(E71)</f>
        <v>8.6</v>
      </c>
      <c r="G71" s="33">
        <v>42.61</v>
      </c>
      <c r="H71" s="68">
        <f t="shared" si="11"/>
        <v>0.36644599999999999</v>
      </c>
      <c r="I71" s="13">
        <f>8.6*G71</f>
        <v>366.44599999999997</v>
      </c>
    </row>
    <row r="72" spans="1:9">
      <c r="A72" s="29">
        <v>33</v>
      </c>
      <c r="B72" s="97" t="s">
        <v>111</v>
      </c>
      <c r="C72" s="95" t="s">
        <v>33</v>
      </c>
      <c r="D72" s="35"/>
      <c r="E72" s="77">
        <v>8.6</v>
      </c>
      <c r="F72" s="33">
        <f>SUM(E72)</f>
        <v>8.6</v>
      </c>
      <c r="G72" s="33">
        <v>46.04</v>
      </c>
      <c r="H72" s="68">
        <f t="shared" si="11"/>
        <v>0.39594399999999996</v>
      </c>
      <c r="I72" s="13">
        <f>8.6*G72</f>
        <v>395.94399999999996</v>
      </c>
    </row>
    <row r="73" spans="1:9" hidden="1">
      <c r="A73" s="29"/>
      <c r="B73" s="35" t="s">
        <v>57</v>
      </c>
      <c r="C73" s="95" t="s">
        <v>58</v>
      </c>
      <c r="D73" s="35" t="s">
        <v>54</v>
      </c>
      <c r="E73" s="16">
        <v>3</v>
      </c>
      <c r="F73" s="33">
        <f>SUM(E73)</f>
        <v>3</v>
      </c>
      <c r="G73" s="33">
        <v>65.42</v>
      </c>
      <c r="H73" s="68">
        <f t="shared" si="11"/>
        <v>0.19625999999999999</v>
      </c>
      <c r="I73" s="13">
        <f>3*G73</f>
        <v>196.26</v>
      </c>
    </row>
    <row r="74" spans="1:9">
      <c r="A74" s="29"/>
      <c r="B74" s="109" t="s">
        <v>72</v>
      </c>
      <c r="C74" s="95"/>
      <c r="D74" s="35"/>
      <c r="E74" s="16"/>
      <c r="F74" s="33"/>
      <c r="G74" s="33"/>
      <c r="H74" s="68" t="s">
        <v>136</v>
      </c>
      <c r="I74" s="13"/>
    </row>
    <row r="75" spans="1:9" ht="30" hidden="1">
      <c r="A75" s="29"/>
      <c r="B75" s="35" t="s">
        <v>160</v>
      </c>
      <c r="C75" s="95" t="s">
        <v>106</v>
      </c>
      <c r="D75" s="75" t="s">
        <v>67</v>
      </c>
      <c r="E75" s="16">
        <v>1</v>
      </c>
      <c r="F75" s="33">
        <v>1</v>
      </c>
      <c r="G75" s="33">
        <v>1543.4</v>
      </c>
      <c r="H75" s="68">
        <f t="shared" ref="H75:H77" si="12">SUM(F75*G75/1000)</f>
        <v>1.5434000000000001</v>
      </c>
      <c r="I75" s="13">
        <v>0</v>
      </c>
    </row>
    <row r="76" spans="1:9" hidden="1">
      <c r="A76" s="29">
        <v>17</v>
      </c>
      <c r="B76" s="35" t="s">
        <v>73</v>
      </c>
      <c r="C76" s="95" t="s">
        <v>74</v>
      </c>
      <c r="D76" s="75" t="s">
        <v>67</v>
      </c>
      <c r="E76" s="16">
        <v>3</v>
      </c>
      <c r="F76" s="33">
        <f>E76/10</f>
        <v>0.3</v>
      </c>
      <c r="G76" s="33">
        <v>657.87</v>
      </c>
      <c r="H76" s="68">
        <f t="shared" si="12"/>
        <v>0.19736099999999998</v>
      </c>
      <c r="I76" s="13">
        <f>G76*0.9</f>
        <v>592.08299999999997</v>
      </c>
    </row>
    <row r="77" spans="1:9" hidden="1">
      <c r="A77" s="29"/>
      <c r="B77" s="35" t="s">
        <v>161</v>
      </c>
      <c r="C77" s="95" t="s">
        <v>106</v>
      </c>
      <c r="D77" s="75" t="s">
        <v>67</v>
      </c>
      <c r="E77" s="16">
        <v>2</v>
      </c>
      <c r="F77" s="78">
        <f>SUM(E77)</f>
        <v>2</v>
      </c>
      <c r="G77" s="33">
        <v>1118.72</v>
      </c>
      <c r="H77" s="68">
        <f t="shared" si="12"/>
        <v>2.2374399999999999</v>
      </c>
      <c r="I77" s="13">
        <v>0</v>
      </c>
    </row>
    <row r="78" spans="1:9" hidden="1">
      <c r="A78" s="29"/>
      <c r="B78" s="47" t="s">
        <v>162</v>
      </c>
      <c r="C78" s="48" t="s">
        <v>106</v>
      </c>
      <c r="D78" s="75" t="s">
        <v>67</v>
      </c>
      <c r="E78" s="16">
        <v>1</v>
      </c>
      <c r="F78" s="93">
        <v>1</v>
      </c>
      <c r="G78" s="33">
        <v>1605.83</v>
      </c>
      <c r="H78" s="68">
        <f>SUM(F78*G78/1000)</f>
        <v>1.6058299999999999</v>
      </c>
      <c r="I78" s="13">
        <v>0</v>
      </c>
    </row>
    <row r="79" spans="1:9" ht="30">
      <c r="A79" s="29">
        <v>34</v>
      </c>
      <c r="B79" s="47" t="s">
        <v>163</v>
      </c>
      <c r="C79" s="48" t="s">
        <v>106</v>
      </c>
      <c r="D79" s="35" t="s">
        <v>205</v>
      </c>
      <c r="E79" s="98">
        <v>2</v>
      </c>
      <c r="F79" s="92">
        <f>E79*12</f>
        <v>24</v>
      </c>
      <c r="G79" s="99">
        <v>53.42</v>
      </c>
      <c r="H79" s="68">
        <f t="shared" ref="H79:H80" si="13">SUM(F79*G79/1000)</f>
        <v>1.2820799999999999</v>
      </c>
      <c r="I79" s="13">
        <f t="shared" ref="I79:I82" si="14">F79/12*G79</f>
        <v>106.84</v>
      </c>
    </row>
    <row r="80" spans="1:9">
      <c r="A80" s="29">
        <v>35</v>
      </c>
      <c r="B80" s="57" t="s">
        <v>164</v>
      </c>
      <c r="C80" s="95"/>
      <c r="D80" s="35" t="s">
        <v>205</v>
      </c>
      <c r="E80" s="16">
        <v>1</v>
      </c>
      <c r="F80" s="33">
        <v>12</v>
      </c>
      <c r="G80" s="33">
        <v>1194</v>
      </c>
      <c r="H80" s="68">
        <f t="shared" si="13"/>
        <v>14.327999999999999</v>
      </c>
      <c r="I80" s="13">
        <f t="shared" si="14"/>
        <v>1194</v>
      </c>
    </row>
    <row r="81" spans="1:9">
      <c r="A81" s="29"/>
      <c r="B81" s="110" t="s">
        <v>165</v>
      </c>
      <c r="C81" s="48"/>
      <c r="D81" s="35"/>
      <c r="E81" s="16"/>
      <c r="F81" s="33"/>
      <c r="G81" s="33"/>
      <c r="H81" s="68"/>
      <c r="I81" s="13"/>
    </row>
    <row r="82" spans="1:9">
      <c r="A82" s="29">
        <v>36</v>
      </c>
      <c r="B82" s="35" t="s">
        <v>166</v>
      </c>
      <c r="C82" s="100" t="s">
        <v>167</v>
      </c>
      <c r="D82" s="75" t="s">
        <v>206</v>
      </c>
      <c r="E82" s="16">
        <v>2626.5</v>
      </c>
      <c r="F82" s="33">
        <f>SUM(E82*12)</f>
        <v>31518</v>
      </c>
      <c r="G82" s="33">
        <v>2.2799999999999998</v>
      </c>
      <c r="H82" s="68">
        <f t="shared" ref="H82" si="15">SUM(F82*G82/1000)</f>
        <v>71.861039999999988</v>
      </c>
      <c r="I82" s="13">
        <f t="shared" si="14"/>
        <v>5988.4199999999992</v>
      </c>
    </row>
    <row r="83" spans="1:9" hidden="1">
      <c r="A83" s="29"/>
      <c r="B83" s="111" t="s">
        <v>75</v>
      </c>
      <c r="C83" s="95"/>
      <c r="D83" s="35"/>
      <c r="E83" s="16"/>
      <c r="F83" s="33"/>
      <c r="G83" s="33" t="s">
        <v>136</v>
      </c>
      <c r="H83" s="68" t="s">
        <v>136</v>
      </c>
      <c r="I83" s="13"/>
    </row>
    <row r="84" spans="1:9" hidden="1">
      <c r="A84" s="29"/>
      <c r="B84" s="101" t="s">
        <v>126</v>
      </c>
      <c r="C84" s="96" t="s">
        <v>76</v>
      </c>
      <c r="D84" s="94"/>
      <c r="E84" s="102"/>
      <c r="F84" s="74">
        <v>0.5</v>
      </c>
      <c r="G84" s="74">
        <v>3619.09</v>
      </c>
      <c r="H84" s="68">
        <f t="shared" si="11"/>
        <v>1.8095450000000002</v>
      </c>
      <c r="I84" s="13"/>
    </row>
    <row r="85" spans="1:9" ht="28.5" hidden="1">
      <c r="A85" s="29"/>
      <c r="B85" s="62" t="s">
        <v>93</v>
      </c>
      <c r="C85" s="13"/>
      <c r="D85" s="13"/>
      <c r="E85" s="13"/>
      <c r="F85" s="13"/>
      <c r="G85" s="13"/>
      <c r="H85" s="13"/>
      <c r="I85" s="13"/>
    </row>
    <row r="86" spans="1:9" hidden="1">
      <c r="A86" s="29"/>
      <c r="B86" s="75" t="s">
        <v>112</v>
      </c>
      <c r="C86" s="103"/>
      <c r="D86" s="104"/>
      <c r="E86" s="105"/>
      <c r="F86" s="34">
        <v>1</v>
      </c>
      <c r="G86" s="34">
        <v>8275.7000000000007</v>
      </c>
      <c r="H86" s="68">
        <f>G86*F86/1000</f>
        <v>8.2757000000000005</v>
      </c>
      <c r="I86" s="13"/>
    </row>
    <row r="87" spans="1:9">
      <c r="A87" s="174" t="s">
        <v>133</v>
      </c>
      <c r="B87" s="175"/>
      <c r="C87" s="175"/>
      <c r="D87" s="175"/>
      <c r="E87" s="175"/>
      <c r="F87" s="175"/>
      <c r="G87" s="175"/>
      <c r="H87" s="175"/>
      <c r="I87" s="176"/>
    </row>
    <row r="88" spans="1:9">
      <c r="A88" s="29">
        <v>37</v>
      </c>
      <c r="B88" s="75" t="s">
        <v>113</v>
      </c>
      <c r="C88" s="95" t="s">
        <v>55</v>
      </c>
      <c r="D88" s="61" t="s">
        <v>142</v>
      </c>
      <c r="E88" s="33">
        <v>2626.5</v>
      </c>
      <c r="F88" s="33">
        <f>SUM(E88*12)</f>
        <v>31518</v>
      </c>
      <c r="G88" s="33">
        <v>3.1</v>
      </c>
      <c r="H88" s="68">
        <f>SUM(F88*G88/1000)</f>
        <v>97.705799999999996</v>
      </c>
      <c r="I88" s="13">
        <f t="shared" ref="I88:I89" si="16">F88/12*G88</f>
        <v>8142.1500000000005</v>
      </c>
    </row>
    <row r="89" spans="1:9" ht="30">
      <c r="A89" s="29">
        <v>38</v>
      </c>
      <c r="B89" s="35" t="s">
        <v>77</v>
      </c>
      <c r="C89" s="95"/>
      <c r="D89" s="61" t="s">
        <v>142</v>
      </c>
      <c r="E89" s="77">
        <f>E88</f>
        <v>2626.5</v>
      </c>
      <c r="F89" s="33">
        <f>E89*12</f>
        <v>31518</v>
      </c>
      <c r="G89" s="33">
        <v>3.5</v>
      </c>
      <c r="H89" s="68">
        <f>F89*G89/1000</f>
        <v>110.313</v>
      </c>
      <c r="I89" s="13">
        <f t="shared" si="16"/>
        <v>9192.75</v>
      </c>
    </row>
    <row r="90" spans="1:9">
      <c r="A90" s="29"/>
      <c r="B90" s="36" t="s">
        <v>80</v>
      </c>
      <c r="C90" s="59"/>
      <c r="D90" s="58"/>
      <c r="E90" s="55"/>
      <c r="F90" s="55"/>
      <c r="G90" s="55"/>
      <c r="H90" s="60">
        <f>H80</f>
        <v>14.327999999999999</v>
      </c>
      <c r="I90" s="55">
        <f>I89+I88+I82+I80+I79+I72+I71+I70+I69+I68+I64+I56+I55+I54+I53+I52+I51+I50+I49+I48+I35+I34+I33+I32+I31+I28+I27+I20+I18+I17+I16</f>
        <v>165261.28737444445</v>
      </c>
    </row>
    <row r="91" spans="1:9">
      <c r="A91" s="163" t="s">
        <v>60</v>
      </c>
      <c r="B91" s="164"/>
      <c r="C91" s="164"/>
      <c r="D91" s="164"/>
      <c r="E91" s="164"/>
      <c r="F91" s="164"/>
      <c r="G91" s="164"/>
      <c r="H91" s="164"/>
      <c r="I91" s="165"/>
    </row>
    <row r="92" spans="1:9">
      <c r="A92" s="29" t="s">
        <v>246</v>
      </c>
      <c r="B92" s="46" t="s">
        <v>121</v>
      </c>
      <c r="C92" s="49" t="s">
        <v>106</v>
      </c>
      <c r="D92" s="14"/>
      <c r="E92" s="17"/>
      <c r="F92" s="13">
        <v>135</v>
      </c>
      <c r="G92" s="13">
        <v>55.55</v>
      </c>
      <c r="H92" s="56">
        <f t="shared" ref="H92:H93" si="17">G92*F92/1000</f>
        <v>7.49925</v>
      </c>
      <c r="I92" s="13">
        <f>G92*45</f>
        <v>2499.75</v>
      </c>
    </row>
    <row r="93" spans="1:9" ht="30">
      <c r="A93" s="29">
        <v>40</v>
      </c>
      <c r="B93" s="47" t="s">
        <v>199</v>
      </c>
      <c r="C93" s="48" t="s">
        <v>81</v>
      </c>
      <c r="D93" s="35"/>
      <c r="E93" s="16"/>
      <c r="F93" s="33">
        <v>1</v>
      </c>
      <c r="G93" s="33">
        <v>933.86</v>
      </c>
      <c r="H93" s="68">
        <f t="shared" si="17"/>
        <v>0.93386000000000002</v>
      </c>
      <c r="I93" s="13">
        <f>G93*1</f>
        <v>933.86</v>
      </c>
    </row>
    <row r="94" spans="1:9" ht="30">
      <c r="A94" s="29">
        <v>41</v>
      </c>
      <c r="B94" s="75" t="s">
        <v>181</v>
      </c>
      <c r="C94" s="76" t="s">
        <v>38</v>
      </c>
      <c r="D94" s="35"/>
      <c r="E94" s="16"/>
      <c r="F94" s="33"/>
      <c r="G94" s="33">
        <v>3724.37</v>
      </c>
      <c r="H94" s="68"/>
      <c r="I94" s="13">
        <f>G94*0.01</f>
        <v>37.243699999999997</v>
      </c>
    </row>
    <row r="95" spans="1:9" ht="20.25" customHeight="1">
      <c r="A95" s="29">
        <v>42</v>
      </c>
      <c r="B95" s="47" t="s">
        <v>198</v>
      </c>
      <c r="C95" s="113" t="s">
        <v>55</v>
      </c>
      <c r="D95" s="35"/>
      <c r="E95" s="16"/>
      <c r="F95" s="33"/>
      <c r="G95" s="33">
        <v>2390.31</v>
      </c>
      <c r="H95" s="68"/>
      <c r="I95" s="13">
        <f>G95*5</f>
        <v>11951.55</v>
      </c>
    </row>
    <row r="96" spans="1:9">
      <c r="A96" s="29"/>
      <c r="B96" s="41" t="s">
        <v>52</v>
      </c>
      <c r="C96" s="37"/>
      <c r="D96" s="44"/>
      <c r="E96" s="37">
        <v>1</v>
      </c>
      <c r="F96" s="37"/>
      <c r="G96" s="37"/>
      <c r="H96" s="37"/>
      <c r="I96" s="31">
        <f>I95+I94+I93</f>
        <v>12922.653700000001</v>
      </c>
    </row>
    <row r="97" spans="1:9">
      <c r="A97" s="29"/>
      <c r="B97" s="43" t="s">
        <v>78</v>
      </c>
      <c r="C97" s="15"/>
      <c r="D97" s="15"/>
      <c r="E97" s="38"/>
      <c r="F97" s="38"/>
      <c r="G97" s="39"/>
      <c r="H97" s="39"/>
      <c r="I97" s="16">
        <v>0</v>
      </c>
    </row>
    <row r="98" spans="1:9">
      <c r="A98" s="45"/>
      <c r="B98" s="42" t="s">
        <v>148</v>
      </c>
      <c r="C98" s="32"/>
      <c r="D98" s="32"/>
      <c r="E98" s="32"/>
      <c r="F98" s="32"/>
      <c r="G98" s="32"/>
      <c r="H98" s="32"/>
      <c r="I98" s="40">
        <f>I90+I96</f>
        <v>178183.94107444445</v>
      </c>
    </row>
    <row r="99" spans="1:9">
      <c r="A99" s="191" t="s">
        <v>247</v>
      </c>
      <c r="B99" s="192"/>
      <c r="C99" s="192"/>
      <c r="D99" s="192"/>
      <c r="E99" s="192"/>
      <c r="F99" s="192"/>
      <c r="G99" s="192"/>
      <c r="H99" s="192"/>
      <c r="I99" s="192"/>
    </row>
    <row r="100" spans="1:9" ht="15.75">
      <c r="A100" s="166" t="s">
        <v>313</v>
      </c>
      <c r="B100" s="166"/>
      <c r="C100" s="166"/>
      <c r="D100" s="166"/>
      <c r="E100" s="166"/>
      <c r="F100" s="166"/>
      <c r="G100" s="166"/>
      <c r="H100" s="166"/>
      <c r="I100" s="166"/>
    </row>
    <row r="101" spans="1:9" ht="15.75">
      <c r="A101" s="50"/>
      <c r="B101" s="167" t="s">
        <v>314</v>
      </c>
      <c r="C101" s="167"/>
      <c r="D101" s="167"/>
      <c r="E101" s="167"/>
      <c r="F101" s="167"/>
      <c r="G101" s="167"/>
      <c r="H101" s="53"/>
      <c r="I101" s="3"/>
    </row>
    <row r="102" spans="1:9">
      <c r="A102" s="127"/>
      <c r="B102" s="168" t="s">
        <v>6</v>
      </c>
      <c r="C102" s="168"/>
      <c r="D102" s="168"/>
      <c r="E102" s="168"/>
      <c r="F102" s="168"/>
      <c r="G102" s="168"/>
      <c r="H102" s="24"/>
      <c r="I102" s="5"/>
    </row>
    <row r="103" spans="1:9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>
      <c r="A104" s="169" t="s">
        <v>7</v>
      </c>
      <c r="B104" s="169"/>
      <c r="C104" s="169"/>
      <c r="D104" s="169"/>
      <c r="E104" s="169"/>
      <c r="F104" s="169"/>
      <c r="G104" s="169"/>
      <c r="H104" s="169"/>
      <c r="I104" s="169"/>
    </row>
    <row r="105" spans="1:9" ht="15.75">
      <c r="A105" s="169" t="s">
        <v>8</v>
      </c>
      <c r="B105" s="169"/>
      <c r="C105" s="169"/>
      <c r="D105" s="169"/>
      <c r="E105" s="169"/>
      <c r="F105" s="169"/>
      <c r="G105" s="169"/>
      <c r="H105" s="169"/>
      <c r="I105" s="169"/>
    </row>
    <row r="106" spans="1:9" ht="15.75">
      <c r="A106" s="170" t="s">
        <v>61</v>
      </c>
      <c r="B106" s="170"/>
      <c r="C106" s="170"/>
      <c r="D106" s="170"/>
      <c r="E106" s="170"/>
      <c r="F106" s="170"/>
      <c r="G106" s="170"/>
      <c r="H106" s="170"/>
      <c r="I106" s="170"/>
    </row>
    <row r="107" spans="1:9" ht="15.75">
      <c r="A107" s="11"/>
    </row>
    <row r="108" spans="1:9" ht="15.75">
      <c r="A108" s="171" t="s">
        <v>9</v>
      </c>
      <c r="B108" s="171"/>
      <c r="C108" s="171"/>
      <c r="D108" s="171"/>
      <c r="E108" s="171"/>
      <c r="F108" s="171"/>
      <c r="G108" s="171"/>
      <c r="H108" s="171"/>
      <c r="I108" s="171"/>
    </row>
    <row r="109" spans="1:9" ht="15.75">
      <c r="A109" s="4"/>
    </row>
    <row r="110" spans="1:9" ht="15.75">
      <c r="B110" s="129" t="s">
        <v>10</v>
      </c>
      <c r="C110" s="172" t="s">
        <v>132</v>
      </c>
      <c r="D110" s="172"/>
      <c r="E110" s="172"/>
      <c r="F110" s="51"/>
      <c r="I110" s="130"/>
    </row>
    <row r="111" spans="1:9">
      <c r="A111" s="127"/>
      <c r="C111" s="168" t="s">
        <v>11</v>
      </c>
      <c r="D111" s="168"/>
      <c r="E111" s="168"/>
      <c r="F111" s="24"/>
      <c r="I111" s="128" t="s">
        <v>12</v>
      </c>
    </row>
    <row r="112" spans="1:9" ht="15.75">
      <c r="A112" s="25"/>
      <c r="C112" s="12"/>
      <c r="D112" s="12"/>
      <c r="G112" s="12"/>
      <c r="H112" s="12"/>
    </row>
    <row r="113" spans="1:9" ht="15.75">
      <c r="B113" s="129" t="s">
        <v>13</v>
      </c>
      <c r="C113" s="173"/>
      <c r="D113" s="173"/>
      <c r="E113" s="173"/>
      <c r="F113" s="52"/>
      <c r="I113" s="130"/>
    </row>
    <row r="114" spans="1:9">
      <c r="A114" s="127"/>
      <c r="C114" s="162" t="s">
        <v>11</v>
      </c>
      <c r="D114" s="162"/>
      <c r="E114" s="162"/>
      <c r="F114" s="127"/>
      <c r="I114" s="128" t="s">
        <v>12</v>
      </c>
    </row>
    <row r="115" spans="1:9" ht="15.75">
      <c r="A115" s="4" t="s">
        <v>14</v>
      </c>
    </row>
    <row r="116" spans="1:9">
      <c r="A116" s="195" t="s">
        <v>15</v>
      </c>
      <c r="B116" s="195"/>
      <c r="C116" s="195"/>
      <c r="D116" s="195"/>
      <c r="E116" s="195"/>
      <c r="F116" s="195"/>
      <c r="G116" s="195"/>
      <c r="H116" s="195"/>
      <c r="I116" s="195"/>
    </row>
    <row r="117" spans="1:9" ht="47.25" customHeight="1">
      <c r="A117" s="196" t="s">
        <v>16</v>
      </c>
      <c r="B117" s="196"/>
      <c r="C117" s="196"/>
      <c r="D117" s="196"/>
      <c r="E117" s="196"/>
      <c r="F117" s="196"/>
      <c r="G117" s="196"/>
      <c r="H117" s="196"/>
      <c r="I117" s="196"/>
    </row>
    <row r="118" spans="1:9" ht="39.75" customHeight="1">
      <c r="A118" s="196" t="s">
        <v>17</v>
      </c>
      <c r="B118" s="196"/>
      <c r="C118" s="196"/>
      <c r="D118" s="196"/>
      <c r="E118" s="196"/>
      <c r="F118" s="196"/>
      <c r="G118" s="196"/>
      <c r="H118" s="196"/>
      <c r="I118" s="196"/>
    </row>
    <row r="119" spans="1:9" ht="40.5" customHeight="1">
      <c r="A119" s="196" t="s">
        <v>21</v>
      </c>
      <c r="B119" s="196"/>
      <c r="C119" s="196"/>
      <c r="D119" s="196"/>
      <c r="E119" s="196"/>
      <c r="F119" s="196"/>
      <c r="G119" s="196"/>
      <c r="H119" s="196"/>
      <c r="I119" s="196"/>
    </row>
    <row r="120" spans="1:9" ht="15.75">
      <c r="A120" s="196" t="s">
        <v>20</v>
      </c>
      <c r="B120" s="196"/>
      <c r="C120" s="196"/>
      <c r="D120" s="196"/>
      <c r="E120" s="196"/>
      <c r="F120" s="196"/>
      <c r="G120" s="196"/>
      <c r="H120" s="196"/>
      <c r="I120" s="196"/>
    </row>
    <row r="122" spans="1:9" ht="30">
      <c r="B122" s="137" t="s">
        <v>279</v>
      </c>
      <c r="C122" s="193">
        <v>72094.8</v>
      </c>
      <c r="D122" s="193"/>
      <c r="E122" s="193"/>
      <c r="F122" s="193"/>
    </row>
    <row r="123" spans="1:9">
      <c r="B123" s="137" t="s">
        <v>280</v>
      </c>
      <c r="C123" s="193">
        <f>I98-I96</f>
        <v>165261.28737444445</v>
      </c>
      <c r="D123" s="193"/>
      <c r="E123" s="193"/>
      <c r="F123" s="193"/>
    </row>
    <row r="124" spans="1:9" ht="30">
      <c r="B124" s="137" t="s">
        <v>281</v>
      </c>
      <c r="C124" s="193">
        <f>I96</f>
        <v>12922.653700000001</v>
      </c>
      <c r="D124" s="193"/>
      <c r="E124" s="193"/>
      <c r="F124" s="193"/>
    </row>
    <row r="125" spans="1:9">
      <c r="B125" s="138" t="s">
        <v>282</v>
      </c>
      <c r="C125" s="193">
        <v>74508.58</v>
      </c>
      <c r="D125" s="193"/>
      <c r="E125" s="193"/>
      <c r="F125" s="193"/>
    </row>
    <row r="126" spans="1:9" ht="47.25">
      <c r="B126" s="139" t="s">
        <v>283</v>
      </c>
      <c r="C126" s="194">
        <v>213717.87</v>
      </c>
      <c r="D126" s="194"/>
      <c r="E126" s="194"/>
      <c r="F126" s="194"/>
    </row>
    <row r="127" spans="1:9" ht="30">
      <c r="B127" s="137" t="s">
        <v>284</v>
      </c>
      <c r="C127" s="189">
        <f>C123+C124-C122</f>
        <v>106089.14107444444</v>
      </c>
      <c r="D127" s="190"/>
      <c r="E127" s="190"/>
      <c r="F127" s="190"/>
    </row>
  </sheetData>
  <mergeCells count="35">
    <mergeCell ref="C127:F127"/>
    <mergeCell ref="A99:I99"/>
    <mergeCell ref="C122:F122"/>
    <mergeCell ref="C123:F123"/>
    <mergeCell ref="C124:F124"/>
    <mergeCell ref="C125:F125"/>
    <mergeCell ref="C126:F126"/>
    <mergeCell ref="A117:I117"/>
    <mergeCell ref="A118:I118"/>
    <mergeCell ref="A119:I119"/>
    <mergeCell ref="A120:I120"/>
    <mergeCell ref="A108:I108"/>
    <mergeCell ref="C110:E110"/>
    <mergeCell ref="C111:E111"/>
    <mergeCell ref="C113:E113"/>
    <mergeCell ref="C114:E114"/>
    <mergeCell ref="A116:I116"/>
    <mergeCell ref="A106:I106"/>
    <mergeCell ref="A15:I15"/>
    <mergeCell ref="A29:I29"/>
    <mergeCell ref="A47:I47"/>
    <mergeCell ref="A58:I58"/>
    <mergeCell ref="A87:I87"/>
    <mergeCell ref="A91:I91"/>
    <mergeCell ref="A100:I100"/>
    <mergeCell ref="B101:G101"/>
    <mergeCell ref="B102:G102"/>
    <mergeCell ref="A104:I104"/>
    <mergeCell ref="A105:I105"/>
    <mergeCell ref="A14:I14"/>
    <mergeCell ref="A3:I3"/>
    <mergeCell ref="A4:I4"/>
    <mergeCell ref="A5:I5"/>
    <mergeCell ref="A8:I8"/>
    <mergeCell ref="A10:I10"/>
  </mergeCells>
  <pageMargins left="0.31496062992125984" right="0.31496062992125984" top="0.74803149606299213" bottom="0.74803149606299213" header="0.31496062992125984" footer="0.31496062992125984"/>
  <pageSetup paperSize="9" scale="71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26"/>
  <sheetViews>
    <sheetView view="pageBreakPreview" topLeftCell="A57" zoomScale="60" workbookViewId="0">
      <selection activeCell="G78" sqref="G78:I78"/>
    </sheetView>
  </sheetViews>
  <sheetFormatPr defaultRowHeight="15"/>
  <cols>
    <col min="1" max="1" width="9.28515625" customWidth="1"/>
    <col min="2" max="2" width="46.85546875" customWidth="1"/>
    <col min="3" max="3" width="18.28515625" customWidth="1"/>
    <col min="4" max="4" width="18.7109375" customWidth="1"/>
    <col min="5" max="6" width="0" hidden="1" customWidth="1"/>
    <col min="7" max="7" width="20" customWidth="1"/>
    <col min="8" max="8" width="0" hidden="1" customWidth="1"/>
    <col min="9" max="9" width="22" customWidth="1"/>
  </cols>
  <sheetData>
    <row r="1" spans="1:9" ht="15.75">
      <c r="A1" s="27" t="s">
        <v>85</v>
      </c>
      <c r="I1" s="26"/>
    </row>
    <row r="2" spans="1:9" ht="15.75">
      <c r="A2" s="28" t="s">
        <v>62</v>
      </c>
    </row>
    <row r="3" spans="1:9" ht="15.75">
      <c r="A3" s="179" t="s">
        <v>287</v>
      </c>
      <c r="B3" s="179"/>
      <c r="C3" s="179"/>
      <c r="D3" s="179"/>
      <c r="E3" s="179"/>
      <c r="F3" s="179"/>
      <c r="G3" s="179"/>
      <c r="H3" s="179"/>
      <c r="I3" s="179"/>
    </row>
    <row r="4" spans="1:9" ht="35.25" customHeight="1">
      <c r="A4" s="180" t="s">
        <v>128</v>
      </c>
      <c r="B4" s="180"/>
      <c r="C4" s="180"/>
      <c r="D4" s="180"/>
      <c r="E4" s="180"/>
      <c r="F4" s="180"/>
      <c r="G4" s="180"/>
      <c r="H4" s="180"/>
      <c r="I4" s="180"/>
    </row>
    <row r="5" spans="1:9" ht="15.75">
      <c r="A5" s="179" t="s">
        <v>295</v>
      </c>
      <c r="B5" s="181"/>
      <c r="C5" s="181"/>
      <c r="D5" s="181"/>
      <c r="E5" s="181"/>
      <c r="F5" s="181"/>
      <c r="G5" s="181"/>
      <c r="H5" s="181"/>
      <c r="I5" s="181"/>
    </row>
    <row r="6" spans="1:9" ht="15.75">
      <c r="A6" s="2"/>
      <c r="B6" s="136"/>
      <c r="C6" s="136"/>
      <c r="D6" s="136"/>
      <c r="E6" s="136"/>
      <c r="F6" s="136"/>
      <c r="G6" s="136"/>
      <c r="H6" s="136"/>
      <c r="I6" s="125">
        <v>43281</v>
      </c>
    </row>
    <row r="7" spans="1:9" ht="15.75">
      <c r="B7" s="134"/>
      <c r="C7" s="134"/>
      <c r="D7" s="134"/>
      <c r="E7" s="3"/>
      <c r="F7" s="3"/>
      <c r="G7" s="3"/>
      <c r="H7" s="3"/>
    </row>
    <row r="8" spans="1:9" ht="87.75" customHeight="1">
      <c r="A8" s="182" t="s">
        <v>154</v>
      </c>
      <c r="B8" s="182"/>
      <c r="C8" s="182"/>
      <c r="D8" s="182"/>
      <c r="E8" s="182"/>
      <c r="F8" s="182"/>
      <c r="G8" s="182"/>
      <c r="H8" s="182"/>
      <c r="I8" s="182"/>
    </row>
    <row r="9" spans="1:9" ht="15.75">
      <c r="A9" s="4"/>
    </row>
    <row r="10" spans="1:9" ht="59.25" customHeight="1">
      <c r="A10" s="183" t="s">
        <v>143</v>
      </c>
      <c r="B10" s="183"/>
      <c r="C10" s="183"/>
      <c r="D10" s="183"/>
      <c r="E10" s="183"/>
      <c r="F10" s="183"/>
      <c r="G10" s="183"/>
      <c r="H10" s="183"/>
      <c r="I10" s="183"/>
    </row>
    <row r="11" spans="1:9" ht="15.75">
      <c r="A11" s="4"/>
    </row>
    <row r="12" spans="1:9" ht="65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84" t="s">
        <v>59</v>
      </c>
      <c r="B14" s="184"/>
      <c r="C14" s="184"/>
      <c r="D14" s="184"/>
      <c r="E14" s="184"/>
      <c r="F14" s="184"/>
      <c r="G14" s="184"/>
      <c r="H14" s="184"/>
      <c r="I14" s="184"/>
    </row>
    <row r="15" spans="1:9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</row>
    <row r="16" spans="1:9" ht="24" customHeight="1">
      <c r="A16" s="29">
        <v>1</v>
      </c>
      <c r="B16" s="75" t="s">
        <v>86</v>
      </c>
      <c r="C16" s="76" t="s">
        <v>87</v>
      </c>
      <c r="D16" s="75" t="s">
        <v>233</v>
      </c>
      <c r="E16" s="77">
        <v>49.72</v>
      </c>
      <c r="F16" s="78">
        <f>SUM(E16*156/100)</f>
        <v>77.563199999999995</v>
      </c>
      <c r="G16" s="78">
        <v>230</v>
      </c>
      <c r="H16" s="79">
        <f t="shared" ref="H16:H25" si="0">SUM(F16*G16/1000)</f>
        <v>17.839535999999999</v>
      </c>
      <c r="I16" s="13">
        <f>F16/12*G16</f>
        <v>1486.6279999999999</v>
      </c>
    </row>
    <row r="17" spans="1:9" ht="19.5" customHeight="1">
      <c r="A17" s="29">
        <v>2</v>
      </c>
      <c r="B17" s="75" t="s">
        <v>288</v>
      </c>
      <c r="C17" s="76" t="s">
        <v>87</v>
      </c>
      <c r="D17" s="75" t="s">
        <v>210</v>
      </c>
      <c r="E17" s="77">
        <v>198.88</v>
      </c>
      <c r="F17" s="78">
        <f>SUM(E17*104/100)</f>
        <v>206.83520000000001</v>
      </c>
      <c r="G17" s="78">
        <v>230</v>
      </c>
      <c r="H17" s="79">
        <f t="shared" si="0"/>
        <v>47.572096000000002</v>
      </c>
      <c r="I17" s="13">
        <f>198.88/100*12*G17</f>
        <v>5489.0879999999997</v>
      </c>
    </row>
    <row r="18" spans="1:9" ht="17.25" customHeight="1">
      <c r="A18" s="29">
        <v>3</v>
      </c>
      <c r="B18" s="75" t="s">
        <v>115</v>
      </c>
      <c r="C18" s="76" t="s">
        <v>87</v>
      </c>
      <c r="D18" s="75" t="s">
        <v>209</v>
      </c>
      <c r="E18" s="77">
        <v>248.6</v>
      </c>
      <c r="F18" s="78">
        <f>SUM(E18*24/100)</f>
        <v>59.663999999999994</v>
      </c>
      <c r="G18" s="78">
        <v>661.67</v>
      </c>
      <c r="H18" s="79">
        <f t="shared" si="0"/>
        <v>39.477878879999999</v>
      </c>
      <c r="I18" s="13">
        <f>F18/12*G18</f>
        <v>3289.8232399999993</v>
      </c>
    </row>
    <row r="19" spans="1:9" ht="19.5" customHeight="1">
      <c r="A19" s="29">
        <v>4</v>
      </c>
      <c r="B19" s="75" t="s">
        <v>94</v>
      </c>
      <c r="C19" s="76" t="s">
        <v>95</v>
      </c>
      <c r="D19" s="75" t="s">
        <v>96</v>
      </c>
      <c r="E19" s="77">
        <v>18.48</v>
      </c>
      <c r="F19" s="78">
        <f>SUM(E19/10)</f>
        <v>1.8480000000000001</v>
      </c>
      <c r="G19" s="78">
        <v>223.17</v>
      </c>
      <c r="H19" s="79">
        <f t="shared" si="0"/>
        <v>0.41241815999999998</v>
      </c>
      <c r="I19" s="13">
        <f>1.848*G19</f>
        <v>412.41816</v>
      </c>
    </row>
    <row r="20" spans="1:9" ht="15.75" customHeight="1">
      <c r="A20" s="29">
        <v>5</v>
      </c>
      <c r="B20" s="75" t="s">
        <v>97</v>
      </c>
      <c r="C20" s="76" t="s">
        <v>87</v>
      </c>
      <c r="D20" s="75" t="s">
        <v>230</v>
      </c>
      <c r="E20" s="77">
        <v>10.5</v>
      </c>
      <c r="F20" s="78">
        <f>SUM(E20*12/100)</f>
        <v>1.26</v>
      </c>
      <c r="G20" s="78">
        <v>285.76</v>
      </c>
      <c r="H20" s="79">
        <f t="shared" si="0"/>
        <v>0.36005759999999998</v>
      </c>
      <c r="I20" s="13">
        <f>F20/12*G20</f>
        <v>30.004799999999999</v>
      </c>
    </row>
    <row r="21" spans="1:9" ht="21.75" customHeight="1">
      <c r="A21" s="29">
        <v>6</v>
      </c>
      <c r="B21" s="75" t="s">
        <v>98</v>
      </c>
      <c r="C21" s="76" t="s">
        <v>87</v>
      </c>
      <c r="D21" s="75" t="s">
        <v>42</v>
      </c>
      <c r="E21" s="77">
        <v>3</v>
      </c>
      <c r="F21" s="78">
        <f>SUM(E21*2/100)</f>
        <v>0.06</v>
      </c>
      <c r="G21" s="78">
        <v>283.44</v>
      </c>
      <c r="H21" s="79">
        <f t="shared" si="0"/>
        <v>1.7006399999999998E-2</v>
      </c>
      <c r="I21" s="13">
        <f>0.03*G21</f>
        <v>8.5031999999999996</v>
      </c>
    </row>
    <row r="22" spans="1:9" ht="18.75" customHeight="1">
      <c r="A22" s="29">
        <v>7</v>
      </c>
      <c r="B22" s="75" t="s">
        <v>99</v>
      </c>
      <c r="C22" s="76" t="s">
        <v>53</v>
      </c>
      <c r="D22" s="75" t="s">
        <v>96</v>
      </c>
      <c r="E22" s="77">
        <v>267.75</v>
      </c>
      <c r="F22" s="78">
        <f>SUM(E22/100)</f>
        <v>2.6775000000000002</v>
      </c>
      <c r="G22" s="78">
        <v>353.14</v>
      </c>
      <c r="H22" s="79">
        <f t="shared" si="0"/>
        <v>0.94553235000000002</v>
      </c>
      <c r="I22" s="13">
        <f>2.6775*G22</f>
        <v>945.53235000000006</v>
      </c>
    </row>
    <row r="23" spans="1:9" ht="17.25" customHeight="1">
      <c r="A23" s="29">
        <v>8</v>
      </c>
      <c r="B23" s="75" t="s">
        <v>100</v>
      </c>
      <c r="C23" s="76" t="s">
        <v>53</v>
      </c>
      <c r="D23" s="75" t="s">
        <v>96</v>
      </c>
      <c r="E23" s="80">
        <v>36.229999999999997</v>
      </c>
      <c r="F23" s="78">
        <f>SUM(E23/100)</f>
        <v>0.36229999999999996</v>
      </c>
      <c r="G23" s="78">
        <v>58.08</v>
      </c>
      <c r="H23" s="79">
        <f t="shared" si="0"/>
        <v>2.1042383999999997E-2</v>
      </c>
      <c r="I23" s="13">
        <f>0.3623*G23</f>
        <v>21.042383999999998</v>
      </c>
    </row>
    <row r="24" spans="1:9" ht="16.5" customHeight="1">
      <c r="A24" s="29">
        <v>9</v>
      </c>
      <c r="B24" s="75" t="s">
        <v>101</v>
      </c>
      <c r="C24" s="76" t="s">
        <v>53</v>
      </c>
      <c r="D24" s="75" t="s">
        <v>54</v>
      </c>
      <c r="E24" s="77">
        <v>15</v>
      </c>
      <c r="F24" s="78">
        <f>SUM(E24/100)</f>
        <v>0.15</v>
      </c>
      <c r="G24" s="78">
        <v>511.12</v>
      </c>
      <c r="H24" s="79">
        <f t="shared" si="0"/>
        <v>7.6667999999999986E-2</v>
      </c>
      <c r="I24" s="13">
        <f>0.15*G24</f>
        <v>76.667999999999992</v>
      </c>
    </row>
    <row r="25" spans="1:9" ht="19.5" customHeight="1">
      <c r="A25" s="29">
        <v>10</v>
      </c>
      <c r="B25" s="75" t="s">
        <v>102</v>
      </c>
      <c r="C25" s="76" t="s">
        <v>53</v>
      </c>
      <c r="D25" s="75" t="s">
        <v>54</v>
      </c>
      <c r="E25" s="77">
        <v>6.38</v>
      </c>
      <c r="F25" s="78">
        <f>SUM(E25/100)</f>
        <v>6.3799999999999996E-2</v>
      </c>
      <c r="G25" s="78">
        <v>683.05</v>
      </c>
      <c r="H25" s="79">
        <f t="shared" si="0"/>
        <v>4.3578589999999993E-2</v>
      </c>
      <c r="I25" s="13">
        <f>0.0638*G25</f>
        <v>43.578589999999991</v>
      </c>
    </row>
    <row r="26" spans="1:9" ht="33" customHeight="1">
      <c r="A26" s="29">
        <v>11</v>
      </c>
      <c r="B26" s="75" t="s">
        <v>122</v>
      </c>
      <c r="C26" s="76" t="s">
        <v>53</v>
      </c>
      <c r="D26" s="75" t="s">
        <v>54</v>
      </c>
      <c r="E26" s="77">
        <v>14.25</v>
      </c>
      <c r="F26" s="78">
        <v>0.14000000000000001</v>
      </c>
      <c r="G26" s="78">
        <v>283.44</v>
      </c>
      <c r="H26" s="79">
        <f>G26*F26/1000</f>
        <v>3.9681600000000004E-2</v>
      </c>
      <c r="I26" s="13">
        <f>0.14*G26</f>
        <v>39.681600000000003</v>
      </c>
    </row>
    <row r="27" spans="1:9" ht="28.5" customHeight="1">
      <c r="A27" s="29">
        <v>12</v>
      </c>
      <c r="B27" s="75" t="s">
        <v>64</v>
      </c>
      <c r="C27" s="76" t="s">
        <v>33</v>
      </c>
      <c r="D27" s="75" t="s">
        <v>63</v>
      </c>
      <c r="E27" s="82">
        <v>0.1</v>
      </c>
      <c r="F27" s="78">
        <f>SUM(E27*155)</f>
        <v>15.5</v>
      </c>
      <c r="G27" s="78">
        <v>264.85000000000002</v>
      </c>
      <c r="H27" s="79">
        <f>SUM(F27*G27/1000)</f>
        <v>4.105175</v>
      </c>
      <c r="I27" s="13">
        <f>F27/12*G27</f>
        <v>342.09791666666672</v>
      </c>
    </row>
    <row r="28" spans="1:9">
      <c r="A28" s="29">
        <v>13</v>
      </c>
      <c r="B28" s="83" t="s">
        <v>23</v>
      </c>
      <c r="C28" s="76" t="s">
        <v>24</v>
      </c>
      <c r="D28" s="83" t="s">
        <v>136</v>
      </c>
      <c r="E28" s="77">
        <v>2626.5</v>
      </c>
      <c r="F28" s="78">
        <f>SUM(E28*12)</f>
        <v>31518</v>
      </c>
      <c r="G28" s="78">
        <v>3.36</v>
      </c>
      <c r="H28" s="79">
        <f>SUM(F28*G28/1000)</f>
        <v>105.90048</v>
      </c>
      <c r="I28" s="13">
        <f t="shared" ref="I28" si="1">F28/12*G28</f>
        <v>8825.0399999999991</v>
      </c>
    </row>
    <row r="29" spans="1:9">
      <c r="A29" s="185" t="s">
        <v>84</v>
      </c>
      <c r="B29" s="185"/>
      <c r="C29" s="185"/>
      <c r="D29" s="185"/>
      <c r="E29" s="185"/>
      <c r="F29" s="185"/>
      <c r="G29" s="185"/>
      <c r="H29" s="185"/>
      <c r="I29" s="185"/>
    </row>
    <row r="30" spans="1:9">
      <c r="A30" s="29"/>
      <c r="B30" s="106" t="s">
        <v>28</v>
      </c>
      <c r="C30" s="76"/>
      <c r="D30" s="75"/>
      <c r="E30" s="77"/>
      <c r="F30" s="78"/>
      <c r="G30" s="78"/>
      <c r="H30" s="79"/>
      <c r="I30" s="13"/>
    </row>
    <row r="31" spans="1:9" ht="21" customHeight="1">
      <c r="A31" s="29">
        <v>14</v>
      </c>
      <c r="B31" s="75" t="s">
        <v>104</v>
      </c>
      <c r="C31" s="76" t="s">
        <v>89</v>
      </c>
      <c r="D31" s="75" t="s">
        <v>149</v>
      </c>
      <c r="E31" s="78">
        <v>665</v>
      </c>
      <c r="F31" s="78">
        <f>SUM(E31*52/1000)</f>
        <v>34.58</v>
      </c>
      <c r="G31" s="78">
        <v>204.44</v>
      </c>
      <c r="H31" s="79">
        <f t="shared" ref="H31:H36" si="2">SUM(F31*G31/1000)</f>
        <v>7.0695351999999989</v>
      </c>
      <c r="I31" s="13">
        <f t="shared" ref="I31:I32" si="3">F31/6*G31</f>
        <v>1178.2558666666666</v>
      </c>
    </row>
    <row r="32" spans="1:9" ht="45" customHeight="1">
      <c r="A32" s="29">
        <v>15</v>
      </c>
      <c r="B32" s="75" t="s">
        <v>117</v>
      </c>
      <c r="C32" s="76" t="s">
        <v>89</v>
      </c>
      <c r="D32" s="75" t="s">
        <v>150</v>
      </c>
      <c r="E32" s="78">
        <v>81.5</v>
      </c>
      <c r="F32" s="78">
        <f>SUM(E32*78/1000)</f>
        <v>6.3570000000000002</v>
      </c>
      <c r="G32" s="78">
        <v>339.21</v>
      </c>
      <c r="H32" s="79">
        <f t="shared" si="2"/>
        <v>2.1563579700000002</v>
      </c>
      <c r="I32" s="13">
        <f t="shared" si="3"/>
        <v>359.39299500000004</v>
      </c>
    </row>
    <row r="33" spans="1:9" ht="16.5" customHeight="1">
      <c r="A33" s="29">
        <v>16</v>
      </c>
      <c r="B33" s="75" t="s">
        <v>116</v>
      </c>
      <c r="C33" s="76" t="s">
        <v>40</v>
      </c>
      <c r="D33" s="75" t="s">
        <v>63</v>
      </c>
      <c r="E33" s="78">
        <v>3</v>
      </c>
      <c r="F33" s="78">
        <f>E33*155/100</f>
        <v>4.6500000000000004</v>
      </c>
      <c r="G33" s="78">
        <v>1707.63</v>
      </c>
      <c r="H33" s="79">
        <f>G33*F33/1000</f>
        <v>7.9404795000000012</v>
      </c>
      <c r="I33" s="13">
        <f>F33/6*G33</f>
        <v>1323.4132500000001</v>
      </c>
    </row>
    <row r="34" spans="1:9" ht="18.75" customHeight="1">
      <c r="A34" s="29">
        <v>17</v>
      </c>
      <c r="B34" s="75" t="s">
        <v>103</v>
      </c>
      <c r="C34" s="76" t="s">
        <v>31</v>
      </c>
      <c r="D34" s="75" t="s">
        <v>63</v>
      </c>
      <c r="E34" s="81">
        <f>1/3</f>
        <v>0.33333333333333331</v>
      </c>
      <c r="F34" s="78">
        <f>155/3</f>
        <v>51.666666666666664</v>
      </c>
      <c r="G34" s="78">
        <v>74.349999999999994</v>
      </c>
      <c r="H34" s="79">
        <f>SUM(G34*155/3/1000)</f>
        <v>3.8414166666666665</v>
      </c>
      <c r="I34" s="13">
        <f>F34/6*G34</f>
        <v>640.23611111111109</v>
      </c>
    </row>
    <row r="35" spans="1:9" ht="15.75" hidden="1" customHeight="1">
      <c r="A35" s="29"/>
      <c r="B35" s="75" t="s">
        <v>65</v>
      </c>
      <c r="C35" s="76" t="s">
        <v>33</v>
      </c>
      <c r="D35" s="75" t="s">
        <v>67</v>
      </c>
      <c r="E35" s="77"/>
      <c r="F35" s="78">
        <v>1</v>
      </c>
      <c r="G35" s="78">
        <v>250.92</v>
      </c>
      <c r="H35" s="79">
        <f t="shared" si="2"/>
        <v>0.25091999999999998</v>
      </c>
      <c r="I35" s="13">
        <v>0</v>
      </c>
    </row>
    <row r="36" spans="1:9" hidden="1">
      <c r="A36" s="29"/>
      <c r="B36" s="75" t="s">
        <v>66</v>
      </c>
      <c r="C36" s="76" t="s">
        <v>32</v>
      </c>
      <c r="D36" s="75" t="s">
        <v>67</v>
      </c>
      <c r="E36" s="77"/>
      <c r="F36" s="78">
        <v>1</v>
      </c>
      <c r="G36" s="78">
        <v>1490.31</v>
      </c>
      <c r="H36" s="79">
        <f t="shared" si="2"/>
        <v>1.49031</v>
      </c>
      <c r="I36" s="13">
        <v>0</v>
      </c>
    </row>
    <row r="37" spans="1:9" hidden="1">
      <c r="A37" s="29"/>
      <c r="B37" s="106" t="s">
        <v>5</v>
      </c>
      <c r="C37" s="76"/>
      <c r="D37" s="75"/>
      <c r="E37" s="77"/>
      <c r="F37" s="78"/>
      <c r="G37" s="78"/>
      <c r="H37" s="79" t="s">
        <v>136</v>
      </c>
      <c r="I37" s="13"/>
    </row>
    <row r="38" spans="1:9" hidden="1">
      <c r="A38" s="29">
        <v>7</v>
      </c>
      <c r="B38" s="84" t="s">
        <v>26</v>
      </c>
      <c r="C38" s="76" t="s">
        <v>32</v>
      </c>
      <c r="D38" s="75"/>
      <c r="E38" s="77"/>
      <c r="F38" s="78">
        <v>5</v>
      </c>
      <c r="G38" s="78">
        <v>2003</v>
      </c>
      <c r="H38" s="79">
        <f t="shared" ref="H38:H45" si="4">SUM(F38*G38/1000)</f>
        <v>10.015000000000001</v>
      </c>
      <c r="I38" s="13">
        <f t="shared" ref="I38:I42" si="5">F38/6*G38</f>
        <v>1669.1666666666667</v>
      </c>
    </row>
    <row r="39" spans="1:9" ht="30" hidden="1">
      <c r="A39" s="29">
        <v>8</v>
      </c>
      <c r="B39" s="84" t="s">
        <v>105</v>
      </c>
      <c r="C39" s="85" t="s">
        <v>29</v>
      </c>
      <c r="D39" s="75" t="s">
        <v>123</v>
      </c>
      <c r="E39" s="77">
        <v>81.5</v>
      </c>
      <c r="F39" s="86">
        <f>E39*30/1000</f>
        <v>2.4449999999999998</v>
      </c>
      <c r="G39" s="78">
        <v>2757.78</v>
      </c>
      <c r="H39" s="79">
        <f t="shared" si="4"/>
        <v>6.7427720999999998</v>
      </c>
      <c r="I39" s="13">
        <f t="shared" si="5"/>
        <v>1123.7953500000001</v>
      </c>
    </row>
    <row r="40" spans="1:9" ht="30" hidden="1">
      <c r="A40" s="29">
        <v>9</v>
      </c>
      <c r="B40" s="75" t="s">
        <v>68</v>
      </c>
      <c r="C40" s="76" t="s">
        <v>29</v>
      </c>
      <c r="D40" s="75" t="s">
        <v>88</v>
      </c>
      <c r="E40" s="78">
        <v>81.5</v>
      </c>
      <c r="F40" s="86">
        <f>SUM(E40*155/1000)</f>
        <v>12.6325</v>
      </c>
      <c r="G40" s="78">
        <v>460.02</v>
      </c>
      <c r="H40" s="79">
        <f t="shared" si="4"/>
        <v>5.8112026500000002</v>
      </c>
      <c r="I40" s="13">
        <f t="shared" si="5"/>
        <v>968.53377499999999</v>
      </c>
    </row>
    <row r="41" spans="1:9" hidden="1">
      <c r="A41" s="29"/>
      <c r="B41" s="75" t="s">
        <v>118</v>
      </c>
      <c r="C41" s="76" t="s">
        <v>119</v>
      </c>
      <c r="D41" s="75" t="s">
        <v>67</v>
      </c>
      <c r="E41" s="77"/>
      <c r="F41" s="86">
        <v>26</v>
      </c>
      <c r="G41" s="78">
        <v>314</v>
      </c>
      <c r="H41" s="79">
        <f t="shared" si="4"/>
        <v>8.1639999999999997</v>
      </c>
      <c r="I41" s="13">
        <v>0</v>
      </c>
    </row>
    <row r="42" spans="1:9" ht="60" hidden="1">
      <c r="A42" s="29">
        <v>10</v>
      </c>
      <c r="B42" s="75" t="s">
        <v>82</v>
      </c>
      <c r="C42" s="76" t="s">
        <v>89</v>
      </c>
      <c r="D42" s="75" t="s">
        <v>124</v>
      </c>
      <c r="E42" s="78">
        <v>81.5</v>
      </c>
      <c r="F42" s="86">
        <f>SUM(E42*35/1000)</f>
        <v>2.8525</v>
      </c>
      <c r="G42" s="78">
        <v>7611.16</v>
      </c>
      <c r="H42" s="79">
        <f t="shared" si="4"/>
        <v>21.710833900000001</v>
      </c>
      <c r="I42" s="13">
        <f t="shared" si="5"/>
        <v>3618.4723166666663</v>
      </c>
    </row>
    <row r="43" spans="1:9" hidden="1">
      <c r="A43" s="29">
        <v>11</v>
      </c>
      <c r="B43" s="75" t="s">
        <v>90</v>
      </c>
      <c r="C43" s="76" t="s">
        <v>89</v>
      </c>
      <c r="D43" s="75" t="s">
        <v>69</v>
      </c>
      <c r="E43" s="78">
        <v>81.5</v>
      </c>
      <c r="F43" s="86">
        <f>SUM(E43*45/1000)</f>
        <v>3.6675</v>
      </c>
      <c r="G43" s="78">
        <v>562.25</v>
      </c>
      <c r="H43" s="79">
        <f t="shared" si="4"/>
        <v>2.0620518750000003</v>
      </c>
      <c r="I43" s="13">
        <f>(F43/7.5*1.5)*G43</f>
        <v>412.41037500000004</v>
      </c>
    </row>
    <row r="44" spans="1:9" hidden="1">
      <c r="A44" s="29">
        <v>12</v>
      </c>
      <c r="B44" s="84" t="s">
        <v>70</v>
      </c>
      <c r="C44" s="85" t="s">
        <v>33</v>
      </c>
      <c r="D44" s="84"/>
      <c r="E44" s="82"/>
      <c r="F44" s="86">
        <v>0.9</v>
      </c>
      <c r="G44" s="86">
        <v>974.83</v>
      </c>
      <c r="H44" s="79">
        <f t="shared" si="4"/>
        <v>0.8773470000000001</v>
      </c>
      <c r="I44" s="13">
        <f>(F44/7.5*1.5)*G44</f>
        <v>175.46940000000004</v>
      </c>
    </row>
    <row r="45" spans="1:9" ht="30" hidden="1">
      <c r="A45" s="29">
        <v>13</v>
      </c>
      <c r="B45" s="47" t="s">
        <v>156</v>
      </c>
      <c r="C45" s="48" t="s">
        <v>29</v>
      </c>
      <c r="D45" s="84" t="s">
        <v>157</v>
      </c>
      <c r="E45" s="82">
        <v>2.4</v>
      </c>
      <c r="F45" s="86">
        <f>SUM(E45*12/1000)</f>
        <v>2.8799999999999996E-2</v>
      </c>
      <c r="G45" s="86">
        <v>260.2</v>
      </c>
      <c r="H45" s="79">
        <f t="shared" si="4"/>
        <v>7.4937599999999986E-3</v>
      </c>
      <c r="I45" s="13">
        <f>F45/6*G45</f>
        <v>1.2489599999999998</v>
      </c>
    </row>
    <row r="46" spans="1:9" hidden="1">
      <c r="A46" s="186" t="s">
        <v>129</v>
      </c>
      <c r="B46" s="187"/>
      <c r="C46" s="187"/>
      <c r="D46" s="187"/>
      <c r="E46" s="187"/>
      <c r="F46" s="187"/>
      <c r="G46" s="187"/>
      <c r="H46" s="187"/>
      <c r="I46" s="188"/>
    </row>
    <row r="47" spans="1:9" hidden="1">
      <c r="A47" s="29">
        <v>19</v>
      </c>
      <c r="B47" s="75" t="s">
        <v>125</v>
      </c>
      <c r="C47" s="76" t="s">
        <v>89</v>
      </c>
      <c r="D47" s="75" t="s">
        <v>206</v>
      </c>
      <c r="E47" s="77">
        <v>1080</v>
      </c>
      <c r="F47" s="78">
        <f>SUM(E47*2/1000)</f>
        <v>2.16</v>
      </c>
      <c r="G47" s="33">
        <v>1172.4100000000001</v>
      </c>
      <c r="H47" s="79">
        <f t="shared" ref="H47:H55" si="6">SUM(F47*G47/1000)</f>
        <v>2.5324056000000006</v>
      </c>
      <c r="I47" s="13">
        <f t="shared" ref="I47:I50" si="7">F47/2*G47</f>
        <v>1266.2028000000003</v>
      </c>
    </row>
    <row r="48" spans="1:9" hidden="1">
      <c r="A48" s="29">
        <v>20</v>
      </c>
      <c r="B48" s="75" t="s">
        <v>35</v>
      </c>
      <c r="C48" s="76" t="s">
        <v>89</v>
      </c>
      <c r="D48" s="75" t="s">
        <v>206</v>
      </c>
      <c r="E48" s="77">
        <v>39</v>
      </c>
      <c r="F48" s="78">
        <f>SUM(E48*2/1000)</f>
        <v>7.8E-2</v>
      </c>
      <c r="G48" s="33">
        <v>4419.05</v>
      </c>
      <c r="H48" s="79">
        <f t="shared" si="6"/>
        <v>0.34468589999999999</v>
      </c>
      <c r="I48" s="13">
        <f t="shared" si="7"/>
        <v>172.34295</v>
      </c>
    </row>
    <row r="49" spans="1:9" hidden="1">
      <c r="A49" s="29">
        <v>21</v>
      </c>
      <c r="B49" s="75" t="s">
        <v>36</v>
      </c>
      <c r="C49" s="76" t="s">
        <v>89</v>
      </c>
      <c r="D49" s="75" t="s">
        <v>231</v>
      </c>
      <c r="E49" s="77">
        <v>1037</v>
      </c>
      <c r="F49" s="78">
        <f>SUM(E49*2/1000)</f>
        <v>2.0739999999999998</v>
      </c>
      <c r="G49" s="33">
        <v>1803.69</v>
      </c>
      <c r="H49" s="79">
        <f t="shared" si="6"/>
        <v>3.7408530600000001</v>
      </c>
      <c r="I49" s="13">
        <f t="shared" si="7"/>
        <v>1870.42653</v>
      </c>
    </row>
    <row r="50" spans="1:9" hidden="1">
      <c r="A50" s="29">
        <v>22</v>
      </c>
      <c r="B50" s="75" t="s">
        <v>37</v>
      </c>
      <c r="C50" s="76" t="s">
        <v>89</v>
      </c>
      <c r="D50" s="75" t="s">
        <v>206</v>
      </c>
      <c r="E50" s="77">
        <v>2274</v>
      </c>
      <c r="F50" s="78">
        <f>SUM(E50*2/1000)</f>
        <v>4.548</v>
      </c>
      <c r="G50" s="33">
        <v>1243.43</v>
      </c>
      <c r="H50" s="79">
        <f t="shared" si="6"/>
        <v>5.6551196399999997</v>
      </c>
      <c r="I50" s="13">
        <f t="shared" si="7"/>
        <v>2827.5598199999999</v>
      </c>
    </row>
    <row r="51" spans="1:9" hidden="1">
      <c r="A51" s="29">
        <v>23</v>
      </c>
      <c r="B51" s="75" t="s">
        <v>34</v>
      </c>
      <c r="C51" s="76" t="s">
        <v>53</v>
      </c>
      <c r="D51" s="75" t="s">
        <v>206</v>
      </c>
      <c r="E51" s="77">
        <v>83.04</v>
      </c>
      <c r="F51" s="78">
        <v>1.66</v>
      </c>
      <c r="G51" s="33">
        <v>1352.76</v>
      </c>
      <c r="H51" s="79">
        <f>SUM(F51*G51/1000)</f>
        <v>2.2455816</v>
      </c>
      <c r="I51" s="13">
        <f>F51/2*G51</f>
        <v>1122.7908</v>
      </c>
    </row>
    <row r="52" spans="1:9" hidden="1">
      <c r="A52" s="29">
        <v>24</v>
      </c>
      <c r="B52" s="75" t="s">
        <v>256</v>
      </c>
      <c r="C52" s="76" t="s">
        <v>89</v>
      </c>
      <c r="D52" s="75" t="s">
        <v>206</v>
      </c>
      <c r="E52" s="77">
        <v>2626.5</v>
      </c>
      <c r="F52" s="78">
        <f>SUM(E52*5/1000)</f>
        <v>13.1325</v>
      </c>
      <c r="G52" s="33">
        <v>1803.69</v>
      </c>
      <c r="H52" s="79">
        <f t="shared" ref="H52:H54" si="8">SUM(F52*G52/1000)</f>
        <v>23.686958925000003</v>
      </c>
      <c r="I52" s="13">
        <f>F52/5*G52</f>
        <v>4737.3917849999998</v>
      </c>
    </row>
    <row r="53" spans="1:9" ht="45" hidden="1">
      <c r="A53" s="29">
        <v>25</v>
      </c>
      <c r="B53" s="75" t="s">
        <v>91</v>
      </c>
      <c r="C53" s="76" t="s">
        <v>89</v>
      </c>
      <c r="D53" s="75" t="s">
        <v>206</v>
      </c>
      <c r="E53" s="77">
        <v>2626.5</v>
      </c>
      <c r="F53" s="78">
        <f>SUM(E53*2/1000)</f>
        <v>5.2530000000000001</v>
      </c>
      <c r="G53" s="33">
        <v>1591.6</v>
      </c>
      <c r="H53" s="79">
        <f t="shared" si="8"/>
        <v>8.3606747999999982</v>
      </c>
      <c r="I53" s="13">
        <f>F53/2*G53</f>
        <v>4180.3373999999994</v>
      </c>
    </row>
    <row r="54" spans="1:9" ht="30" hidden="1">
      <c r="A54" s="29">
        <v>26</v>
      </c>
      <c r="B54" s="75" t="s">
        <v>92</v>
      </c>
      <c r="C54" s="76" t="s">
        <v>38</v>
      </c>
      <c r="D54" s="75" t="s">
        <v>206</v>
      </c>
      <c r="E54" s="77">
        <v>15</v>
      </c>
      <c r="F54" s="78">
        <f>SUM(E54*2/100)</f>
        <v>0.3</v>
      </c>
      <c r="G54" s="33">
        <v>4058.32</v>
      </c>
      <c r="H54" s="79">
        <f t="shared" si="8"/>
        <v>1.2174960000000001</v>
      </c>
      <c r="I54" s="13">
        <f t="shared" ref="I54:I55" si="9">F54/2*G54</f>
        <v>608.74800000000005</v>
      </c>
    </row>
    <row r="55" spans="1:9" hidden="1">
      <c r="A55" s="29">
        <v>27</v>
      </c>
      <c r="B55" s="75" t="s">
        <v>39</v>
      </c>
      <c r="C55" s="76" t="s">
        <v>40</v>
      </c>
      <c r="D55" s="75" t="s">
        <v>206</v>
      </c>
      <c r="E55" s="77">
        <v>1</v>
      </c>
      <c r="F55" s="78">
        <v>0.02</v>
      </c>
      <c r="G55" s="33">
        <v>7412.92</v>
      </c>
      <c r="H55" s="79">
        <f t="shared" si="6"/>
        <v>0.14825839999999998</v>
      </c>
      <c r="I55" s="13">
        <f t="shared" si="9"/>
        <v>74.129199999999997</v>
      </c>
    </row>
    <row r="56" spans="1:9" hidden="1">
      <c r="A56" s="29">
        <v>14</v>
      </c>
      <c r="B56" s="75" t="s">
        <v>41</v>
      </c>
      <c r="C56" s="76" t="s">
        <v>106</v>
      </c>
      <c r="D56" s="75" t="s">
        <v>71</v>
      </c>
      <c r="E56" s="77">
        <v>90</v>
      </c>
      <c r="F56" s="78">
        <f>SUM(E56)*3</f>
        <v>270</v>
      </c>
      <c r="G56" s="74">
        <v>86.15</v>
      </c>
      <c r="H56" s="79">
        <f>SUM(F56*G56/1000)</f>
        <v>23.2605</v>
      </c>
      <c r="I56" s="13">
        <f>F56/3*G56</f>
        <v>7753.5000000000009</v>
      </c>
    </row>
    <row r="57" spans="1:9">
      <c r="A57" s="186" t="s">
        <v>134</v>
      </c>
      <c r="B57" s="187"/>
      <c r="C57" s="187"/>
      <c r="D57" s="187"/>
      <c r="E57" s="187"/>
      <c r="F57" s="187"/>
      <c r="G57" s="187"/>
      <c r="H57" s="187"/>
      <c r="I57" s="188"/>
    </row>
    <row r="58" spans="1:9" hidden="1">
      <c r="A58" s="29"/>
      <c r="B58" s="106" t="s">
        <v>43</v>
      </c>
      <c r="C58" s="76"/>
      <c r="D58" s="75"/>
      <c r="E58" s="77"/>
      <c r="F58" s="78"/>
      <c r="G58" s="78"/>
      <c r="H58" s="79"/>
      <c r="I58" s="13"/>
    </row>
    <row r="59" spans="1:9" ht="45" hidden="1">
      <c r="A59" s="29">
        <v>15</v>
      </c>
      <c r="B59" s="75" t="s">
        <v>195</v>
      </c>
      <c r="C59" s="76" t="s">
        <v>87</v>
      </c>
      <c r="D59" s="75" t="s">
        <v>107</v>
      </c>
      <c r="E59" s="77">
        <v>111</v>
      </c>
      <c r="F59" s="78">
        <f>SUM(E59*6/100)</f>
        <v>6.66</v>
      </c>
      <c r="G59" s="33">
        <v>2029.3</v>
      </c>
      <c r="H59" s="79">
        <f>SUM(F59*G59/1000)</f>
        <v>13.515138</v>
      </c>
      <c r="I59" s="13">
        <f>G59*0.76</f>
        <v>1542.268</v>
      </c>
    </row>
    <row r="60" spans="1:9" hidden="1">
      <c r="A60" s="29">
        <v>16</v>
      </c>
      <c r="B60" s="75" t="s">
        <v>194</v>
      </c>
      <c r="C60" s="76" t="s">
        <v>159</v>
      </c>
      <c r="D60" s="75" t="s">
        <v>67</v>
      </c>
      <c r="E60" s="77"/>
      <c r="F60" s="78">
        <v>3</v>
      </c>
      <c r="G60" s="33">
        <v>1582.05</v>
      </c>
      <c r="H60" s="79">
        <f>SUM(F60*G60/1000)</f>
        <v>4.7461499999999992</v>
      </c>
      <c r="I60" s="13">
        <f>G60*2</f>
        <v>3164.1</v>
      </c>
    </row>
    <row r="61" spans="1:9" ht="23.25" customHeight="1">
      <c r="A61" s="29"/>
      <c r="B61" s="107" t="s">
        <v>44</v>
      </c>
      <c r="C61" s="87"/>
      <c r="D61" s="88"/>
      <c r="E61" s="89"/>
      <c r="F61" s="90"/>
      <c r="G61" s="33"/>
      <c r="H61" s="91"/>
      <c r="I61" s="13"/>
    </row>
    <row r="62" spans="1:9" hidden="1">
      <c r="A62" s="29"/>
      <c r="B62" s="88" t="s">
        <v>45</v>
      </c>
      <c r="C62" s="87" t="s">
        <v>53</v>
      </c>
      <c r="D62" s="88" t="s">
        <v>54</v>
      </c>
      <c r="E62" s="89">
        <v>130</v>
      </c>
      <c r="F62" s="90">
        <f>E62/100</f>
        <v>1.3</v>
      </c>
      <c r="G62" s="33">
        <v>1040.8399999999999</v>
      </c>
      <c r="H62" s="91">
        <f>F62*G62/1000</f>
        <v>1.353092</v>
      </c>
      <c r="I62" s="13">
        <v>0</v>
      </c>
    </row>
    <row r="63" spans="1:9" ht="21.75" customHeight="1">
      <c r="A63" s="29">
        <v>18</v>
      </c>
      <c r="B63" s="88" t="s">
        <v>120</v>
      </c>
      <c r="C63" s="87" t="s">
        <v>25</v>
      </c>
      <c r="D63" s="88" t="s">
        <v>205</v>
      </c>
      <c r="E63" s="89">
        <v>130</v>
      </c>
      <c r="F63" s="92">
        <f>E63*12</f>
        <v>1560</v>
      </c>
      <c r="G63" s="93">
        <v>1.2</v>
      </c>
      <c r="H63" s="90">
        <f>F63*G63/1000</f>
        <v>1.8720000000000001</v>
      </c>
      <c r="I63" s="13">
        <f t="shared" ref="I63" si="10">F63/12*G63</f>
        <v>156</v>
      </c>
    </row>
    <row r="64" spans="1:9" ht="16.5" customHeight="1">
      <c r="A64" s="29"/>
      <c r="B64" s="108" t="s">
        <v>46</v>
      </c>
      <c r="C64" s="87"/>
      <c r="D64" s="88"/>
      <c r="E64" s="89"/>
      <c r="F64" s="92"/>
      <c r="G64" s="92"/>
      <c r="H64" s="90" t="s">
        <v>136</v>
      </c>
      <c r="I64" s="13"/>
    </row>
    <row r="65" spans="1:9" ht="18.75" customHeight="1">
      <c r="A65" s="29">
        <v>19</v>
      </c>
      <c r="B65" s="94" t="s">
        <v>47</v>
      </c>
      <c r="C65" s="95" t="s">
        <v>106</v>
      </c>
      <c r="D65" s="75" t="s">
        <v>67</v>
      </c>
      <c r="E65" s="16">
        <v>9</v>
      </c>
      <c r="F65" s="74">
        <f>SUM(E65)</f>
        <v>9</v>
      </c>
      <c r="G65" s="33">
        <v>291.68</v>
      </c>
      <c r="H65" s="68">
        <f t="shared" ref="H65:H83" si="11">SUM(F65*G65/1000)</f>
        <v>2.6251199999999999</v>
      </c>
      <c r="I65" s="13">
        <f>G65*2</f>
        <v>583.36</v>
      </c>
    </row>
    <row r="66" spans="1:9" hidden="1">
      <c r="A66" s="29"/>
      <c r="B66" s="94" t="s">
        <v>48</v>
      </c>
      <c r="C66" s="95" t="s">
        <v>106</v>
      </c>
      <c r="D66" s="75" t="s">
        <v>67</v>
      </c>
      <c r="E66" s="16">
        <v>4</v>
      </c>
      <c r="F66" s="74">
        <f>SUM(E66)</f>
        <v>4</v>
      </c>
      <c r="G66" s="33">
        <v>100.01</v>
      </c>
      <c r="H66" s="68">
        <f t="shared" si="11"/>
        <v>0.40004000000000001</v>
      </c>
      <c r="I66" s="13">
        <v>0</v>
      </c>
    </row>
    <row r="67" spans="1:9" hidden="1">
      <c r="A67" s="29">
        <v>29</v>
      </c>
      <c r="B67" s="94" t="s">
        <v>49</v>
      </c>
      <c r="C67" s="96" t="s">
        <v>108</v>
      </c>
      <c r="D67" s="35" t="s">
        <v>205</v>
      </c>
      <c r="E67" s="77">
        <v>13287</v>
      </c>
      <c r="F67" s="74">
        <f>SUM(E67/100)</f>
        <v>132.87</v>
      </c>
      <c r="G67" s="33">
        <v>278.24</v>
      </c>
      <c r="H67" s="68">
        <f t="shared" si="11"/>
        <v>36.969748799999998</v>
      </c>
      <c r="I67" s="13">
        <f>132.87*G67</f>
        <v>36969.748800000001</v>
      </c>
    </row>
    <row r="68" spans="1:9" hidden="1">
      <c r="A68" s="29">
        <v>30</v>
      </c>
      <c r="B68" s="94" t="s">
        <v>50</v>
      </c>
      <c r="C68" s="95" t="s">
        <v>109</v>
      </c>
      <c r="D68" s="35" t="s">
        <v>205</v>
      </c>
      <c r="E68" s="77">
        <v>13287</v>
      </c>
      <c r="F68" s="33">
        <f>SUM(E68/1000)</f>
        <v>13.287000000000001</v>
      </c>
      <c r="G68" s="33">
        <v>216.68</v>
      </c>
      <c r="H68" s="68">
        <f t="shared" si="11"/>
        <v>2.8790271600000001</v>
      </c>
      <c r="I68" s="13">
        <f>13.287*G68</f>
        <v>2879.0271600000001</v>
      </c>
    </row>
    <row r="69" spans="1:9" hidden="1">
      <c r="A69" s="29">
        <v>31</v>
      </c>
      <c r="B69" s="94" t="s">
        <v>51</v>
      </c>
      <c r="C69" s="95" t="s">
        <v>76</v>
      </c>
      <c r="D69" s="35" t="s">
        <v>205</v>
      </c>
      <c r="E69" s="77">
        <v>2110</v>
      </c>
      <c r="F69" s="33">
        <f>SUM(E69/100)</f>
        <v>21.1</v>
      </c>
      <c r="G69" s="33">
        <v>2720.94</v>
      </c>
      <c r="H69" s="68">
        <f>SUM(F69*G69/1000)</f>
        <v>57.411834000000006</v>
      </c>
      <c r="I69" s="13">
        <f>21.1*G69</f>
        <v>57411.834000000003</v>
      </c>
    </row>
    <row r="70" spans="1:9" hidden="1">
      <c r="A70" s="29">
        <v>32</v>
      </c>
      <c r="B70" s="97" t="s">
        <v>110</v>
      </c>
      <c r="C70" s="95" t="s">
        <v>33</v>
      </c>
      <c r="D70" s="35"/>
      <c r="E70" s="77">
        <v>8.6</v>
      </c>
      <c r="F70" s="33">
        <f>SUM(E70)</f>
        <v>8.6</v>
      </c>
      <c r="G70" s="33">
        <v>42.61</v>
      </c>
      <c r="H70" s="68">
        <f t="shared" si="11"/>
        <v>0.36644599999999999</v>
      </c>
      <c r="I70" s="13">
        <f>8.6*G70</f>
        <v>366.44599999999997</v>
      </c>
    </row>
    <row r="71" spans="1:9" hidden="1">
      <c r="A71" s="29">
        <v>33</v>
      </c>
      <c r="B71" s="97" t="s">
        <v>111</v>
      </c>
      <c r="C71" s="95" t="s">
        <v>33</v>
      </c>
      <c r="D71" s="35"/>
      <c r="E71" s="77">
        <v>8.6</v>
      </c>
      <c r="F71" s="33">
        <f>SUM(E71)</f>
        <v>8.6</v>
      </c>
      <c r="G71" s="33">
        <v>46.04</v>
      </c>
      <c r="H71" s="68">
        <f t="shared" si="11"/>
        <v>0.39594399999999996</v>
      </c>
      <c r="I71" s="13">
        <f>8.6*G71</f>
        <v>395.94399999999996</v>
      </c>
    </row>
    <row r="72" spans="1:9" ht="17.25" hidden="1" customHeight="1">
      <c r="A72" s="29">
        <v>20</v>
      </c>
      <c r="B72" s="35" t="s">
        <v>57</v>
      </c>
      <c r="C72" s="95" t="s">
        <v>58</v>
      </c>
      <c r="D72" s="35" t="s">
        <v>54</v>
      </c>
      <c r="E72" s="16">
        <v>3</v>
      </c>
      <c r="F72" s="33">
        <f>SUM(E72)</f>
        <v>3</v>
      </c>
      <c r="G72" s="33">
        <v>65.42</v>
      </c>
      <c r="H72" s="68">
        <f t="shared" si="11"/>
        <v>0.19625999999999999</v>
      </c>
      <c r="I72" s="13">
        <f>3*G72</f>
        <v>196.26</v>
      </c>
    </row>
    <row r="73" spans="1:9" ht="16.5" customHeight="1">
      <c r="A73" s="29"/>
      <c r="B73" s="109" t="s">
        <v>72</v>
      </c>
      <c r="C73" s="95"/>
      <c r="D73" s="35"/>
      <c r="E73" s="16"/>
      <c r="F73" s="33"/>
      <c r="G73" s="33"/>
      <c r="H73" s="68" t="s">
        <v>136</v>
      </c>
      <c r="I73" s="13"/>
    </row>
    <row r="74" spans="1:9" ht="30" hidden="1">
      <c r="A74" s="29"/>
      <c r="B74" s="35" t="s">
        <v>160</v>
      </c>
      <c r="C74" s="95" t="s">
        <v>106</v>
      </c>
      <c r="D74" s="75" t="s">
        <v>67</v>
      </c>
      <c r="E74" s="16">
        <v>1</v>
      </c>
      <c r="F74" s="33">
        <v>1</v>
      </c>
      <c r="G74" s="33">
        <v>1543.4</v>
      </c>
      <c r="H74" s="68">
        <f t="shared" ref="H74:H76" si="12">SUM(F74*G74/1000)</f>
        <v>1.5434000000000001</v>
      </c>
      <c r="I74" s="13">
        <v>0</v>
      </c>
    </row>
    <row r="75" spans="1:9" hidden="1">
      <c r="A75" s="29">
        <v>17</v>
      </c>
      <c r="B75" s="35" t="s">
        <v>73</v>
      </c>
      <c r="C75" s="95" t="s">
        <v>74</v>
      </c>
      <c r="D75" s="75" t="s">
        <v>67</v>
      </c>
      <c r="E75" s="16">
        <v>3</v>
      </c>
      <c r="F75" s="33">
        <f>E75/10</f>
        <v>0.3</v>
      </c>
      <c r="G75" s="33">
        <v>657.87</v>
      </c>
      <c r="H75" s="68">
        <f t="shared" si="12"/>
        <v>0.19736099999999998</v>
      </c>
      <c r="I75" s="13">
        <f>G75*0.9</f>
        <v>592.08299999999997</v>
      </c>
    </row>
    <row r="76" spans="1:9" hidden="1">
      <c r="A76" s="29"/>
      <c r="B76" s="35" t="s">
        <v>161</v>
      </c>
      <c r="C76" s="95" t="s">
        <v>106</v>
      </c>
      <c r="D76" s="75" t="s">
        <v>67</v>
      </c>
      <c r="E76" s="16">
        <v>2</v>
      </c>
      <c r="F76" s="78">
        <f>SUM(E76)</f>
        <v>2</v>
      </c>
      <c r="G76" s="33">
        <v>1118.72</v>
      </c>
      <c r="H76" s="68">
        <f t="shared" si="12"/>
        <v>2.2374399999999999</v>
      </c>
      <c r="I76" s="13">
        <v>0</v>
      </c>
    </row>
    <row r="77" spans="1:9" hidden="1">
      <c r="A77" s="29"/>
      <c r="B77" s="47" t="s">
        <v>162</v>
      </c>
      <c r="C77" s="48" t="s">
        <v>106</v>
      </c>
      <c r="D77" s="75" t="s">
        <v>67</v>
      </c>
      <c r="E77" s="16">
        <v>1</v>
      </c>
      <c r="F77" s="93">
        <v>1</v>
      </c>
      <c r="G77" s="33">
        <v>1605.83</v>
      </c>
      <c r="H77" s="68">
        <f>SUM(F77*G77/1000)</f>
        <v>1.6058299999999999</v>
      </c>
      <c r="I77" s="13">
        <v>0</v>
      </c>
    </row>
    <row r="78" spans="1:9" ht="30.75" customHeight="1">
      <c r="A78" s="29">
        <v>20</v>
      </c>
      <c r="B78" s="47" t="s">
        <v>163</v>
      </c>
      <c r="C78" s="48" t="s">
        <v>106</v>
      </c>
      <c r="D78" s="35" t="s">
        <v>205</v>
      </c>
      <c r="E78" s="98">
        <v>2</v>
      </c>
      <c r="F78" s="92">
        <f>E78*12</f>
        <v>24</v>
      </c>
      <c r="G78" s="99">
        <v>53.42</v>
      </c>
      <c r="H78" s="68">
        <f t="shared" ref="H78:H79" si="13">SUM(F78*G78/1000)</f>
        <v>1.2820799999999999</v>
      </c>
      <c r="I78" s="13">
        <f t="shared" ref="I78:I81" si="14">F78/12*G78</f>
        <v>106.84</v>
      </c>
    </row>
    <row r="79" spans="1:9" ht="27.75" customHeight="1">
      <c r="A79" s="29">
        <v>21</v>
      </c>
      <c r="B79" s="57" t="s">
        <v>164</v>
      </c>
      <c r="C79" s="95"/>
      <c r="D79" s="35" t="s">
        <v>205</v>
      </c>
      <c r="E79" s="16">
        <v>1</v>
      </c>
      <c r="F79" s="33">
        <v>12</v>
      </c>
      <c r="G79" s="33">
        <v>1194</v>
      </c>
      <c r="H79" s="68">
        <f t="shared" si="13"/>
        <v>14.327999999999999</v>
      </c>
      <c r="I79" s="13">
        <f t="shared" si="14"/>
        <v>1194</v>
      </c>
    </row>
    <row r="80" spans="1:9" ht="18" customHeight="1">
      <c r="A80" s="29"/>
      <c r="B80" s="110" t="s">
        <v>165</v>
      </c>
      <c r="C80" s="48"/>
      <c r="D80" s="35"/>
      <c r="E80" s="16"/>
      <c r="F80" s="33"/>
      <c r="G80" s="33"/>
      <c r="H80" s="68"/>
      <c r="I80" s="13"/>
    </row>
    <row r="81" spans="1:9" ht="22.5" customHeight="1">
      <c r="A81" s="29">
        <v>22</v>
      </c>
      <c r="B81" s="35" t="s">
        <v>166</v>
      </c>
      <c r="C81" s="100" t="s">
        <v>167</v>
      </c>
      <c r="D81" s="75" t="s">
        <v>206</v>
      </c>
      <c r="E81" s="16">
        <v>2626.5</v>
      </c>
      <c r="F81" s="33">
        <f>SUM(E81*12)</f>
        <v>31518</v>
      </c>
      <c r="G81" s="33">
        <v>2.2799999999999998</v>
      </c>
      <c r="H81" s="68">
        <f t="shared" ref="H81" si="15">SUM(F81*G81/1000)</f>
        <v>71.861039999999988</v>
      </c>
      <c r="I81" s="13">
        <f t="shared" si="14"/>
        <v>5988.4199999999992</v>
      </c>
    </row>
    <row r="82" spans="1:9" hidden="1">
      <c r="A82" s="29"/>
      <c r="B82" s="111" t="s">
        <v>75</v>
      </c>
      <c r="C82" s="95"/>
      <c r="D82" s="35"/>
      <c r="E82" s="16"/>
      <c r="F82" s="33"/>
      <c r="G82" s="33" t="s">
        <v>136</v>
      </c>
      <c r="H82" s="68" t="s">
        <v>136</v>
      </c>
      <c r="I82" s="13"/>
    </row>
    <row r="83" spans="1:9" hidden="1">
      <c r="A83" s="29"/>
      <c r="B83" s="101" t="s">
        <v>126</v>
      </c>
      <c r="C83" s="96" t="s">
        <v>76</v>
      </c>
      <c r="D83" s="94"/>
      <c r="E83" s="102"/>
      <c r="F83" s="74">
        <v>0.5</v>
      </c>
      <c r="G83" s="74">
        <v>3619.09</v>
      </c>
      <c r="H83" s="68">
        <f t="shared" si="11"/>
        <v>1.8095450000000002</v>
      </c>
      <c r="I83" s="13"/>
    </row>
    <row r="84" spans="1:9" ht="28.5" hidden="1">
      <c r="A84" s="29"/>
      <c r="B84" s="62" t="s">
        <v>93</v>
      </c>
      <c r="C84" s="13"/>
      <c r="D84" s="13"/>
      <c r="E84" s="13"/>
      <c r="F84" s="13"/>
      <c r="G84" s="13"/>
      <c r="H84" s="13"/>
      <c r="I84" s="13"/>
    </row>
    <row r="85" spans="1:9" hidden="1">
      <c r="A85" s="29"/>
      <c r="B85" s="75" t="s">
        <v>112</v>
      </c>
      <c r="C85" s="103"/>
      <c r="D85" s="104"/>
      <c r="E85" s="105"/>
      <c r="F85" s="34">
        <v>1</v>
      </c>
      <c r="G85" s="34">
        <v>8275.7000000000007</v>
      </c>
      <c r="H85" s="68">
        <f>G85*F85/1000</f>
        <v>8.2757000000000005</v>
      </c>
      <c r="I85" s="13"/>
    </row>
    <row r="86" spans="1:9">
      <c r="A86" s="174" t="s">
        <v>133</v>
      </c>
      <c r="B86" s="175"/>
      <c r="C86" s="175"/>
      <c r="D86" s="175"/>
      <c r="E86" s="175"/>
      <c r="F86" s="175"/>
      <c r="G86" s="175"/>
      <c r="H86" s="175"/>
      <c r="I86" s="176"/>
    </row>
    <row r="87" spans="1:9" ht="18.75" customHeight="1">
      <c r="A87" s="29">
        <v>23</v>
      </c>
      <c r="B87" s="75" t="s">
        <v>113</v>
      </c>
      <c r="C87" s="95" t="s">
        <v>55</v>
      </c>
      <c r="D87" s="61" t="s">
        <v>142</v>
      </c>
      <c r="E87" s="33">
        <v>2626.5</v>
      </c>
      <c r="F87" s="33">
        <f>SUM(E87*12)</f>
        <v>31518</v>
      </c>
      <c r="G87" s="33">
        <v>3.1</v>
      </c>
      <c r="H87" s="68">
        <f>SUM(F87*G87/1000)</f>
        <v>97.705799999999996</v>
      </c>
      <c r="I87" s="13">
        <f t="shared" ref="I87:I88" si="16">F87/12*G87</f>
        <v>8142.1500000000005</v>
      </c>
    </row>
    <row r="88" spans="1:9" ht="29.25" customHeight="1">
      <c r="A88" s="29">
        <v>24</v>
      </c>
      <c r="B88" s="35" t="s">
        <v>77</v>
      </c>
      <c r="C88" s="95"/>
      <c r="D88" s="61" t="s">
        <v>142</v>
      </c>
      <c r="E88" s="77">
        <f>E87</f>
        <v>2626.5</v>
      </c>
      <c r="F88" s="33">
        <f>E88*12</f>
        <v>31518</v>
      </c>
      <c r="G88" s="33">
        <v>3.5</v>
      </c>
      <c r="H88" s="68">
        <f>F88*G88/1000</f>
        <v>110.313</v>
      </c>
      <c r="I88" s="13">
        <f t="shared" si="16"/>
        <v>9192.75</v>
      </c>
    </row>
    <row r="89" spans="1:9">
      <c r="A89" s="29"/>
      <c r="B89" s="36" t="s">
        <v>80</v>
      </c>
      <c r="C89" s="59"/>
      <c r="D89" s="58"/>
      <c r="E89" s="55"/>
      <c r="F89" s="55"/>
      <c r="G89" s="55"/>
      <c r="H89" s="60">
        <f>H79</f>
        <v>14.327999999999999</v>
      </c>
      <c r="I89" s="55">
        <f>I88+I87+I81+I79+I78+I65+I63+I34+I33+I32+I31+I28+I27+I26+I25+I24+I23+I22+I21+I20+I19+I18+I17+I16</f>
        <v>49874.924463444433</v>
      </c>
    </row>
    <row r="90" spans="1:9">
      <c r="A90" s="163" t="s">
        <v>60</v>
      </c>
      <c r="B90" s="164"/>
      <c r="C90" s="164"/>
      <c r="D90" s="164"/>
      <c r="E90" s="164"/>
      <c r="F90" s="164"/>
      <c r="G90" s="164"/>
      <c r="H90" s="164"/>
      <c r="I90" s="165"/>
    </row>
    <row r="91" spans="1:9" ht="31.5" customHeight="1">
      <c r="A91" s="29" t="s">
        <v>227</v>
      </c>
      <c r="B91" s="46" t="s">
        <v>121</v>
      </c>
      <c r="C91" s="49" t="s">
        <v>106</v>
      </c>
      <c r="D91" s="14"/>
      <c r="E91" s="17"/>
      <c r="F91" s="13">
        <v>135</v>
      </c>
      <c r="G91" s="13">
        <v>55.55</v>
      </c>
      <c r="H91" s="56">
        <f t="shared" ref="H91:H92" si="17">G91*F91/1000</f>
        <v>7.49925</v>
      </c>
      <c r="I91" s="13">
        <f>G91*45</f>
        <v>2499.75</v>
      </c>
    </row>
    <row r="92" spans="1:9" ht="28.5" customHeight="1">
      <c r="A92" s="29">
        <v>26</v>
      </c>
      <c r="B92" s="47" t="s">
        <v>290</v>
      </c>
      <c r="C92" s="48" t="s">
        <v>291</v>
      </c>
      <c r="D92" s="35"/>
      <c r="E92" s="16"/>
      <c r="F92" s="33">
        <v>1</v>
      </c>
      <c r="G92" s="33">
        <v>689.92</v>
      </c>
      <c r="H92" s="68">
        <f t="shared" si="17"/>
        <v>0.68991999999999998</v>
      </c>
      <c r="I92" s="13">
        <f>G92*2</f>
        <v>1379.84</v>
      </c>
    </row>
    <row r="93" spans="1:9" ht="18" customHeight="1">
      <c r="A93" s="29">
        <v>27</v>
      </c>
      <c r="B93" s="47" t="s">
        <v>147</v>
      </c>
      <c r="C93" s="48" t="s">
        <v>106</v>
      </c>
      <c r="D93" s="35"/>
      <c r="E93" s="16"/>
      <c r="F93" s="33"/>
      <c r="G93" s="33">
        <v>197.48</v>
      </c>
      <c r="H93" s="68"/>
      <c r="I93" s="13">
        <f>G93*1</f>
        <v>197.48</v>
      </c>
    </row>
    <row r="94" spans="1:9" ht="35.25" customHeight="1">
      <c r="A94" s="29">
        <v>28</v>
      </c>
      <c r="B94" s="46" t="s">
        <v>292</v>
      </c>
      <c r="C94" s="49" t="s">
        <v>173</v>
      </c>
      <c r="D94" s="35"/>
      <c r="E94" s="16"/>
      <c r="F94" s="33"/>
      <c r="G94" s="33">
        <v>56.34</v>
      </c>
      <c r="H94" s="68"/>
      <c r="I94" s="13">
        <f>G94*2</f>
        <v>112.68</v>
      </c>
    </row>
    <row r="95" spans="1:9" ht="18.75" customHeight="1">
      <c r="A95" s="29"/>
      <c r="B95" s="41" t="s">
        <v>52</v>
      </c>
      <c r="C95" s="37"/>
      <c r="D95" s="44"/>
      <c r="E95" s="37">
        <v>1</v>
      </c>
      <c r="F95" s="37"/>
      <c r="G95" s="37"/>
      <c r="H95" s="37"/>
      <c r="I95" s="31">
        <f>SUM(I91:I94)-I91</f>
        <v>1690</v>
      </c>
    </row>
    <row r="96" spans="1:9">
      <c r="A96" s="29"/>
      <c r="B96" s="43" t="s">
        <v>78</v>
      </c>
      <c r="C96" s="15"/>
      <c r="D96" s="15"/>
      <c r="E96" s="38"/>
      <c r="F96" s="38"/>
      <c r="G96" s="39"/>
      <c r="H96" s="39"/>
      <c r="I96" s="16">
        <v>0</v>
      </c>
    </row>
    <row r="97" spans="1:9">
      <c r="A97" s="45"/>
      <c r="B97" s="42" t="s">
        <v>148</v>
      </c>
      <c r="C97" s="32"/>
      <c r="D97" s="32"/>
      <c r="E97" s="32"/>
      <c r="F97" s="32"/>
      <c r="G97" s="32"/>
      <c r="H97" s="32"/>
      <c r="I97" s="40">
        <f>I89+I95</f>
        <v>51564.924463444433</v>
      </c>
    </row>
    <row r="98" spans="1:9">
      <c r="A98" s="191" t="s">
        <v>228</v>
      </c>
      <c r="B98" s="192"/>
      <c r="C98" s="192"/>
      <c r="D98" s="192"/>
      <c r="E98" s="192"/>
      <c r="F98" s="192"/>
      <c r="G98" s="192"/>
      <c r="H98" s="192"/>
      <c r="I98" s="192"/>
    </row>
    <row r="99" spans="1:9" ht="15.75">
      <c r="A99" s="166" t="s">
        <v>296</v>
      </c>
      <c r="B99" s="166"/>
      <c r="C99" s="166"/>
      <c r="D99" s="166"/>
      <c r="E99" s="166"/>
      <c r="F99" s="166"/>
      <c r="G99" s="166"/>
      <c r="H99" s="166"/>
      <c r="I99" s="166"/>
    </row>
    <row r="100" spans="1:9" ht="15.75">
      <c r="A100" s="50"/>
      <c r="B100" s="167" t="s">
        <v>297</v>
      </c>
      <c r="C100" s="167"/>
      <c r="D100" s="167"/>
      <c r="E100" s="167"/>
      <c r="F100" s="167"/>
      <c r="G100" s="167"/>
      <c r="H100" s="53"/>
      <c r="I100" s="3"/>
    </row>
    <row r="101" spans="1:9">
      <c r="A101" s="132"/>
      <c r="B101" s="168" t="s">
        <v>6</v>
      </c>
      <c r="C101" s="168"/>
      <c r="D101" s="168"/>
      <c r="E101" s="168"/>
      <c r="F101" s="168"/>
      <c r="G101" s="168"/>
      <c r="H101" s="24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169" t="s">
        <v>7</v>
      </c>
      <c r="B103" s="169"/>
      <c r="C103" s="169"/>
      <c r="D103" s="169"/>
      <c r="E103" s="169"/>
      <c r="F103" s="169"/>
      <c r="G103" s="169"/>
      <c r="H103" s="169"/>
      <c r="I103" s="169"/>
    </row>
    <row r="104" spans="1:9" ht="15.75">
      <c r="A104" s="169" t="s">
        <v>8</v>
      </c>
      <c r="B104" s="169"/>
      <c r="C104" s="169"/>
      <c r="D104" s="169"/>
      <c r="E104" s="169"/>
      <c r="F104" s="169"/>
      <c r="G104" s="169"/>
      <c r="H104" s="169"/>
      <c r="I104" s="169"/>
    </row>
    <row r="105" spans="1:9" ht="15.75">
      <c r="A105" s="170" t="s">
        <v>61</v>
      </c>
      <c r="B105" s="170"/>
      <c r="C105" s="170"/>
      <c r="D105" s="170"/>
      <c r="E105" s="170"/>
      <c r="F105" s="170"/>
      <c r="G105" s="170"/>
      <c r="H105" s="170"/>
      <c r="I105" s="170"/>
    </row>
    <row r="106" spans="1:9" ht="15.75">
      <c r="A106" s="11"/>
    </row>
    <row r="107" spans="1:9" ht="15.75">
      <c r="A107" s="171" t="s">
        <v>9</v>
      </c>
      <c r="B107" s="171"/>
      <c r="C107" s="171"/>
      <c r="D107" s="171"/>
      <c r="E107" s="171"/>
      <c r="F107" s="171"/>
      <c r="G107" s="171"/>
      <c r="H107" s="171"/>
      <c r="I107" s="171"/>
    </row>
    <row r="108" spans="1:9" ht="15.75">
      <c r="A108" s="4"/>
    </row>
    <row r="109" spans="1:9" ht="15.75">
      <c r="B109" s="134" t="s">
        <v>10</v>
      </c>
      <c r="C109" s="172" t="s">
        <v>132</v>
      </c>
      <c r="D109" s="172"/>
      <c r="E109" s="172"/>
      <c r="F109" s="51"/>
      <c r="I109" s="135"/>
    </row>
    <row r="110" spans="1:9">
      <c r="A110" s="132"/>
      <c r="C110" s="168" t="s">
        <v>11</v>
      </c>
      <c r="D110" s="168"/>
      <c r="E110" s="168"/>
      <c r="F110" s="24"/>
      <c r="I110" s="133" t="s">
        <v>12</v>
      </c>
    </row>
    <row r="111" spans="1:9" ht="15.75">
      <c r="A111" s="25"/>
      <c r="C111" s="12"/>
      <c r="D111" s="12"/>
      <c r="G111" s="12"/>
      <c r="H111" s="12"/>
    </row>
    <row r="112" spans="1:9" ht="15.75">
      <c r="B112" s="134" t="s">
        <v>13</v>
      </c>
      <c r="C112" s="173"/>
      <c r="D112" s="173"/>
      <c r="E112" s="173"/>
      <c r="F112" s="52"/>
      <c r="I112" s="135"/>
    </row>
    <row r="113" spans="1:9">
      <c r="A113" s="132"/>
      <c r="C113" s="162" t="s">
        <v>11</v>
      </c>
      <c r="D113" s="162"/>
      <c r="E113" s="162"/>
      <c r="F113" s="132"/>
      <c r="I113" s="133" t="s">
        <v>12</v>
      </c>
    </row>
    <row r="114" spans="1:9" ht="15.75">
      <c r="A114" s="4" t="s">
        <v>14</v>
      </c>
    </row>
    <row r="115" spans="1:9">
      <c r="A115" s="195" t="s">
        <v>15</v>
      </c>
      <c r="B115" s="195"/>
      <c r="C115" s="195"/>
      <c r="D115" s="195"/>
      <c r="E115" s="195"/>
      <c r="F115" s="195"/>
      <c r="G115" s="195"/>
      <c r="H115" s="195"/>
      <c r="I115" s="195"/>
    </row>
    <row r="116" spans="1:9" ht="33.75" customHeight="1">
      <c r="A116" s="196" t="s">
        <v>16</v>
      </c>
      <c r="B116" s="196"/>
      <c r="C116" s="196"/>
      <c r="D116" s="196"/>
      <c r="E116" s="196"/>
      <c r="F116" s="196"/>
      <c r="G116" s="196"/>
      <c r="H116" s="196"/>
      <c r="I116" s="196"/>
    </row>
    <row r="117" spans="1:9" ht="31.5" customHeight="1">
      <c r="A117" s="196" t="s">
        <v>17</v>
      </c>
      <c r="B117" s="196"/>
      <c r="C117" s="196"/>
      <c r="D117" s="196"/>
      <c r="E117" s="196"/>
      <c r="F117" s="196"/>
      <c r="G117" s="196"/>
      <c r="H117" s="196"/>
      <c r="I117" s="196"/>
    </row>
    <row r="118" spans="1:9" ht="39" customHeight="1">
      <c r="A118" s="196" t="s">
        <v>21</v>
      </c>
      <c r="B118" s="196"/>
      <c r="C118" s="196"/>
      <c r="D118" s="196"/>
      <c r="E118" s="196"/>
      <c r="F118" s="196"/>
      <c r="G118" s="196"/>
      <c r="H118" s="196"/>
      <c r="I118" s="196"/>
    </row>
    <row r="119" spans="1:9" ht="15.75">
      <c r="A119" s="196" t="s">
        <v>20</v>
      </c>
      <c r="B119" s="196"/>
      <c r="C119" s="196"/>
      <c r="D119" s="196"/>
      <c r="E119" s="196"/>
      <c r="F119" s="196"/>
      <c r="G119" s="196"/>
      <c r="H119" s="196"/>
      <c r="I119" s="196"/>
    </row>
    <row r="121" spans="1:9" ht="42" customHeight="1">
      <c r="B121" s="137" t="s">
        <v>315</v>
      </c>
      <c r="C121" s="193">
        <v>72094.8</v>
      </c>
      <c r="D121" s="193"/>
      <c r="E121" s="193"/>
      <c r="F121" s="193"/>
    </row>
    <row r="122" spans="1:9" ht="30.75" customHeight="1">
      <c r="B122" s="137" t="s">
        <v>324</v>
      </c>
      <c r="C122" s="193">
        <f>I97-I95</f>
        <v>49874.924463444433</v>
      </c>
      <c r="D122" s="193"/>
      <c r="E122" s="193"/>
      <c r="F122" s="193"/>
    </row>
    <row r="123" spans="1:9" ht="31.5" customHeight="1">
      <c r="B123" s="137" t="s">
        <v>325</v>
      </c>
      <c r="C123" s="193">
        <f>I95</f>
        <v>1690</v>
      </c>
      <c r="D123" s="193"/>
      <c r="E123" s="193"/>
      <c r="F123" s="193"/>
    </row>
    <row r="124" spans="1:9" ht="24" customHeight="1">
      <c r="B124" s="138" t="s">
        <v>309</v>
      </c>
      <c r="C124" s="193">
        <v>91155.56</v>
      </c>
      <c r="D124" s="193"/>
      <c r="E124" s="193"/>
      <c r="F124" s="193"/>
    </row>
    <row r="125" spans="1:9" ht="66.75" customHeight="1">
      <c r="B125" s="139" t="s">
        <v>293</v>
      </c>
      <c r="C125" s="194">
        <v>192706.96</v>
      </c>
      <c r="D125" s="194"/>
      <c r="E125" s="194"/>
      <c r="F125" s="194"/>
    </row>
    <row r="126" spans="1:9" ht="57" customHeight="1">
      <c r="B126" s="137" t="s">
        <v>294</v>
      </c>
      <c r="C126" s="189">
        <f>C122+C123-C121</f>
        <v>-20529.87553655557</v>
      </c>
      <c r="D126" s="190"/>
      <c r="E126" s="190"/>
      <c r="F126" s="190"/>
    </row>
  </sheetData>
  <mergeCells count="35">
    <mergeCell ref="A14:I14"/>
    <mergeCell ref="A3:I3"/>
    <mergeCell ref="A4:I4"/>
    <mergeCell ref="A5:I5"/>
    <mergeCell ref="A8:I8"/>
    <mergeCell ref="A10:I10"/>
    <mergeCell ref="A104:I104"/>
    <mergeCell ref="A15:I15"/>
    <mergeCell ref="A29:I29"/>
    <mergeCell ref="A46:I46"/>
    <mergeCell ref="A57:I57"/>
    <mergeCell ref="A86:I86"/>
    <mergeCell ref="A90:I90"/>
    <mergeCell ref="A98:I98"/>
    <mergeCell ref="A99:I99"/>
    <mergeCell ref="B100:G100"/>
    <mergeCell ref="B101:G101"/>
    <mergeCell ref="A103:I103"/>
    <mergeCell ref="C121:F121"/>
    <mergeCell ref="A105:I105"/>
    <mergeCell ref="A107:I107"/>
    <mergeCell ref="C109:E109"/>
    <mergeCell ref="C110:E110"/>
    <mergeCell ref="C112:E112"/>
    <mergeCell ref="C113:E113"/>
    <mergeCell ref="A115:I115"/>
    <mergeCell ref="A116:I116"/>
    <mergeCell ref="A117:I117"/>
    <mergeCell ref="A118:I118"/>
    <mergeCell ref="A119:I119"/>
    <mergeCell ref="C122:F122"/>
    <mergeCell ref="C123:F123"/>
    <mergeCell ref="C124:F124"/>
    <mergeCell ref="C125:F125"/>
    <mergeCell ref="C126:F126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28"/>
  <sheetViews>
    <sheetView topLeftCell="A113" workbookViewId="0">
      <selection activeCell="I127" sqref="I127"/>
    </sheetView>
  </sheetViews>
  <sheetFormatPr defaultRowHeight="15"/>
  <cols>
    <col min="1" max="1" width="11.42578125" customWidth="1"/>
    <col min="2" max="2" width="50.42578125" customWidth="1"/>
    <col min="3" max="3" width="15.28515625" customWidth="1"/>
    <col min="4" max="4" width="15" customWidth="1"/>
    <col min="5" max="6" width="0" hidden="1" customWidth="1"/>
    <col min="7" max="7" width="16.7109375" customWidth="1"/>
    <col min="8" max="8" width="0" hidden="1" customWidth="1"/>
    <col min="9" max="9" width="18.140625" customWidth="1"/>
  </cols>
  <sheetData>
    <row r="1" spans="1:9" ht="15.75">
      <c r="A1" s="27" t="s">
        <v>298</v>
      </c>
      <c r="I1" s="26"/>
    </row>
    <row r="2" spans="1:9" ht="15.75">
      <c r="A2" s="28" t="s">
        <v>62</v>
      </c>
    </row>
    <row r="3" spans="1:9" ht="15.75">
      <c r="A3" s="179" t="s">
        <v>310</v>
      </c>
      <c r="B3" s="179"/>
      <c r="C3" s="179"/>
      <c r="D3" s="179"/>
      <c r="E3" s="179"/>
      <c r="F3" s="179"/>
      <c r="G3" s="179"/>
      <c r="H3" s="179"/>
      <c r="I3" s="179"/>
    </row>
    <row r="4" spans="1:9" ht="31.5" customHeight="1">
      <c r="A4" s="180" t="s">
        <v>128</v>
      </c>
      <c r="B4" s="180"/>
      <c r="C4" s="180"/>
      <c r="D4" s="180"/>
      <c r="E4" s="180"/>
      <c r="F4" s="180"/>
      <c r="G4" s="180"/>
      <c r="H4" s="180"/>
      <c r="I4" s="180"/>
    </row>
    <row r="5" spans="1:9" ht="15.75">
      <c r="A5" s="179" t="s">
        <v>299</v>
      </c>
      <c r="B5" s="181"/>
      <c r="C5" s="181"/>
      <c r="D5" s="181"/>
      <c r="E5" s="181"/>
      <c r="F5" s="181"/>
      <c r="G5" s="181"/>
      <c r="H5" s="181"/>
      <c r="I5" s="181"/>
    </row>
    <row r="6" spans="1:9" ht="15.75">
      <c r="A6" s="2"/>
      <c r="B6" s="146"/>
      <c r="C6" s="146"/>
      <c r="D6" s="146"/>
      <c r="E6" s="146"/>
      <c r="F6" s="146"/>
      <c r="G6" s="146"/>
      <c r="H6" s="146"/>
      <c r="I6" s="125">
        <v>43312</v>
      </c>
    </row>
    <row r="7" spans="1:9" ht="15.75">
      <c r="B7" s="144"/>
      <c r="C7" s="144"/>
      <c r="D7" s="144"/>
      <c r="E7" s="3"/>
      <c r="F7" s="3"/>
      <c r="G7" s="3"/>
      <c r="H7" s="3"/>
    </row>
    <row r="8" spans="1:9" ht="102" customHeight="1">
      <c r="A8" s="182" t="s">
        <v>300</v>
      </c>
      <c r="B8" s="182"/>
      <c r="C8" s="182"/>
      <c r="D8" s="182"/>
      <c r="E8" s="182"/>
      <c r="F8" s="182"/>
      <c r="G8" s="182"/>
      <c r="H8" s="182"/>
      <c r="I8" s="182"/>
    </row>
    <row r="9" spans="1:9" ht="15.75">
      <c r="A9" s="4"/>
    </row>
    <row r="10" spans="1:9" ht="60.75" customHeight="1">
      <c r="A10" s="183" t="s">
        <v>143</v>
      </c>
      <c r="B10" s="183"/>
      <c r="C10" s="183"/>
      <c r="D10" s="183"/>
      <c r="E10" s="183"/>
      <c r="F10" s="183"/>
      <c r="G10" s="183"/>
      <c r="H10" s="183"/>
      <c r="I10" s="183"/>
    </row>
    <row r="11" spans="1:9" ht="15.75">
      <c r="A11" s="4"/>
    </row>
    <row r="12" spans="1:9" ht="66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84" t="s">
        <v>59</v>
      </c>
      <c r="B14" s="184"/>
      <c r="C14" s="184"/>
      <c r="D14" s="184"/>
      <c r="E14" s="184"/>
      <c r="F14" s="184"/>
      <c r="G14" s="184"/>
      <c r="H14" s="184"/>
      <c r="I14" s="184"/>
    </row>
    <row r="15" spans="1:9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</row>
    <row r="16" spans="1:9" ht="22.5" customHeight="1">
      <c r="A16" s="29">
        <v>1</v>
      </c>
      <c r="B16" s="75" t="s">
        <v>86</v>
      </c>
      <c r="C16" s="76" t="s">
        <v>87</v>
      </c>
      <c r="D16" s="75" t="s">
        <v>233</v>
      </c>
      <c r="E16" s="77">
        <v>49.72</v>
      </c>
      <c r="F16" s="78">
        <f>SUM(E16*156/100)</f>
        <v>77.563199999999995</v>
      </c>
      <c r="G16" s="78">
        <v>230</v>
      </c>
      <c r="H16" s="79">
        <f t="shared" ref="H16:H25" si="0">SUM(F16*G16/1000)</f>
        <v>17.839535999999999</v>
      </c>
      <c r="I16" s="13">
        <f>F16/12*G16</f>
        <v>1486.6279999999999</v>
      </c>
    </row>
    <row r="17" spans="1:9" ht="21" customHeight="1">
      <c r="A17" s="29">
        <v>2</v>
      </c>
      <c r="B17" s="75" t="s">
        <v>288</v>
      </c>
      <c r="C17" s="76" t="s">
        <v>87</v>
      </c>
      <c r="D17" s="75" t="s">
        <v>301</v>
      </c>
      <c r="E17" s="77">
        <v>198.88</v>
      </c>
      <c r="F17" s="78">
        <f>SUM(E17*104/100)</f>
        <v>206.83520000000001</v>
      </c>
      <c r="G17" s="78">
        <v>230</v>
      </c>
      <c r="H17" s="79">
        <f t="shared" si="0"/>
        <v>47.572096000000002</v>
      </c>
      <c r="I17" s="13">
        <f>206.8352/12*G17</f>
        <v>3964.3413333333328</v>
      </c>
    </row>
    <row r="18" spans="1:9" ht="20.25" customHeight="1">
      <c r="A18" s="29">
        <v>3</v>
      </c>
      <c r="B18" s="75" t="s">
        <v>115</v>
      </c>
      <c r="C18" s="76" t="s">
        <v>87</v>
      </c>
      <c r="D18" s="75" t="s">
        <v>209</v>
      </c>
      <c r="E18" s="77">
        <v>248.6</v>
      </c>
      <c r="F18" s="78">
        <f>SUM(E18*24/100)</f>
        <v>59.663999999999994</v>
      </c>
      <c r="G18" s="78">
        <v>661.67</v>
      </c>
      <c r="H18" s="79">
        <f t="shared" si="0"/>
        <v>39.477878879999999</v>
      </c>
      <c r="I18" s="13">
        <f>F18/12*G18</f>
        <v>3289.8232399999993</v>
      </c>
    </row>
    <row r="19" spans="1:9" ht="18.75" hidden="1" customHeight="1">
      <c r="A19" s="29">
        <v>4</v>
      </c>
      <c r="B19" s="75" t="s">
        <v>94</v>
      </c>
      <c r="C19" s="76" t="s">
        <v>95</v>
      </c>
      <c r="D19" s="75" t="s">
        <v>96</v>
      </c>
      <c r="E19" s="77">
        <v>18.48</v>
      </c>
      <c r="F19" s="78">
        <f>SUM(E19/10)</f>
        <v>1.8480000000000001</v>
      </c>
      <c r="G19" s="78">
        <v>223.17</v>
      </c>
      <c r="H19" s="79">
        <f t="shared" si="0"/>
        <v>0.41241815999999998</v>
      </c>
      <c r="I19" s="13">
        <f>1.848*G19</f>
        <v>412.41816</v>
      </c>
    </row>
    <row r="20" spans="1:9" ht="19.5" customHeight="1">
      <c r="A20" s="29">
        <v>4</v>
      </c>
      <c r="B20" s="75" t="s">
        <v>97</v>
      </c>
      <c r="C20" s="76" t="s">
        <v>87</v>
      </c>
      <c r="D20" s="75" t="s">
        <v>230</v>
      </c>
      <c r="E20" s="77">
        <v>10.5</v>
      </c>
      <c r="F20" s="78">
        <f>SUM(E20*12/100)</f>
        <v>1.26</v>
      </c>
      <c r="G20" s="78">
        <v>285.76</v>
      </c>
      <c r="H20" s="79">
        <f t="shared" si="0"/>
        <v>0.36005759999999998</v>
      </c>
      <c r="I20" s="13">
        <f>F20/12*G20</f>
        <v>30.004799999999999</v>
      </c>
    </row>
    <row r="21" spans="1:9" hidden="1">
      <c r="A21" s="29">
        <v>6</v>
      </c>
      <c r="B21" s="75" t="s">
        <v>98</v>
      </c>
      <c r="C21" s="76" t="s">
        <v>87</v>
      </c>
      <c r="D21" s="75" t="s">
        <v>42</v>
      </c>
      <c r="E21" s="77">
        <v>3</v>
      </c>
      <c r="F21" s="78">
        <f>SUM(E21*2/100)</f>
        <v>0.06</v>
      </c>
      <c r="G21" s="78">
        <v>283.44</v>
      </c>
      <c r="H21" s="79">
        <f t="shared" si="0"/>
        <v>1.7006399999999998E-2</v>
      </c>
      <c r="I21" s="13">
        <f>0.03*G21</f>
        <v>8.5031999999999996</v>
      </c>
    </row>
    <row r="22" spans="1:9" hidden="1">
      <c r="A22" s="29">
        <v>7</v>
      </c>
      <c r="B22" s="75" t="s">
        <v>99</v>
      </c>
      <c r="C22" s="76" t="s">
        <v>53</v>
      </c>
      <c r="D22" s="75" t="s">
        <v>96</v>
      </c>
      <c r="E22" s="77">
        <v>267.75</v>
      </c>
      <c r="F22" s="78">
        <f>SUM(E22/100)</f>
        <v>2.6775000000000002</v>
      </c>
      <c r="G22" s="78">
        <v>353.14</v>
      </c>
      <c r="H22" s="79">
        <f t="shared" si="0"/>
        <v>0.94553235000000002</v>
      </c>
      <c r="I22" s="13">
        <f>2.6775*G22</f>
        <v>945.53235000000006</v>
      </c>
    </row>
    <row r="23" spans="1:9" hidden="1">
      <c r="A23" s="29">
        <v>8</v>
      </c>
      <c r="B23" s="75" t="s">
        <v>100</v>
      </c>
      <c r="C23" s="76" t="s">
        <v>53</v>
      </c>
      <c r="D23" s="75" t="s">
        <v>96</v>
      </c>
      <c r="E23" s="80">
        <v>36.229999999999997</v>
      </c>
      <c r="F23" s="78">
        <f>SUM(E23/100)</f>
        <v>0.36229999999999996</v>
      </c>
      <c r="G23" s="78">
        <v>58.08</v>
      </c>
      <c r="H23" s="79">
        <f t="shared" si="0"/>
        <v>2.1042383999999997E-2</v>
      </c>
      <c r="I23" s="13">
        <f>0.3623*G23</f>
        <v>21.042383999999998</v>
      </c>
    </row>
    <row r="24" spans="1:9" hidden="1">
      <c r="A24" s="29">
        <v>9</v>
      </c>
      <c r="B24" s="75" t="s">
        <v>101</v>
      </c>
      <c r="C24" s="76" t="s">
        <v>53</v>
      </c>
      <c r="D24" s="75" t="s">
        <v>54</v>
      </c>
      <c r="E24" s="77">
        <v>15</v>
      </c>
      <c r="F24" s="78">
        <f>SUM(E24/100)</f>
        <v>0.15</v>
      </c>
      <c r="G24" s="78">
        <v>511.12</v>
      </c>
      <c r="H24" s="79">
        <f t="shared" si="0"/>
        <v>7.6667999999999986E-2</v>
      </c>
      <c r="I24" s="13">
        <f>0.15*G24</f>
        <v>76.667999999999992</v>
      </c>
    </row>
    <row r="25" spans="1:9" hidden="1">
      <c r="A25" s="29">
        <v>10</v>
      </c>
      <c r="B25" s="75" t="s">
        <v>102</v>
      </c>
      <c r="C25" s="76" t="s">
        <v>53</v>
      </c>
      <c r="D25" s="75" t="s">
        <v>54</v>
      </c>
      <c r="E25" s="77">
        <v>6.38</v>
      </c>
      <c r="F25" s="78">
        <f>SUM(E25/100)</f>
        <v>6.3799999999999996E-2</v>
      </c>
      <c r="G25" s="78">
        <v>683.05</v>
      </c>
      <c r="H25" s="79">
        <f t="shared" si="0"/>
        <v>4.3578589999999993E-2</v>
      </c>
      <c r="I25" s="13">
        <f>0.0638*G25</f>
        <v>43.578589999999991</v>
      </c>
    </row>
    <row r="26" spans="1:9" ht="30" hidden="1">
      <c r="A26" s="29">
        <v>11</v>
      </c>
      <c r="B26" s="75" t="s">
        <v>122</v>
      </c>
      <c r="C26" s="76" t="s">
        <v>53</v>
      </c>
      <c r="D26" s="75" t="s">
        <v>54</v>
      </c>
      <c r="E26" s="77">
        <v>14.25</v>
      </c>
      <c r="F26" s="78">
        <v>0.14000000000000001</v>
      </c>
      <c r="G26" s="78">
        <v>283.44</v>
      </c>
      <c r="H26" s="79">
        <f>G26*F26/1000</f>
        <v>3.9681600000000004E-2</v>
      </c>
      <c r="I26" s="13">
        <f>0.14*G26</f>
        <v>39.681600000000003</v>
      </c>
    </row>
    <row r="27" spans="1:9" ht="17.25" customHeight="1">
      <c r="A27" s="29">
        <v>5</v>
      </c>
      <c r="B27" s="75" t="s">
        <v>64</v>
      </c>
      <c r="C27" s="76" t="s">
        <v>33</v>
      </c>
      <c r="D27" s="75" t="s">
        <v>63</v>
      </c>
      <c r="E27" s="82">
        <v>0.1</v>
      </c>
      <c r="F27" s="78">
        <f>SUM(E27*155)</f>
        <v>15.5</v>
      </c>
      <c r="G27" s="78">
        <v>264.85000000000002</v>
      </c>
      <c r="H27" s="79">
        <f>SUM(F27*G27/1000)</f>
        <v>4.105175</v>
      </c>
      <c r="I27" s="13">
        <f>F27/12*G27</f>
        <v>342.09791666666672</v>
      </c>
    </row>
    <row r="28" spans="1:9">
      <c r="A28" s="29">
        <v>6</v>
      </c>
      <c r="B28" s="83" t="s">
        <v>23</v>
      </c>
      <c r="C28" s="76" t="s">
        <v>24</v>
      </c>
      <c r="D28" s="83" t="s">
        <v>136</v>
      </c>
      <c r="E28" s="77">
        <v>2626.5</v>
      </c>
      <c r="F28" s="78">
        <f>SUM(E28*12)</f>
        <v>31518</v>
      </c>
      <c r="G28" s="78">
        <v>3.36</v>
      </c>
      <c r="H28" s="79">
        <f>SUM(F28*G28/1000)</f>
        <v>105.90048</v>
      </c>
      <c r="I28" s="13">
        <f t="shared" ref="I28" si="1">F28/12*G28</f>
        <v>8825.0399999999991</v>
      </c>
    </row>
    <row r="29" spans="1:9">
      <c r="A29" s="185" t="s">
        <v>84</v>
      </c>
      <c r="B29" s="185"/>
      <c r="C29" s="185"/>
      <c r="D29" s="185"/>
      <c r="E29" s="185"/>
      <c r="F29" s="185"/>
      <c r="G29" s="185"/>
      <c r="H29" s="185"/>
      <c r="I29" s="185"/>
    </row>
    <row r="30" spans="1:9">
      <c r="A30" s="29"/>
      <c r="B30" s="106" t="s">
        <v>28</v>
      </c>
      <c r="C30" s="76"/>
      <c r="D30" s="75"/>
      <c r="E30" s="77"/>
      <c r="F30" s="78"/>
      <c r="G30" s="78"/>
      <c r="H30" s="79"/>
      <c r="I30" s="13"/>
    </row>
    <row r="31" spans="1:9" ht="16.5" customHeight="1">
      <c r="A31" s="29">
        <v>7</v>
      </c>
      <c r="B31" s="75" t="s">
        <v>104</v>
      </c>
      <c r="C31" s="76" t="s">
        <v>89</v>
      </c>
      <c r="D31" s="75" t="s">
        <v>149</v>
      </c>
      <c r="E31" s="78">
        <v>665</v>
      </c>
      <c r="F31" s="78">
        <f>SUM(E31*52/1000)</f>
        <v>34.58</v>
      </c>
      <c r="G31" s="78">
        <v>204.44</v>
      </c>
      <c r="H31" s="79">
        <f t="shared" ref="H31:H36" si="2">SUM(F31*G31/1000)</f>
        <v>7.0695351999999989</v>
      </c>
      <c r="I31" s="13">
        <f t="shared" ref="I31:I32" si="3">F31/6*G31</f>
        <v>1178.2558666666666</v>
      </c>
    </row>
    <row r="32" spans="1:9" ht="30.75" customHeight="1">
      <c r="A32" s="29">
        <v>8</v>
      </c>
      <c r="B32" s="75" t="s">
        <v>117</v>
      </c>
      <c r="C32" s="76" t="s">
        <v>89</v>
      </c>
      <c r="D32" s="75" t="s">
        <v>150</v>
      </c>
      <c r="E32" s="78">
        <v>81.5</v>
      </c>
      <c r="F32" s="78">
        <f>SUM(E32*78/1000)</f>
        <v>6.3570000000000002</v>
      </c>
      <c r="G32" s="78">
        <v>339.21</v>
      </c>
      <c r="H32" s="79">
        <f t="shared" si="2"/>
        <v>2.1563579700000002</v>
      </c>
      <c r="I32" s="13">
        <f t="shared" si="3"/>
        <v>359.39299500000004</v>
      </c>
    </row>
    <row r="33" spans="1:9" ht="17.25" customHeight="1">
      <c r="A33" s="29">
        <v>9</v>
      </c>
      <c r="B33" s="75" t="s">
        <v>116</v>
      </c>
      <c r="C33" s="76" t="s">
        <v>40</v>
      </c>
      <c r="D33" s="75" t="s">
        <v>63</v>
      </c>
      <c r="E33" s="78">
        <v>3</v>
      </c>
      <c r="F33" s="78">
        <f>E33*155/100</f>
        <v>4.6500000000000004</v>
      </c>
      <c r="G33" s="78">
        <v>1707.63</v>
      </c>
      <c r="H33" s="79">
        <f>G33*F33/1000</f>
        <v>7.9404795000000012</v>
      </c>
      <c r="I33" s="13">
        <f>F33/6*G33</f>
        <v>1323.4132500000001</v>
      </c>
    </row>
    <row r="34" spans="1:9" ht="19.5" customHeight="1">
      <c r="A34" s="29">
        <v>10</v>
      </c>
      <c r="B34" s="75" t="s">
        <v>103</v>
      </c>
      <c r="C34" s="76" t="s">
        <v>31</v>
      </c>
      <c r="D34" s="75" t="s">
        <v>63</v>
      </c>
      <c r="E34" s="81">
        <f>1/3</f>
        <v>0.33333333333333331</v>
      </c>
      <c r="F34" s="78">
        <f>155/3</f>
        <v>51.666666666666664</v>
      </c>
      <c r="G34" s="78">
        <v>74.349999999999994</v>
      </c>
      <c r="H34" s="79">
        <f>SUM(G34*155/3/1000)</f>
        <v>3.8414166666666665</v>
      </c>
      <c r="I34" s="13">
        <f>F34/6*G34</f>
        <v>640.23611111111109</v>
      </c>
    </row>
    <row r="35" spans="1:9" ht="30" hidden="1">
      <c r="A35" s="29"/>
      <c r="B35" s="75" t="s">
        <v>65</v>
      </c>
      <c r="C35" s="76" t="s">
        <v>33</v>
      </c>
      <c r="D35" s="75" t="s">
        <v>67</v>
      </c>
      <c r="E35" s="77"/>
      <c r="F35" s="78">
        <v>1</v>
      </c>
      <c r="G35" s="78">
        <v>250.92</v>
      </c>
      <c r="H35" s="79">
        <f t="shared" si="2"/>
        <v>0.25091999999999998</v>
      </c>
      <c r="I35" s="13">
        <v>0</v>
      </c>
    </row>
    <row r="36" spans="1:9" ht="30" hidden="1">
      <c r="A36" s="29"/>
      <c r="B36" s="75" t="s">
        <v>66</v>
      </c>
      <c r="C36" s="76" t="s">
        <v>32</v>
      </c>
      <c r="D36" s="75" t="s">
        <v>67</v>
      </c>
      <c r="E36" s="77"/>
      <c r="F36" s="78">
        <v>1</v>
      </c>
      <c r="G36" s="78">
        <v>1490.31</v>
      </c>
      <c r="H36" s="79">
        <f t="shared" si="2"/>
        <v>1.49031</v>
      </c>
      <c r="I36" s="13">
        <v>0</v>
      </c>
    </row>
    <row r="37" spans="1:9" hidden="1">
      <c r="A37" s="29"/>
      <c r="B37" s="106" t="s">
        <v>5</v>
      </c>
      <c r="C37" s="76"/>
      <c r="D37" s="75"/>
      <c r="E37" s="77"/>
      <c r="F37" s="78"/>
      <c r="G37" s="78"/>
      <c r="H37" s="79" t="s">
        <v>136</v>
      </c>
      <c r="I37" s="13"/>
    </row>
    <row r="38" spans="1:9" hidden="1">
      <c r="A38" s="29">
        <v>7</v>
      </c>
      <c r="B38" s="84" t="s">
        <v>26</v>
      </c>
      <c r="C38" s="76" t="s">
        <v>32</v>
      </c>
      <c r="D38" s="75"/>
      <c r="E38" s="77"/>
      <c r="F38" s="78">
        <v>5</v>
      </c>
      <c r="G38" s="78">
        <v>2003</v>
      </c>
      <c r="H38" s="79">
        <f t="shared" ref="H38:H45" si="4">SUM(F38*G38/1000)</f>
        <v>10.015000000000001</v>
      </c>
      <c r="I38" s="13">
        <f t="shared" ref="I38:I42" si="5">F38/6*G38</f>
        <v>1669.1666666666667</v>
      </c>
    </row>
    <row r="39" spans="1:9" ht="30" hidden="1">
      <c r="A39" s="29">
        <v>8</v>
      </c>
      <c r="B39" s="84" t="s">
        <v>105</v>
      </c>
      <c r="C39" s="85" t="s">
        <v>29</v>
      </c>
      <c r="D39" s="75" t="s">
        <v>123</v>
      </c>
      <c r="E39" s="77">
        <v>81.5</v>
      </c>
      <c r="F39" s="86">
        <f>E39*30/1000</f>
        <v>2.4449999999999998</v>
      </c>
      <c r="G39" s="78">
        <v>2757.78</v>
      </c>
      <c r="H39" s="79">
        <f t="shared" si="4"/>
        <v>6.7427720999999998</v>
      </c>
      <c r="I39" s="13">
        <f t="shared" si="5"/>
        <v>1123.7953500000001</v>
      </c>
    </row>
    <row r="40" spans="1:9" ht="30" hidden="1">
      <c r="A40" s="29">
        <v>9</v>
      </c>
      <c r="B40" s="75" t="s">
        <v>68</v>
      </c>
      <c r="C40" s="76" t="s">
        <v>29</v>
      </c>
      <c r="D40" s="75" t="s">
        <v>88</v>
      </c>
      <c r="E40" s="78">
        <v>81.5</v>
      </c>
      <c r="F40" s="86">
        <f>SUM(E40*155/1000)</f>
        <v>12.6325</v>
      </c>
      <c r="G40" s="78">
        <v>460.02</v>
      </c>
      <c r="H40" s="79">
        <f t="shared" si="4"/>
        <v>5.8112026500000002</v>
      </c>
      <c r="I40" s="13">
        <f t="shared" si="5"/>
        <v>968.53377499999999</v>
      </c>
    </row>
    <row r="41" spans="1:9" ht="30" hidden="1">
      <c r="A41" s="29"/>
      <c r="B41" s="75" t="s">
        <v>118</v>
      </c>
      <c r="C41" s="76" t="s">
        <v>119</v>
      </c>
      <c r="D41" s="75" t="s">
        <v>67</v>
      </c>
      <c r="E41" s="77"/>
      <c r="F41" s="86">
        <v>26</v>
      </c>
      <c r="G41" s="78">
        <v>314</v>
      </c>
      <c r="H41" s="79">
        <f t="shared" si="4"/>
        <v>8.1639999999999997</v>
      </c>
      <c r="I41" s="13">
        <v>0</v>
      </c>
    </row>
    <row r="42" spans="1:9" ht="60" hidden="1">
      <c r="A42" s="29">
        <v>10</v>
      </c>
      <c r="B42" s="75" t="s">
        <v>82</v>
      </c>
      <c r="C42" s="76" t="s">
        <v>89</v>
      </c>
      <c r="D42" s="75" t="s">
        <v>124</v>
      </c>
      <c r="E42" s="78">
        <v>81.5</v>
      </c>
      <c r="F42" s="86">
        <f>SUM(E42*35/1000)</f>
        <v>2.8525</v>
      </c>
      <c r="G42" s="78">
        <v>7611.16</v>
      </c>
      <c r="H42" s="79">
        <f t="shared" si="4"/>
        <v>21.710833900000001</v>
      </c>
      <c r="I42" s="13">
        <f t="shared" si="5"/>
        <v>3618.4723166666663</v>
      </c>
    </row>
    <row r="43" spans="1:9" hidden="1">
      <c r="A43" s="29">
        <v>11</v>
      </c>
      <c r="B43" s="75" t="s">
        <v>90</v>
      </c>
      <c r="C43" s="76" t="s">
        <v>89</v>
      </c>
      <c r="D43" s="75" t="s">
        <v>69</v>
      </c>
      <c r="E43" s="78">
        <v>81.5</v>
      </c>
      <c r="F43" s="86">
        <f>SUM(E43*45/1000)</f>
        <v>3.6675</v>
      </c>
      <c r="G43" s="78">
        <v>562.25</v>
      </c>
      <c r="H43" s="79">
        <f t="shared" si="4"/>
        <v>2.0620518750000003</v>
      </c>
      <c r="I43" s="13">
        <f>(F43/7.5*1.5)*G43</f>
        <v>412.41037500000004</v>
      </c>
    </row>
    <row r="44" spans="1:9" hidden="1">
      <c r="A44" s="29">
        <v>12</v>
      </c>
      <c r="B44" s="84" t="s">
        <v>70</v>
      </c>
      <c r="C44" s="85" t="s">
        <v>33</v>
      </c>
      <c r="D44" s="84"/>
      <c r="E44" s="82"/>
      <c r="F44" s="86">
        <v>0.9</v>
      </c>
      <c r="G44" s="86">
        <v>974.83</v>
      </c>
      <c r="H44" s="79">
        <f t="shared" si="4"/>
        <v>0.8773470000000001</v>
      </c>
      <c r="I44" s="13">
        <f>(F44/7.5*1.5)*G44</f>
        <v>175.46940000000004</v>
      </c>
    </row>
    <row r="45" spans="1:9" ht="30" hidden="1">
      <c r="A45" s="29">
        <v>13</v>
      </c>
      <c r="B45" s="47" t="s">
        <v>156</v>
      </c>
      <c r="C45" s="48" t="s">
        <v>29</v>
      </c>
      <c r="D45" s="84" t="s">
        <v>157</v>
      </c>
      <c r="E45" s="82">
        <v>2.4</v>
      </c>
      <c r="F45" s="86">
        <f>SUM(E45*12/1000)</f>
        <v>2.8799999999999996E-2</v>
      </c>
      <c r="G45" s="86">
        <v>260.2</v>
      </c>
      <c r="H45" s="79">
        <f t="shared" si="4"/>
        <v>7.4937599999999986E-3</v>
      </c>
      <c r="I45" s="13">
        <f>F45/6*G45</f>
        <v>1.2489599999999998</v>
      </c>
    </row>
    <row r="46" spans="1:9" hidden="1">
      <c r="A46" s="186" t="s">
        <v>129</v>
      </c>
      <c r="B46" s="187"/>
      <c r="C46" s="187"/>
      <c r="D46" s="187"/>
      <c r="E46" s="187"/>
      <c r="F46" s="187"/>
      <c r="G46" s="187"/>
      <c r="H46" s="187"/>
      <c r="I46" s="188"/>
    </row>
    <row r="47" spans="1:9" hidden="1">
      <c r="A47" s="29">
        <v>19</v>
      </c>
      <c r="B47" s="75" t="s">
        <v>125</v>
      </c>
      <c r="C47" s="76" t="s">
        <v>89</v>
      </c>
      <c r="D47" s="75" t="s">
        <v>206</v>
      </c>
      <c r="E47" s="77">
        <v>1080</v>
      </c>
      <c r="F47" s="78">
        <f>SUM(E47*2/1000)</f>
        <v>2.16</v>
      </c>
      <c r="G47" s="33">
        <v>1172.4100000000001</v>
      </c>
      <c r="H47" s="79">
        <f t="shared" ref="H47:H55" si="6">SUM(F47*G47/1000)</f>
        <v>2.5324056000000006</v>
      </c>
      <c r="I47" s="13">
        <f t="shared" ref="I47:I50" si="7">F47/2*G47</f>
        <v>1266.2028000000003</v>
      </c>
    </row>
    <row r="48" spans="1:9" hidden="1">
      <c r="A48" s="29">
        <v>20</v>
      </c>
      <c r="B48" s="75" t="s">
        <v>35</v>
      </c>
      <c r="C48" s="76" t="s">
        <v>89</v>
      </c>
      <c r="D48" s="75" t="s">
        <v>206</v>
      </c>
      <c r="E48" s="77">
        <v>39</v>
      </c>
      <c r="F48" s="78">
        <f>SUM(E48*2/1000)</f>
        <v>7.8E-2</v>
      </c>
      <c r="G48" s="33">
        <v>4419.05</v>
      </c>
      <c r="H48" s="79">
        <f t="shared" si="6"/>
        <v>0.34468589999999999</v>
      </c>
      <c r="I48" s="13">
        <f t="shared" si="7"/>
        <v>172.34295</v>
      </c>
    </row>
    <row r="49" spans="1:9" hidden="1">
      <c r="A49" s="29">
        <v>21</v>
      </c>
      <c r="B49" s="75" t="s">
        <v>36</v>
      </c>
      <c r="C49" s="76" t="s">
        <v>89</v>
      </c>
      <c r="D49" s="75" t="s">
        <v>231</v>
      </c>
      <c r="E49" s="77">
        <v>1037</v>
      </c>
      <c r="F49" s="78">
        <f>SUM(E49*2/1000)</f>
        <v>2.0739999999999998</v>
      </c>
      <c r="G49" s="33">
        <v>1803.69</v>
      </c>
      <c r="H49" s="79">
        <f t="shared" si="6"/>
        <v>3.7408530600000001</v>
      </c>
      <c r="I49" s="13">
        <f t="shared" si="7"/>
        <v>1870.42653</v>
      </c>
    </row>
    <row r="50" spans="1:9" hidden="1">
      <c r="A50" s="29">
        <v>22</v>
      </c>
      <c r="B50" s="75" t="s">
        <v>37</v>
      </c>
      <c r="C50" s="76" t="s">
        <v>89</v>
      </c>
      <c r="D50" s="75" t="s">
        <v>206</v>
      </c>
      <c r="E50" s="77">
        <v>2274</v>
      </c>
      <c r="F50" s="78">
        <f>SUM(E50*2/1000)</f>
        <v>4.548</v>
      </c>
      <c r="G50" s="33">
        <v>1243.43</v>
      </c>
      <c r="H50" s="79">
        <f t="shared" si="6"/>
        <v>5.6551196399999997</v>
      </c>
      <c r="I50" s="13">
        <f t="shared" si="7"/>
        <v>2827.5598199999999</v>
      </c>
    </row>
    <row r="51" spans="1:9" hidden="1">
      <c r="A51" s="29">
        <v>23</v>
      </c>
      <c r="B51" s="75" t="s">
        <v>34</v>
      </c>
      <c r="C51" s="76" t="s">
        <v>53</v>
      </c>
      <c r="D51" s="75" t="s">
        <v>206</v>
      </c>
      <c r="E51" s="77">
        <v>83.04</v>
      </c>
      <c r="F51" s="78">
        <v>1.66</v>
      </c>
      <c r="G51" s="33">
        <v>1352.76</v>
      </c>
      <c r="H51" s="79">
        <f>SUM(F51*G51/1000)</f>
        <v>2.2455816</v>
      </c>
      <c r="I51" s="13">
        <f>F51/2*G51</f>
        <v>1122.7908</v>
      </c>
    </row>
    <row r="52" spans="1:9" hidden="1">
      <c r="A52" s="29">
        <v>24</v>
      </c>
      <c r="B52" s="75" t="s">
        <v>256</v>
      </c>
      <c r="C52" s="76" t="s">
        <v>89</v>
      </c>
      <c r="D52" s="75" t="s">
        <v>206</v>
      </c>
      <c r="E52" s="77">
        <v>2626.5</v>
      </c>
      <c r="F52" s="78">
        <f>SUM(E52*5/1000)</f>
        <v>13.1325</v>
      </c>
      <c r="G52" s="33">
        <v>1803.69</v>
      </c>
      <c r="H52" s="79">
        <f t="shared" ref="H52:H54" si="8">SUM(F52*G52/1000)</f>
        <v>23.686958925000003</v>
      </c>
      <c r="I52" s="13">
        <f>F52/5*G52</f>
        <v>4737.3917849999998</v>
      </c>
    </row>
    <row r="53" spans="1:9" ht="45" hidden="1">
      <c r="A53" s="29">
        <v>25</v>
      </c>
      <c r="B53" s="75" t="s">
        <v>91</v>
      </c>
      <c r="C53" s="76" t="s">
        <v>89</v>
      </c>
      <c r="D53" s="75" t="s">
        <v>206</v>
      </c>
      <c r="E53" s="77">
        <v>2626.5</v>
      </c>
      <c r="F53" s="78">
        <f>SUM(E53*2/1000)</f>
        <v>5.2530000000000001</v>
      </c>
      <c r="G53" s="33">
        <v>1591.6</v>
      </c>
      <c r="H53" s="79">
        <f t="shared" si="8"/>
        <v>8.3606747999999982</v>
      </c>
      <c r="I53" s="13">
        <f>F53/2*G53</f>
        <v>4180.3373999999994</v>
      </c>
    </row>
    <row r="54" spans="1:9" ht="30" hidden="1">
      <c r="A54" s="29">
        <v>26</v>
      </c>
      <c r="B54" s="75" t="s">
        <v>92</v>
      </c>
      <c r="C54" s="76" t="s">
        <v>38</v>
      </c>
      <c r="D54" s="75" t="s">
        <v>206</v>
      </c>
      <c r="E54" s="77">
        <v>15</v>
      </c>
      <c r="F54" s="78">
        <f>SUM(E54*2/100)</f>
        <v>0.3</v>
      </c>
      <c r="G54" s="33">
        <v>4058.32</v>
      </c>
      <c r="H54" s="79">
        <f t="shared" si="8"/>
        <v>1.2174960000000001</v>
      </c>
      <c r="I54" s="13">
        <f t="shared" ref="I54:I55" si="9">F54/2*G54</f>
        <v>608.74800000000005</v>
      </c>
    </row>
    <row r="55" spans="1:9" hidden="1">
      <c r="A55" s="29">
        <v>27</v>
      </c>
      <c r="B55" s="75" t="s">
        <v>39</v>
      </c>
      <c r="C55" s="76" t="s">
        <v>40</v>
      </c>
      <c r="D55" s="75" t="s">
        <v>206</v>
      </c>
      <c r="E55" s="77">
        <v>1</v>
      </c>
      <c r="F55" s="78">
        <v>0.02</v>
      </c>
      <c r="G55" s="33">
        <v>7412.92</v>
      </c>
      <c r="H55" s="79">
        <f t="shared" si="6"/>
        <v>0.14825839999999998</v>
      </c>
      <c r="I55" s="13">
        <f t="shared" si="9"/>
        <v>74.129199999999997</v>
      </c>
    </row>
    <row r="56" spans="1:9" hidden="1">
      <c r="A56" s="29">
        <v>14</v>
      </c>
      <c r="B56" s="75" t="s">
        <v>41</v>
      </c>
      <c r="C56" s="76" t="s">
        <v>106</v>
      </c>
      <c r="D56" s="75" t="s">
        <v>71</v>
      </c>
      <c r="E56" s="77">
        <v>90</v>
      </c>
      <c r="F56" s="78">
        <f>SUM(E56)*3</f>
        <v>270</v>
      </c>
      <c r="G56" s="74">
        <v>86.15</v>
      </c>
      <c r="H56" s="79">
        <f>SUM(F56*G56/1000)</f>
        <v>23.2605</v>
      </c>
      <c r="I56" s="13">
        <f>F56/3*G56</f>
        <v>7753.5000000000009</v>
      </c>
    </row>
    <row r="57" spans="1:9">
      <c r="A57" s="186" t="s">
        <v>134</v>
      </c>
      <c r="B57" s="187"/>
      <c r="C57" s="187"/>
      <c r="D57" s="187"/>
      <c r="E57" s="187"/>
      <c r="F57" s="187"/>
      <c r="G57" s="187"/>
      <c r="H57" s="187"/>
      <c r="I57" s="188"/>
    </row>
    <row r="58" spans="1:9" hidden="1">
      <c r="A58" s="29"/>
      <c r="B58" s="106" t="s">
        <v>43</v>
      </c>
      <c r="C58" s="76"/>
      <c r="D58" s="75"/>
      <c r="E58" s="77"/>
      <c r="F58" s="78"/>
      <c r="G58" s="78"/>
      <c r="H58" s="79"/>
      <c r="I58" s="13"/>
    </row>
    <row r="59" spans="1:9" ht="30" hidden="1">
      <c r="A59" s="29">
        <v>15</v>
      </c>
      <c r="B59" s="75" t="s">
        <v>195</v>
      </c>
      <c r="C59" s="76" t="s">
        <v>87</v>
      </c>
      <c r="D59" s="75" t="s">
        <v>107</v>
      </c>
      <c r="E59" s="77">
        <v>111</v>
      </c>
      <c r="F59" s="78">
        <f>SUM(E59*6/100)</f>
        <v>6.66</v>
      </c>
      <c r="G59" s="33">
        <v>2029.3</v>
      </c>
      <c r="H59" s="79">
        <f>SUM(F59*G59/1000)</f>
        <v>13.515138</v>
      </c>
      <c r="I59" s="13">
        <f>G59*0.76</f>
        <v>1542.268</v>
      </c>
    </row>
    <row r="60" spans="1:9" ht="30" hidden="1">
      <c r="A60" s="29">
        <v>16</v>
      </c>
      <c r="B60" s="75" t="s">
        <v>194</v>
      </c>
      <c r="C60" s="76" t="s">
        <v>159</v>
      </c>
      <c r="D60" s="75" t="s">
        <v>67</v>
      </c>
      <c r="E60" s="77"/>
      <c r="F60" s="78">
        <v>3</v>
      </c>
      <c r="G60" s="33">
        <v>1582.05</v>
      </c>
      <c r="H60" s="79">
        <f>SUM(F60*G60/1000)</f>
        <v>4.7461499999999992</v>
      </c>
      <c r="I60" s="13">
        <f>G60*2</f>
        <v>3164.1</v>
      </c>
    </row>
    <row r="61" spans="1:9" ht="20.25" customHeight="1">
      <c r="A61" s="29"/>
      <c r="B61" s="107" t="s">
        <v>44</v>
      </c>
      <c r="C61" s="87"/>
      <c r="D61" s="88"/>
      <c r="E61" s="89"/>
      <c r="F61" s="90"/>
      <c r="G61" s="33"/>
      <c r="H61" s="91"/>
      <c r="I61" s="13"/>
    </row>
    <row r="62" spans="1:9" hidden="1">
      <c r="A62" s="29"/>
      <c r="B62" s="88" t="s">
        <v>45</v>
      </c>
      <c r="C62" s="87" t="s">
        <v>53</v>
      </c>
      <c r="D62" s="88" t="s">
        <v>54</v>
      </c>
      <c r="E62" s="89">
        <v>130</v>
      </c>
      <c r="F62" s="90">
        <f>E62/100</f>
        <v>1.3</v>
      </c>
      <c r="G62" s="33">
        <v>1040.8399999999999</v>
      </c>
      <c r="H62" s="91">
        <f>F62*G62/1000</f>
        <v>1.353092</v>
      </c>
      <c r="I62" s="13">
        <v>0</v>
      </c>
    </row>
    <row r="63" spans="1:9" ht="21" customHeight="1">
      <c r="A63" s="29">
        <v>11</v>
      </c>
      <c r="B63" s="88" t="s">
        <v>120</v>
      </c>
      <c r="C63" s="87" t="s">
        <v>25</v>
      </c>
      <c r="D63" s="88" t="s">
        <v>205</v>
      </c>
      <c r="E63" s="89">
        <v>130</v>
      </c>
      <c r="F63" s="92">
        <f>E63*12</f>
        <v>1560</v>
      </c>
      <c r="G63" s="93">
        <v>1.2</v>
      </c>
      <c r="H63" s="90">
        <f>F63*G63/1000</f>
        <v>1.8720000000000001</v>
      </c>
      <c r="I63" s="13">
        <f t="shared" ref="I63" si="10">F63/12*G63</f>
        <v>156</v>
      </c>
    </row>
    <row r="64" spans="1:9" hidden="1">
      <c r="A64" s="29"/>
      <c r="B64" s="108" t="s">
        <v>46</v>
      </c>
      <c r="C64" s="87"/>
      <c r="D64" s="88"/>
      <c r="E64" s="89"/>
      <c r="F64" s="92"/>
      <c r="G64" s="92"/>
      <c r="H64" s="90" t="s">
        <v>136</v>
      </c>
      <c r="I64" s="13"/>
    </row>
    <row r="65" spans="1:9" ht="30" hidden="1">
      <c r="A65" s="29">
        <v>19</v>
      </c>
      <c r="B65" s="94" t="s">
        <v>47</v>
      </c>
      <c r="C65" s="95" t="s">
        <v>106</v>
      </c>
      <c r="D65" s="75" t="s">
        <v>67</v>
      </c>
      <c r="E65" s="16">
        <v>9</v>
      </c>
      <c r="F65" s="74">
        <f>SUM(E65)</f>
        <v>9</v>
      </c>
      <c r="G65" s="33">
        <v>291.68</v>
      </c>
      <c r="H65" s="68">
        <f t="shared" ref="H65:H83" si="11">SUM(F65*G65/1000)</f>
        <v>2.6251199999999999</v>
      </c>
      <c r="I65" s="13">
        <f>G65*2</f>
        <v>583.36</v>
      </c>
    </row>
    <row r="66" spans="1:9" ht="30" hidden="1">
      <c r="A66" s="29"/>
      <c r="B66" s="94" t="s">
        <v>48</v>
      </c>
      <c r="C66" s="95" t="s">
        <v>106</v>
      </c>
      <c r="D66" s="75" t="s">
        <v>67</v>
      </c>
      <c r="E66" s="16">
        <v>4</v>
      </c>
      <c r="F66" s="74">
        <f>SUM(E66)</f>
        <v>4</v>
      </c>
      <c r="G66" s="33">
        <v>100.01</v>
      </c>
      <c r="H66" s="68">
        <f t="shared" si="11"/>
        <v>0.40004000000000001</v>
      </c>
      <c r="I66" s="13">
        <v>0</v>
      </c>
    </row>
    <row r="67" spans="1:9" hidden="1">
      <c r="A67" s="29">
        <v>29</v>
      </c>
      <c r="B67" s="94" t="s">
        <v>49</v>
      </c>
      <c r="C67" s="96" t="s">
        <v>108</v>
      </c>
      <c r="D67" s="35" t="s">
        <v>205</v>
      </c>
      <c r="E67" s="77">
        <v>13287</v>
      </c>
      <c r="F67" s="74">
        <f>SUM(E67/100)</f>
        <v>132.87</v>
      </c>
      <c r="G67" s="33">
        <v>278.24</v>
      </c>
      <c r="H67" s="68">
        <f t="shared" si="11"/>
        <v>36.969748799999998</v>
      </c>
      <c r="I67" s="13">
        <f>132.87*G67</f>
        <v>36969.748800000001</v>
      </c>
    </row>
    <row r="68" spans="1:9" hidden="1">
      <c r="A68" s="29">
        <v>30</v>
      </c>
      <c r="B68" s="94" t="s">
        <v>50</v>
      </c>
      <c r="C68" s="95" t="s">
        <v>109</v>
      </c>
      <c r="D68" s="35" t="s">
        <v>205</v>
      </c>
      <c r="E68" s="77">
        <v>13287</v>
      </c>
      <c r="F68" s="33">
        <f>SUM(E68/1000)</f>
        <v>13.287000000000001</v>
      </c>
      <c r="G68" s="33">
        <v>216.68</v>
      </c>
      <c r="H68" s="68">
        <f t="shared" si="11"/>
        <v>2.8790271600000001</v>
      </c>
      <c r="I68" s="13">
        <f>13.287*G68</f>
        <v>2879.0271600000001</v>
      </c>
    </row>
    <row r="69" spans="1:9" hidden="1">
      <c r="A69" s="29">
        <v>31</v>
      </c>
      <c r="B69" s="94" t="s">
        <v>51</v>
      </c>
      <c r="C69" s="95" t="s">
        <v>76</v>
      </c>
      <c r="D69" s="35" t="s">
        <v>205</v>
      </c>
      <c r="E69" s="77">
        <v>2110</v>
      </c>
      <c r="F69" s="33">
        <f>SUM(E69/100)</f>
        <v>21.1</v>
      </c>
      <c r="G69" s="33">
        <v>2720.94</v>
      </c>
      <c r="H69" s="68">
        <f>SUM(F69*G69/1000)</f>
        <v>57.411834000000006</v>
      </c>
      <c r="I69" s="13">
        <f>21.1*G69</f>
        <v>57411.834000000003</v>
      </c>
    </row>
    <row r="70" spans="1:9" hidden="1">
      <c r="A70" s="29">
        <v>32</v>
      </c>
      <c r="B70" s="97" t="s">
        <v>110</v>
      </c>
      <c r="C70" s="95" t="s">
        <v>33</v>
      </c>
      <c r="D70" s="35"/>
      <c r="E70" s="77">
        <v>8.6</v>
      </c>
      <c r="F70" s="33">
        <f>SUM(E70)</f>
        <v>8.6</v>
      </c>
      <c r="G70" s="33">
        <v>42.61</v>
      </c>
      <c r="H70" s="68">
        <f t="shared" si="11"/>
        <v>0.36644599999999999</v>
      </c>
      <c r="I70" s="13">
        <f>8.6*G70</f>
        <v>366.44599999999997</v>
      </c>
    </row>
    <row r="71" spans="1:9" hidden="1">
      <c r="A71" s="29">
        <v>33</v>
      </c>
      <c r="B71" s="97" t="s">
        <v>111</v>
      </c>
      <c r="C71" s="95" t="s">
        <v>33</v>
      </c>
      <c r="D71" s="35"/>
      <c r="E71" s="77">
        <v>8.6</v>
      </c>
      <c r="F71" s="33">
        <f>SUM(E71)</f>
        <v>8.6</v>
      </c>
      <c r="G71" s="33">
        <v>46.04</v>
      </c>
      <c r="H71" s="68">
        <f t="shared" si="11"/>
        <v>0.39594399999999996</v>
      </c>
      <c r="I71" s="13">
        <f>8.6*G71</f>
        <v>395.94399999999996</v>
      </c>
    </row>
    <row r="72" spans="1:9" hidden="1">
      <c r="A72" s="29">
        <v>20</v>
      </c>
      <c r="B72" s="35" t="s">
        <v>57</v>
      </c>
      <c r="C72" s="95" t="s">
        <v>58</v>
      </c>
      <c r="D72" s="35" t="s">
        <v>54</v>
      </c>
      <c r="E72" s="16">
        <v>3</v>
      </c>
      <c r="F72" s="33">
        <f>SUM(E72)</f>
        <v>3</v>
      </c>
      <c r="G72" s="33">
        <v>65.42</v>
      </c>
      <c r="H72" s="68">
        <f t="shared" si="11"/>
        <v>0.19625999999999999</v>
      </c>
      <c r="I72" s="13">
        <f>3*G72</f>
        <v>196.26</v>
      </c>
    </row>
    <row r="73" spans="1:9" ht="16.5" customHeight="1">
      <c r="A73" s="29"/>
      <c r="B73" s="109" t="s">
        <v>72</v>
      </c>
      <c r="C73" s="95"/>
      <c r="D73" s="35"/>
      <c r="E73" s="16"/>
      <c r="F73" s="33"/>
      <c r="G73" s="33"/>
      <c r="H73" s="68" t="s">
        <v>136</v>
      </c>
      <c r="I73" s="13"/>
    </row>
    <row r="74" spans="1:9" ht="30" hidden="1">
      <c r="A74" s="29"/>
      <c r="B74" s="35" t="s">
        <v>160</v>
      </c>
      <c r="C74" s="95" t="s">
        <v>106</v>
      </c>
      <c r="D74" s="75" t="s">
        <v>67</v>
      </c>
      <c r="E74" s="16">
        <v>1</v>
      </c>
      <c r="F74" s="33">
        <v>1</v>
      </c>
      <c r="G74" s="33">
        <v>1543.4</v>
      </c>
      <c r="H74" s="68">
        <f t="shared" ref="H74:H76" si="12">SUM(F74*G74/1000)</f>
        <v>1.5434000000000001</v>
      </c>
      <c r="I74" s="13">
        <v>0</v>
      </c>
    </row>
    <row r="75" spans="1:9" ht="30" hidden="1">
      <c r="A75" s="29">
        <v>17</v>
      </c>
      <c r="B75" s="35" t="s">
        <v>73</v>
      </c>
      <c r="C75" s="95" t="s">
        <v>74</v>
      </c>
      <c r="D75" s="75" t="s">
        <v>67</v>
      </c>
      <c r="E75" s="16">
        <v>3</v>
      </c>
      <c r="F75" s="33">
        <f>E75/10</f>
        <v>0.3</v>
      </c>
      <c r="G75" s="33">
        <v>657.87</v>
      </c>
      <c r="H75" s="68">
        <f t="shared" si="12"/>
        <v>0.19736099999999998</v>
      </c>
      <c r="I75" s="13">
        <f>G75*0.9</f>
        <v>592.08299999999997</v>
      </c>
    </row>
    <row r="76" spans="1:9" ht="30" hidden="1">
      <c r="A76" s="29"/>
      <c r="B76" s="35" t="s">
        <v>161</v>
      </c>
      <c r="C76" s="95" t="s">
        <v>106</v>
      </c>
      <c r="D76" s="75" t="s">
        <v>67</v>
      </c>
      <c r="E76" s="16">
        <v>2</v>
      </c>
      <c r="F76" s="78">
        <f>SUM(E76)</f>
        <v>2</v>
      </c>
      <c r="G76" s="33">
        <v>1118.72</v>
      </c>
      <c r="H76" s="68">
        <f t="shared" si="12"/>
        <v>2.2374399999999999</v>
      </c>
      <c r="I76" s="13">
        <v>0</v>
      </c>
    </row>
    <row r="77" spans="1:9" ht="30" hidden="1">
      <c r="A77" s="29"/>
      <c r="B77" s="47" t="s">
        <v>162</v>
      </c>
      <c r="C77" s="48" t="s">
        <v>106</v>
      </c>
      <c r="D77" s="75" t="s">
        <v>67</v>
      </c>
      <c r="E77" s="16">
        <v>1</v>
      </c>
      <c r="F77" s="93">
        <v>1</v>
      </c>
      <c r="G77" s="33">
        <v>1605.83</v>
      </c>
      <c r="H77" s="68">
        <f>SUM(F77*G77/1000)</f>
        <v>1.6058299999999999</v>
      </c>
      <c r="I77" s="13">
        <v>0</v>
      </c>
    </row>
    <row r="78" spans="1:9" ht="36" customHeight="1">
      <c r="A78" s="29">
        <v>12</v>
      </c>
      <c r="B78" s="47" t="s">
        <v>163</v>
      </c>
      <c r="C78" s="48" t="s">
        <v>106</v>
      </c>
      <c r="D78" s="35" t="s">
        <v>205</v>
      </c>
      <c r="E78" s="98">
        <v>2</v>
      </c>
      <c r="F78" s="92">
        <f>E78*12</f>
        <v>24</v>
      </c>
      <c r="G78" s="99">
        <v>53.42</v>
      </c>
      <c r="H78" s="68">
        <f t="shared" ref="H78:H79" si="13">SUM(F78*G78/1000)</f>
        <v>1.2820799999999999</v>
      </c>
      <c r="I78" s="13">
        <f t="shared" ref="I78:I81" si="14">F78/12*G78</f>
        <v>106.84</v>
      </c>
    </row>
    <row r="79" spans="1:9" ht="21.75" customHeight="1">
      <c r="A79" s="29">
        <v>13</v>
      </c>
      <c r="B79" s="57" t="s">
        <v>164</v>
      </c>
      <c r="C79" s="95"/>
      <c r="D79" s="35" t="s">
        <v>205</v>
      </c>
      <c r="E79" s="16">
        <v>1</v>
      </c>
      <c r="F79" s="33">
        <v>12</v>
      </c>
      <c r="G79" s="33">
        <v>1194</v>
      </c>
      <c r="H79" s="68">
        <f t="shared" si="13"/>
        <v>14.327999999999999</v>
      </c>
      <c r="I79" s="13">
        <f t="shared" si="14"/>
        <v>1194</v>
      </c>
    </row>
    <row r="80" spans="1:9" ht="20.25" customHeight="1">
      <c r="A80" s="29"/>
      <c r="B80" s="110" t="s">
        <v>165</v>
      </c>
      <c r="C80" s="48"/>
      <c r="D80" s="35"/>
      <c r="E80" s="16"/>
      <c r="F80" s="33"/>
      <c r="G80" s="33"/>
      <c r="H80" s="68"/>
      <c r="I80" s="13"/>
    </row>
    <row r="81" spans="1:9" ht="17.25" customHeight="1">
      <c r="A81" s="29">
        <v>14</v>
      </c>
      <c r="B81" s="35" t="s">
        <v>166</v>
      </c>
      <c r="C81" s="100" t="s">
        <v>167</v>
      </c>
      <c r="D81" s="75" t="s">
        <v>206</v>
      </c>
      <c r="E81" s="16">
        <v>2626.5</v>
      </c>
      <c r="F81" s="33">
        <f>SUM(E81*12)</f>
        <v>31518</v>
      </c>
      <c r="G81" s="33">
        <v>2.2799999999999998</v>
      </c>
      <c r="H81" s="68">
        <f t="shared" ref="H81" si="15">SUM(F81*G81/1000)</f>
        <v>71.861039999999988</v>
      </c>
      <c r="I81" s="13">
        <f t="shared" si="14"/>
        <v>5988.4199999999992</v>
      </c>
    </row>
    <row r="82" spans="1:9" hidden="1">
      <c r="A82" s="29"/>
      <c r="B82" s="111" t="s">
        <v>75</v>
      </c>
      <c r="C82" s="95"/>
      <c r="D82" s="35"/>
      <c r="E82" s="16"/>
      <c r="F82" s="33"/>
      <c r="G82" s="33" t="s">
        <v>136</v>
      </c>
      <c r="H82" s="68" t="s">
        <v>136</v>
      </c>
      <c r="I82" s="13"/>
    </row>
    <row r="83" spans="1:9" hidden="1">
      <c r="A83" s="29"/>
      <c r="B83" s="101" t="s">
        <v>126</v>
      </c>
      <c r="C83" s="96" t="s">
        <v>76</v>
      </c>
      <c r="D83" s="94"/>
      <c r="E83" s="102"/>
      <c r="F83" s="74">
        <v>0.5</v>
      </c>
      <c r="G83" s="74">
        <v>3619.09</v>
      </c>
      <c r="H83" s="68">
        <f t="shared" si="11"/>
        <v>1.8095450000000002</v>
      </c>
      <c r="I83" s="13"/>
    </row>
    <row r="84" spans="1:9" ht="28.5" hidden="1">
      <c r="A84" s="29"/>
      <c r="B84" s="62" t="s">
        <v>93</v>
      </c>
      <c r="C84" s="13"/>
      <c r="D84" s="13"/>
      <c r="E84" s="13"/>
      <c r="F84" s="13"/>
      <c r="G84" s="13"/>
      <c r="H84" s="13"/>
      <c r="I84" s="13"/>
    </row>
    <row r="85" spans="1:9" hidden="1">
      <c r="A85" s="29"/>
      <c r="B85" s="75" t="s">
        <v>112</v>
      </c>
      <c r="C85" s="103"/>
      <c r="D85" s="104"/>
      <c r="E85" s="105"/>
      <c r="F85" s="34">
        <v>1</v>
      </c>
      <c r="G85" s="34">
        <v>8275.7000000000007</v>
      </c>
      <c r="H85" s="68">
        <f>G85*F85/1000</f>
        <v>8.2757000000000005</v>
      </c>
      <c r="I85" s="13"/>
    </row>
    <row r="86" spans="1:9">
      <c r="A86" s="174" t="s">
        <v>133</v>
      </c>
      <c r="B86" s="175"/>
      <c r="C86" s="175"/>
      <c r="D86" s="175"/>
      <c r="E86" s="175"/>
      <c r="F86" s="175"/>
      <c r="G86" s="175"/>
      <c r="H86" s="175"/>
      <c r="I86" s="176"/>
    </row>
    <row r="87" spans="1:9" ht="16.5" customHeight="1">
      <c r="A87" s="29">
        <v>15</v>
      </c>
      <c r="B87" s="75" t="s">
        <v>113</v>
      </c>
      <c r="C87" s="95" t="s">
        <v>55</v>
      </c>
      <c r="D87" s="61" t="s">
        <v>142</v>
      </c>
      <c r="E87" s="33">
        <v>2626.5</v>
      </c>
      <c r="F87" s="33">
        <f>SUM(E87*12)</f>
        <v>31518</v>
      </c>
      <c r="G87" s="33">
        <v>3.1</v>
      </c>
      <c r="H87" s="68">
        <f>SUM(F87*G87/1000)</f>
        <v>97.705799999999996</v>
      </c>
      <c r="I87" s="13">
        <f t="shared" ref="I87:I88" si="16">F87/12*G87</f>
        <v>8142.1500000000005</v>
      </c>
    </row>
    <row r="88" spans="1:9" ht="33" customHeight="1">
      <c r="A88" s="29">
        <v>16</v>
      </c>
      <c r="B88" s="35" t="s">
        <v>77</v>
      </c>
      <c r="C88" s="95"/>
      <c r="D88" s="61" t="s">
        <v>142</v>
      </c>
      <c r="E88" s="77">
        <f>E87</f>
        <v>2626.5</v>
      </c>
      <c r="F88" s="33">
        <f>E88*12</f>
        <v>31518</v>
      </c>
      <c r="G88" s="33">
        <v>3.5</v>
      </c>
      <c r="H88" s="68">
        <f>F88*G88/1000</f>
        <v>110.313</v>
      </c>
      <c r="I88" s="13">
        <f t="shared" si="16"/>
        <v>9192.75</v>
      </c>
    </row>
    <row r="89" spans="1:9">
      <c r="A89" s="29"/>
      <c r="B89" s="36" t="s">
        <v>80</v>
      </c>
      <c r="C89" s="59"/>
      <c r="D89" s="58"/>
      <c r="E89" s="55"/>
      <c r="F89" s="55"/>
      <c r="G89" s="55"/>
      <c r="H89" s="60">
        <f>H79</f>
        <v>14.327999999999999</v>
      </c>
      <c r="I89" s="55">
        <f>I88+I87+I81+I79+I78+I63+I34+I33+I32+I31+I28+I27+I20+I18+I17+I16</f>
        <v>46219.393512777766</v>
      </c>
    </row>
    <row r="90" spans="1:9">
      <c r="A90" s="163" t="s">
        <v>60</v>
      </c>
      <c r="B90" s="164"/>
      <c r="C90" s="164"/>
      <c r="D90" s="164"/>
      <c r="E90" s="164"/>
      <c r="F90" s="164"/>
      <c r="G90" s="164"/>
      <c r="H90" s="164"/>
      <c r="I90" s="165"/>
    </row>
    <row r="91" spans="1:9" ht="42.75" customHeight="1">
      <c r="A91" s="29" t="s">
        <v>305</v>
      </c>
      <c r="B91" s="46" t="s">
        <v>121</v>
      </c>
      <c r="C91" s="49" t="s">
        <v>106</v>
      </c>
      <c r="D91" s="14"/>
      <c r="E91" s="17"/>
      <c r="F91" s="13">
        <v>135</v>
      </c>
      <c r="G91" s="13">
        <v>55.55</v>
      </c>
      <c r="H91" s="56">
        <f t="shared" ref="H91:H92" si="17">G91*F91/1000</f>
        <v>7.49925</v>
      </c>
      <c r="I91" s="13">
        <f>G91*45</f>
        <v>2499.75</v>
      </c>
    </row>
    <row r="92" spans="1:9" ht="30">
      <c r="A92" s="29">
        <v>18</v>
      </c>
      <c r="B92" s="54" t="s">
        <v>302</v>
      </c>
      <c r="C92" s="29" t="s">
        <v>81</v>
      </c>
      <c r="D92" s="35"/>
      <c r="E92" s="16"/>
      <c r="F92" s="33">
        <v>1</v>
      </c>
      <c r="G92" s="13">
        <v>1187</v>
      </c>
      <c r="H92" s="68">
        <f t="shared" si="17"/>
        <v>1.1870000000000001</v>
      </c>
      <c r="I92" s="13">
        <f>G92*1.5</f>
        <v>1780.5</v>
      </c>
    </row>
    <row r="93" spans="1:9">
      <c r="A93" s="29">
        <v>19</v>
      </c>
      <c r="B93" s="54" t="s">
        <v>303</v>
      </c>
      <c r="C93" s="29" t="s">
        <v>106</v>
      </c>
      <c r="D93" s="35"/>
      <c r="E93" s="16"/>
      <c r="F93" s="33"/>
      <c r="G93" s="13">
        <v>95.25</v>
      </c>
      <c r="H93" s="68"/>
      <c r="I93" s="13">
        <f>G93*2</f>
        <v>190.5</v>
      </c>
    </row>
    <row r="94" spans="1:9">
      <c r="A94" s="29">
        <v>20</v>
      </c>
      <c r="B94" s="54" t="s">
        <v>304</v>
      </c>
      <c r="C94" s="29" t="s">
        <v>106</v>
      </c>
      <c r="D94" s="35"/>
      <c r="E94" s="16"/>
      <c r="F94" s="33"/>
      <c r="G94" s="13">
        <v>6.68</v>
      </c>
      <c r="H94" s="68"/>
      <c r="I94" s="13">
        <f>G94*2</f>
        <v>13.36</v>
      </c>
    </row>
    <row r="95" spans="1:9" ht="30">
      <c r="A95" s="29">
        <v>21</v>
      </c>
      <c r="B95" s="47" t="s">
        <v>151</v>
      </c>
      <c r="C95" s="48" t="s">
        <v>138</v>
      </c>
      <c r="D95" s="35"/>
      <c r="E95" s="16"/>
      <c r="F95" s="33"/>
      <c r="G95" s="13">
        <v>613.44000000000005</v>
      </c>
      <c r="H95" s="68"/>
      <c r="I95" s="13">
        <f>G95*1</f>
        <v>613.44000000000005</v>
      </c>
    </row>
    <row r="96" spans="1:9" ht="30.75" customHeight="1">
      <c r="A96" s="29">
        <v>22</v>
      </c>
      <c r="B96" s="46" t="s">
        <v>292</v>
      </c>
      <c r="C96" s="49" t="s">
        <v>173</v>
      </c>
      <c r="D96" s="35"/>
      <c r="E96" s="16"/>
      <c r="F96" s="33"/>
      <c r="G96" s="33">
        <v>56.34</v>
      </c>
      <c r="H96" s="68"/>
      <c r="I96" s="13">
        <f>G96*1</f>
        <v>56.34</v>
      </c>
    </row>
    <row r="97" spans="1:9" ht="20.25" customHeight="1">
      <c r="A97" s="29"/>
      <c r="B97" s="41" t="s">
        <v>52</v>
      </c>
      <c r="C97" s="37"/>
      <c r="D97" s="44"/>
      <c r="E97" s="37">
        <v>1</v>
      </c>
      <c r="F97" s="37"/>
      <c r="G97" s="37"/>
      <c r="H97" s="37"/>
      <c r="I97" s="31">
        <f>I96+I95+I94+I93+I92</f>
        <v>2654.1400000000003</v>
      </c>
    </row>
    <row r="98" spans="1:9">
      <c r="A98" s="29"/>
      <c r="B98" s="43" t="s">
        <v>78</v>
      </c>
      <c r="C98" s="15"/>
      <c r="D98" s="15"/>
      <c r="E98" s="38"/>
      <c r="F98" s="38"/>
      <c r="G98" s="39"/>
      <c r="H98" s="39"/>
      <c r="I98" s="16">
        <v>0</v>
      </c>
    </row>
    <row r="99" spans="1:9">
      <c r="A99" s="45"/>
      <c r="B99" s="42" t="s">
        <v>148</v>
      </c>
      <c r="C99" s="32"/>
      <c r="D99" s="32"/>
      <c r="E99" s="32"/>
      <c r="F99" s="32"/>
      <c r="G99" s="32"/>
      <c r="H99" s="32"/>
      <c r="I99" s="40">
        <f>I89+I97</f>
        <v>48873.533512777765</v>
      </c>
    </row>
    <row r="100" spans="1:9">
      <c r="A100" s="191" t="s">
        <v>306</v>
      </c>
      <c r="B100" s="192"/>
      <c r="C100" s="192"/>
      <c r="D100" s="192"/>
      <c r="E100" s="192"/>
      <c r="F100" s="192"/>
      <c r="G100" s="192"/>
      <c r="H100" s="192"/>
      <c r="I100" s="192"/>
    </row>
    <row r="101" spans="1:9" ht="15.75">
      <c r="A101" s="166" t="s">
        <v>307</v>
      </c>
      <c r="B101" s="166"/>
      <c r="C101" s="166"/>
      <c r="D101" s="166"/>
      <c r="E101" s="166"/>
      <c r="F101" s="166"/>
      <c r="G101" s="166"/>
      <c r="H101" s="166"/>
      <c r="I101" s="166"/>
    </row>
    <row r="102" spans="1:9" ht="15.75">
      <c r="A102" s="50"/>
      <c r="B102" s="167" t="s">
        <v>308</v>
      </c>
      <c r="C102" s="167"/>
      <c r="D102" s="167"/>
      <c r="E102" s="167"/>
      <c r="F102" s="167"/>
      <c r="G102" s="167"/>
      <c r="H102" s="53"/>
      <c r="I102" s="3"/>
    </row>
    <row r="103" spans="1:9">
      <c r="A103" s="142"/>
      <c r="B103" s="168" t="s">
        <v>6</v>
      </c>
      <c r="C103" s="168"/>
      <c r="D103" s="168"/>
      <c r="E103" s="168"/>
      <c r="F103" s="168"/>
      <c r="G103" s="168"/>
      <c r="H103" s="24"/>
      <c r="I103" s="5"/>
    </row>
    <row r="104" spans="1:9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>
      <c r="A105" s="169" t="s">
        <v>7</v>
      </c>
      <c r="B105" s="169"/>
      <c r="C105" s="169"/>
      <c r="D105" s="169"/>
      <c r="E105" s="169"/>
      <c r="F105" s="169"/>
      <c r="G105" s="169"/>
      <c r="H105" s="169"/>
      <c r="I105" s="169"/>
    </row>
    <row r="106" spans="1:9" ht="15.75">
      <c r="A106" s="169" t="s">
        <v>8</v>
      </c>
      <c r="B106" s="169"/>
      <c r="C106" s="169"/>
      <c r="D106" s="169"/>
      <c r="E106" s="169"/>
      <c r="F106" s="169"/>
      <c r="G106" s="169"/>
      <c r="H106" s="169"/>
      <c r="I106" s="169"/>
    </row>
    <row r="107" spans="1:9" ht="15.75">
      <c r="A107" s="170" t="s">
        <v>61</v>
      </c>
      <c r="B107" s="170"/>
      <c r="C107" s="170"/>
      <c r="D107" s="170"/>
      <c r="E107" s="170"/>
      <c r="F107" s="170"/>
      <c r="G107" s="170"/>
      <c r="H107" s="170"/>
      <c r="I107" s="170"/>
    </row>
    <row r="108" spans="1:9" ht="15.75">
      <c r="A108" s="11"/>
    </row>
    <row r="109" spans="1:9" ht="15.75">
      <c r="A109" s="171" t="s">
        <v>9</v>
      </c>
      <c r="B109" s="171"/>
      <c r="C109" s="171"/>
      <c r="D109" s="171"/>
      <c r="E109" s="171"/>
      <c r="F109" s="171"/>
      <c r="G109" s="171"/>
      <c r="H109" s="171"/>
      <c r="I109" s="171"/>
    </row>
    <row r="110" spans="1:9" ht="15.75">
      <c r="A110" s="4"/>
    </row>
    <row r="111" spans="1:9" ht="15.75">
      <c r="B111" s="144" t="s">
        <v>10</v>
      </c>
      <c r="C111" s="172" t="s">
        <v>132</v>
      </c>
      <c r="D111" s="172"/>
      <c r="E111" s="172"/>
      <c r="F111" s="51"/>
      <c r="I111" s="145"/>
    </row>
    <row r="112" spans="1:9">
      <c r="A112" s="142"/>
      <c r="C112" s="168" t="s">
        <v>11</v>
      </c>
      <c r="D112" s="168"/>
      <c r="E112" s="168"/>
      <c r="F112" s="24"/>
      <c r="I112" s="143" t="s">
        <v>12</v>
      </c>
    </row>
    <row r="113" spans="1:9" ht="15.75">
      <c r="A113" s="25"/>
      <c r="C113" s="12"/>
      <c r="D113" s="12"/>
      <c r="G113" s="12"/>
      <c r="H113" s="12"/>
    </row>
    <row r="114" spans="1:9" ht="15.75">
      <c r="B114" s="144" t="s">
        <v>13</v>
      </c>
      <c r="C114" s="173"/>
      <c r="D114" s="173"/>
      <c r="E114" s="173"/>
      <c r="F114" s="52"/>
      <c r="I114" s="145"/>
    </row>
    <row r="115" spans="1:9">
      <c r="A115" s="142"/>
      <c r="C115" s="162" t="s">
        <v>11</v>
      </c>
      <c r="D115" s="162"/>
      <c r="E115" s="162"/>
      <c r="F115" s="142"/>
      <c r="I115" s="143" t="s">
        <v>12</v>
      </c>
    </row>
    <row r="116" spans="1:9" ht="15.75">
      <c r="A116" s="4" t="s">
        <v>14</v>
      </c>
    </row>
    <row r="117" spans="1:9">
      <c r="A117" s="195" t="s">
        <v>15</v>
      </c>
      <c r="B117" s="195"/>
      <c r="C117" s="195"/>
      <c r="D117" s="195"/>
      <c r="E117" s="195"/>
      <c r="F117" s="195"/>
      <c r="G117" s="195"/>
      <c r="H117" s="195"/>
      <c r="I117" s="195"/>
    </row>
    <row r="118" spans="1:9" ht="42.75" customHeight="1">
      <c r="A118" s="196" t="s">
        <v>16</v>
      </c>
      <c r="B118" s="196"/>
      <c r="C118" s="196"/>
      <c r="D118" s="196"/>
      <c r="E118" s="196"/>
      <c r="F118" s="196"/>
      <c r="G118" s="196"/>
      <c r="H118" s="196"/>
      <c r="I118" s="196"/>
    </row>
    <row r="119" spans="1:9" ht="44.25" customHeight="1">
      <c r="A119" s="196" t="s">
        <v>17</v>
      </c>
      <c r="B119" s="196"/>
      <c r="C119" s="196"/>
      <c r="D119" s="196"/>
      <c r="E119" s="196"/>
      <c r="F119" s="196"/>
      <c r="G119" s="196"/>
      <c r="H119" s="196"/>
      <c r="I119" s="196"/>
    </row>
    <row r="120" spans="1:9" ht="33" customHeight="1">
      <c r="A120" s="196" t="s">
        <v>21</v>
      </c>
      <c r="B120" s="196"/>
      <c r="C120" s="196"/>
      <c r="D120" s="196"/>
      <c r="E120" s="196"/>
      <c r="F120" s="196"/>
      <c r="G120" s="196"/>
      <c r="H120" s="196"/>
      <c r="I120" s="196"/>
    </row>
    <row r="121" spans="1:9" ht="15.75">
      <c r="A121" s="196" t="s">
        <v>20</v>
      </c>
      <c r="B121" s="196"/>
      <c r="C121" s="196"/>
      <c r="D121" s="196"/>
      <c r="E121" s="196"/>
      <c r="F121" s="196"/>
      <c r="G121" s="196"/>
      <c r="H121" s="196"/>
      <c r="I121" s="196"/>
    </row>
    <row r="123" spans="1:9" ht="41.25" customHeight="1">
      <c r="B123" s="137" t="s">
        <v>323</v>
      </c>
      <c r="C123" s="193">
        <v>72094.8</v>
      </c>
      <c r="D123" s="193"/>
      <c r="E123" s="193"/>
      <c r="F123" s="193"/>
    </row>
    <row r="124" spans="1:9" ht="29.25" customHeight="1">
      <c r="B124" s="137" t="s">
        <v>322</v>
      </c>
      <c r="C124" s="193">
        <f>I99-I97</f>
        <v>46219.393512777766</v>
      </c>
      <c r="D124" s="193"/>
      <c r="E124" s="193"/>
      <c r="F124" s="193"/>
    </row>
    <row r="125" spans="1:9" ht="37.5" customHeight="1">
      <c r="B125" s="137" t="s">
        <v>321</v>
      </c>
      <c r="C125" s="193">
        <f>I97</f>
        <v>2654.1400000000003</v>
      </c>
      <c r="D125" s="193"/>
      <c r="E125" s="193"/>
      <c r="F125" s="193"/>
    </row>
    <row r="126" spans="1:9" ht="27" customHeight="1">
      <c r="B126" s="138" t="s">
        <v>320</v>
      </c>
      <c r="C126" s="193">
        <v>79509.23</v>
      </c>
      <c r="D126" s="193"/>
      <c r="E126" s="193"/>
      <c r="F126" s="193"/>
    </row>
    <row r="127" spans="1:9" ht="50.25" customHeight="1">
      <c r="B127" s="139" t="s">
        <v>319</v>
      </c>
      <c r="C127" s="194">
        <v>185292.53</v>
      </c>
      <c r="D127" s="194"/>
      <c r="E127" s="194"/>
      <c r="F127" s="194"/>
    </row>
    <row r="128" spans="1:9" ht="51.75" customHeight="1">
      <c r="B128" s="137" t="s">
        <v>318</v>
      </c>
      <c r="C128" s="189">
        <f>C124+C125-C123</f>
        <v>-23221.266487222238</v>
      </c>
      <c r="D128" s="190"/>
      <c r="E128" s="190"/>
      <c r="F128" s="190"/>
    </row>
  </sheetData>
  <mergeCells count="35">
    <mergeCell ref="A14:I14"/>
    <mergeCell ref="A3:I3"/>
    <mergeCell ref="A4:I4"/>
    <mergeCell ref="A5:I5"/>
    <mergeCell ref="A8:I8"/>
    <mergeCell ref="A10:I10"/>
    <mergeCell ref="A106:I106"/>
    <mergeCell ref="A15:I15"/>
    <mergeCell ref="A29:I29"/>
    <mergeCell ref="A46:I46"/>
    <mergeCell ref="A57:I57"/>
    <mergeCell ref="A86:I86"/>
    <mergeCell ref="A90:I90"/>
    <mergeCell ref="A100:I100"/>
    <mergeCell ref="A101:I101"/>
    <mergeCell ref="B102:G102"/>
    <mergeCell ref="B103:G103"/>
    <mergeCell ref="A105:I105"/>
    <mergeCell ref="C123:F123"/>
    <mergeCell ref="A107:I107"/>
    <mergeCell ref="A109:I109"/>
    <mergeCell ref="C111:E111"/>
    <mergeCell ref="C112:E112"/>
    <mergeCell ref="C114:E114"/>
    <mergeCell ref="C115:E115"/>
    <mergeCell ref="A117:I117"/>
    <mergeCell ref="A118:I118"/>
    <mergeCell ref="A119:I119"/>
    <mergeCell ref="A120:I120"/>
    <mergeCell ref="A121:I121"/>
    <mergeCell ref="C124:F124"/>
    <mergeCell ref="C125:F125"/>
    <mergeCell ref="C126:F126"/>
    <mergeCell ref="C127:F127"/>
    <mergeCell ref="C128:F128"/>
  </mergeCells>
  <pageMargins left="0.7" right="0.7" top="0.75" bottom="0.75" header="0.3" footer="0.3"/>
  <pageSetup paperSize="9" scale="68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19"/>
  <sheetViews>
    <sheetView view="pageBreakPreview" topLeftCell="A92" zoomScale="60" workbookViewId="0">
      <selection activeCell="D127" sqref="D127"/>
    </sheetView>
  </sheetViews>
  <sheetFormatPr defaultRowHeight="15"/>
  <cols>
    <col min="1" max="1" width="12.42578125" customWidth="1"/>
    <col min="2" max="2" width="48.5703125" customWidth="1"/>
    <col min="3" max="3" width="17.5703125" customWidth="1"/>
    <col min="4" max="4" width="18.28515625" customWidth="1"/>
    <col min="5" max="6" width="0" hidden="1" customWidth="1"/>
    <col min="7" max="7" width="17.28515625" customWidth="1"/>
    <col min="8" max="8" width="0" hidden="1" customWidth="1"/>
    <col min="9" max="9" width="17.28515625" customWidth="1"/>
  </cols>
  <sheetData>
    <row r="1" spans="1:9" ht="15.75">
      <c r="A1" s="27" t="s">
        <v>298</v>
      </c>
      <c r="I1" s="26"/>
    </row>
    <row r="2" spans="1:9" ht="15.75">
      <c r="A2" s="28" t="s">
        <v>62</v>
      </c>
    </row>
    <row r="3" spans="1:9" ht="15.75">
      <c r="A3" s="179" t="s">
        <v>316</v>
      </c>
      <c r="B3" s="179"/>
      <c r="C3" s="179"/>
      <c r="D3" s="179"/>
      <c r="E3" s="179"/>
      <c r="F3" s="179"/>
      <c r="G3" s="179"/>
      <c r="H3" s="179"/>
      <c r="I3" s="179"/>
    </row>
    <row r="4" spans="1:9" ht="34.5" customHeight="1">
      <c r="A4" s="180" t="s">
        <v>128</v>
      </c>
      <c r="B4" s="180"/>
      <c r="C4" s="180"/>
      <c r="D4" s="180"/>
      <c r="E4" s="180"/>
      <c r="F4" s="180"/>
      <c r="G4" s="180"/>
      <c r="H4" s="180"/>
      <c r="I4" s="180"/>
    </row>
    <row r="5" spans="1:9" ht="15.75">
      <c r="A5" s="179" t="s">
        <v>317</v>
      </c>
      <c r="B5" s="181"/>
      <c r="C5" s="181"/>
      <c r="D5" s="181"/>
      <c r="E5" s="181"/>
      <c r="F5" s="181"/>
      <c r="G5" s="181"/>
      <c r="H5" s="181"/>
      <c r="I5" s="181"/>
    </row>
    <row r="6" spans="1:9" ht="15.75">
      <c r="A6" s="2"/>
      <c r="B6" s="147"/>
      <c r="C6" s="147"/>
      <c r="D6" s="147"/>
      <c r="E6" s="147"/>
      <c r="F6" s="147"/>
      <c r="G6" s="147"/>
      <c r="H6" s="147"/>
      <c r="I6" s="125">
        <v>43343</v>
      </c>
    </row>
    <row r="7" spans="1:9" ht="15.75">
      <c r="B7" s="150"/>
      <c r="C7" s="150"/>
      <c r="D7" s="150"/>
      <c r="E7" s="3"/>
      <c r="F7" s="3"/>
      <c r="G7" s="3"/>
      <c r="H7" s="3"/>
    </row>
    <row r="8" spans="1:9" ht="81" customHeight="1">
      <c r="A8" s="182" t="s">
        <v>300</v>
      </c>
      <c r="B8" s="182"/>
      <c r="C8" s="182"/>
      <c r="D8" s="182"/>
      <c r="E8" s="182"/>
      <c r="F8" s="182"/>
      <c r="G8" s="182"/>
      <c r="H8" s="182"/>
      <c r="I8" s="182"/>
    </row>
    <row r="9" spans="1:9" ht="6.75" customHeight="1">
      <c r="A9" s="4"/>
    </row>
    <row r="10" spans="1:9" ht="69" customHeight="1">
      <c r="A10" s="183" t="s">
        <v>143</v>
      </c>
      <c r="B10" s="183"/>
      <c r="C10" s="183"/>
      <c r="D10" s="183"/>
      <c r="E10" s="183"/>
      <c r="F10" s="183"/>
      <c r="G10" s="183"/>
      <c r="H10" s="183"/>
      <c r="I10" s="183"/>
    </row>
    <row r="11" spans="1:9" ht="15.75">
      <c r="A11" s="4"/>
    </row>
    <row r="12" spans="1:9" ht="63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84" t="s">
        <v>59</v>
      </c>
      <c r="B14" s="184"/>
      <c r="C14" s="184"/>
      <c r="D14" s="184"/>
      <c r="E14" s="184"/>
      <c r="F14" s="184"/>
      <c r="G14" s="184"/>
      <c r="H14" s="184"/>
      <c r="I14" s="184"/>
    </row>
    <row r="15" spans="1:9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</row>
    <row r="16" spans="1:9" ht="15" customHeight="1">
      <c r="A16" s="29">
        <v>1</v>
      </c>
      <c r="B16" s="75" t="s">
        <v>86</v>
      </c>
      <c r="C16" s="76" t="s">
        <v>87</v>
      </c>
      <c r="D16" s="75" t="s">
        <v>233</v>
      </c>
      <c r="E16" s="77">
        <v>49.72</v>
      </c>
      <c r="F16" s="78">
        <f>SUM(E16*156/100)</f>
        <v>77.563199999999995</v>
      </c>
      <c r="G16" s="78">
        <v>230</v>
      </c>
      <c r="H16" s="79">
        <f t="shared" ref="H16:H25" si="0">SUM(F16*G16/1000)</f>
        <v>17.839535999999999</v>
      </c>
      <c r="I16" s="13">
        <f>F16/12*G16</f>
        <v>1486.6279999999999</v>
      </c>
    </row>
    <row r="17" spans="1:9" ht="17.25" customHeight="1">
      <c r="A17" s="29">
        <v>2</v>
      </c>
      <c r="B17" s="75" t="s">
        <v>288</v>
      </c>
      <c r="C17" s="76" t="s">
        <v>87</v>
      </c>
      <c r="D17" s="75" t="s">
        <v>301</v>
      </c>
      <c r="E17" s="77">
        <v>198.88</v>
      </c>
      <c r="F17" s="78">
        <f>SUM(E17*104/100)</f>
        <v>206.83520000000001</v>
      </c>
      <c r="G17" s="78">
        <v>230</v>
      </c>
      <c r="H17" s="79">
        <f t="shared" si="0"/>
        <v>47.572096000000002</v>
      </c>
      <c r="I17" s="13">
        <f>206.8352/12*G17</f>
        <v>3964.3413333333328</v>
      </c>
    </row>
    <row r="18" spans="1:9" ht="15.75" customHeight="1">
      <c r="A18" s="29">
        <v>3</v>
      </c>
      <c r="B18" s="75" t="s">
        <v>115</v>
      </c>
      <c r="C18" s="76" t="s">
        <v>87</v>
      </c>
      <c r="D18" s="75" t="s">
        <v>209</v>
      </c>
      <c r="E18" s="77">
        <v>248.6</v>
      </c>
      <c r="F18" s="78">
        <f>SUM(E18*24/100)</f>
        <v>59.663999999999994</v>
      </c>
      <c r="G18" s="78">
        <v>661.67</v>
      </c>
      <c r="H18" s="79">
        <f t="shared" si="0"/>
        <v>39.477878879999999</v>
      </c>
      <c r="I18" s="13">
        <f>F18/12*G18</f>
        <v>3289.8232399999993</v>
      </c>
    </row>
    <row r="19" spans="1:9" hidden="1">
      <c r="A19" s="29">
        <v>4</v>
      </c>
      <c r="B19" s="75" t="s">
        <v>94</v>
      </c>
      <c r="C19" s="76" t="s">
        <v>95</v>
      </c>
      <c r="D19" s="75" t="s">
        <v>96</v>
      </c>
      <c r="E19" s="77">
        <v>18.48</v>
      </c>
      <c r="F19" s="78">
        <f>SUM(E19/10)</f>
        <v>1.8480000000000001</v>
      </c>
      <c r="G19" s="78">
        <v>223.17</v>
      </c>
      <c r="H19" s="79">
        <f t="shared" si="0"/>
        <v>0.41241815999999998</v>
      </c>
      <c r="I19" s="13">
        <f>1.848*G19</f>
        <v>412.41816</v>
      </c>
    </row>
    <row r="20" spans="1:9" ht="18.75" customHeight="1">
      <c r="A20" s="29">
        <v>4</v>
      </c>
      <c r="B20" s="75" t="s">
        <v>97</v>
      </c>
      <c r="C20" s="76" t="s">
        <v>87</v>
      </c>
      <c r="D20" s="75" t="s">
        <v>230</v>
      </c>
      <c r="E20" s="77">
        <v>10.5</v>
      </c>
      <c r="F20" s="78">
        <f>SUM(E20*12/100)</f>
        <v>1.26</v>
      </c>
      <c r="G20" s="78">
        <v>285.76</v>
      </c>
      <c r="H20" s="79">
        <f t="shared" si="0"/>
        <v>0.36005759999999998</v>
      </c>
      <c r="I20" s="13">
        <f>F20/12*G20</f>
        <v>30.004799999999999</v>
      </c>
    </row>
    <row r="21" spans="1:9" hidden="1">
      <c r="A21" s="29">
        <v>6</v>
      </c>
      <c r="B21" s="75" t="s">
        <v>98</v>
      </c>
      <c r="C21" s="76" t="s">
        <v>87</v>
      </c>
      <c r="D21" s="75" t="s">
        <v>42</v>
      </c>
      <c r="E21" s="77">
        <v>3</v>
      </c>
      <c r="F21" s="78">
        <f>SUM(E21*2/100)</f>
        <v>0.06</v>
      </c>
      <c r="G21" s="78">
        <v>283.44</v>
      </c>
      <c r="H21" s="79">
        <f t="shared" si="0"/>
        <v>1.7006399999999998E-2</v>
      </c>
      <c r="I21" s="13">
        <f>0.03*G21</f>
        <v>8.5031999999999996</v>
      </c>
    </row>
    <row r="22" spans="1:9" hidden="1">
      <c r="A22" s="29">
        <v>7</v>
      </c>
      <c r="B22" s="75" t="s">
        <v>99</v>
      </c>
      <c r="C22" s="76" t="s">
        <v>53</v>
      </c>
      <c r="D22" s="75" t="s">
        <v>96</v>
      </c>
      <c r="E22" s="77">
        <v>267.75</v>
      </c>
      <c r="F22" s="78">
        <f>SUM(E22/100)</f>
        <v>2.6775000000000002</v>
      </c>
      <c r="G22" s="78">
        <v>353.14</v>
      </c>
      <c r="H22" s="79">
        <f t="shared" si="0"/>
        <v>0.94553235000000002</v>
      </c>
      <c r="I22" s="13">
        <f>2.6775*G22</f>
        <v>945.53235000000006</v>
      </c>
    </row>
    <row r="23" spans="1:9" hidden="1">
      <c r="A23" s="29">
        <v>8</v>
      </c>
      <c r="B23" s="75" t="s">
        <v>100</v>
      </c>
      <c r="C23" s="76" t="s">
        <v>53</v>
      </c>
      <c r="D23" s="75" t="s">
        <v>96</v>
      </c>
      <c r="E23" s="80">
        <v>36.229999999999997</v>
      </c>
      <c r="F23" s="78">
        <f>SUM(E23/100)</f>
        <v>0.36229999999999996</v>
      </c>
      <c r="G23" s="78">
        <v>58.08</v>
      </c>
      <c r="H23" s="79">
        <f t="shared" si="0"/>
        <v>2.1042383999999997E-2</v>
      </c>
      <c r="I23" s="13">
        <f>0.3623*G23</f>
        <v>21.042383999999998</v>
      </c>
    </row>
    <row r="24" spans="1:9" hidden="1">
      <c r="A24" s="29">
        <v>9</v>
      </c>
      <c r="B24" s="75" t="s">
        <v>101</v>
      </c>
      <c r="C24" s="76" t="s">
        <v>53</v>
      </c>
      <c r="D24" s="75" t="s">
        <v>54</v>
      </c>
      <c r="E24" s="77">
        <v>15</v>
      </c>
      <c r="F24" s="78">
        <f>SUM(E24/100)</f>
        <v>0.15</v>
      </c>
      <c r="G24" s="78">
        <v>511.12</v>
      </c>
      <c r="H24" s="79">
        <f t="shared" si="0"/>
        <v>7.6667999999999986E-2</v>
      </c>
      <c r="I24" s="13">
        <f>0.15*G24</f>
        <v>76.667999999999992</v>
      </c>
    </row>
    <row r="25" spans="1:9" hidden="1">
      <c r="A25" s="29">
        <v>10</v>
      </c>
      <c r="B25" s="75" t="s">
        <v>102</v>
      </c>
      <c r="C25" s="76" t="s">
        <v>53</v>
      </c>
      <c r="D25" s="75" t="s">
        <v>54</v>
      </c>
      <c r="E25" s="77">
        <v>6.38</v>
      </c>
      <c r="F25" s="78">
        <f>SUM(E25/100)</f>
        <v>6.3799999999999996E-2</v>
      </c>
      <c r="G25" s="78">
        <v>683.05</v>
      </c>
      <c r="H25" s="79">
        <f t="shared" si="0"/>
        <v>4.3578589999999993E-2</v>
      </c>
      <c r="I25" s="13">
        <f>0.0638*G25</f>
        <v>43.578589999999991</v>
      </c>
    </row>
    <row r="26" spans="1:9" ht="30" hidden="1">
      <c r="A26" s="29">
        <v>11</v>
      </c>
      <c r="B26" s="75" t="s">
        <v>122</v>
      </c>
      <c r="C26" s="76" t="s">
        <v>53</v>
      </c>
      <c r="D26" s="75" t="s">
        <v>54</v>
      </c>
      <c r="E26" s="77">
        <v>14.25</v>
      </c>
      <c r="F26" s="78">
        <v>0.14000000000000001</v>
      </c>
      <c r="G26" s="78">
        <v>283.44</v>
      </c>
      <c r="H26" s="79">
        <f>G26*F26/1000</f>
        <v>3.9681600000000004E-2</v>
      </c>
      <c r="I26" s="13">
        <f>0.14*G26</f>
        <v>39.681600000000003</v>
      </c>
    </row>
    <row r="27" spans="1:9" ht="18" customHeight="1">
      <c r="A27" s="29">
        <v>5</v>
      </c>
      <c r="B27" s="75" t="s">
        <v>64</v>
      </c>
      <c r="C27" s="76" t="s">
        <v>33</v>
      </c>
      <c r="D27" s="75" t="s">
        <v>63</v>
      </c>
      <c r="E27" s="82">
        <v>0.1</v>
      </c>
      <c r="F27" s="78">
        <f>SUM(E27*155)</f>
        <v>15.5</v>
      </c>
      <c r="G27" s="78">
        <v>264.85000000000002</v>
      </c>
      <c r="H27" s="79">
        <f>SUM(F27*G27/1000)</f>
        <v>4.105175</v>
      </c>
      <c r="I27" s="13">
        <f>F27/12*G27</f>
        <v>342.09791666666672</v>
      </c>
    </row>
    <row r="28" spans="1:9">
      <c r="A28" s="29">
        <v>6</v>
      </c>
      <c r="B28" s="83" t="s">
        <v>23</v>
      </c>
      <c r="C28" s="76" t="s">
        <v>24</v>
      </c>
      <c r="D28" s="83" t="s">
        <v>136</v>
      </c>
      <c r="E28" s="77">
        <v>2626.5</v>
      </c>
      <c r="F28" s="78">
        <f>SUM(E28*12)</f>
        <v>31518</v>
      </c>
      <c r="G28" s="78">
        <v>3.36</v>
      </c>
      <c r="H28" s="79">
        <f>SUM(F28*G28/1000)</f>
        <v>105.90048</v>
      </c>
      <c r="I28" s="13">
        <f t="shared" ref="I28" si="1">F28/12*G28</f>
        <v>8825.0399999999991</v>
      </c>
    </row>
    <row r="29" spans="1:9">
      <c r="A29" s="185" t="s">
        <v>84</v>
      </c>
      <c r="B29" s="185"/>
      <c r="C29" s="185"/>
      <c r="D29" s="185"/>
      <c r="E29" s="185"/>
      <c r="F29" s="185"/>
      <c r="G29" s="185"/>
      <c r="H29" s="185"/>
      <c r="I29" s="185"/>
    </row>
    <row r="30" spans="1:9" ht="21" customHeight="1">
      <c r="A30" s="29"/>
      <c r="B30" s="106" t="s">
        <v>28</v>
      </c>
      <c r="C30" s="76"/>
      <c r="D30" s="75"/>
      <c r="E30" s="77"/>
      <c r="F30" s="78"/>
      <c r="G30" s="78"/>
      <c r="H30" s="79"/>
      <c r="I30" s="13"/>
    </row>
    <row r="31" spans="1:9" ht="18.75" customHeight="1">
      <c r="A31" s="29">
        <v>7</v>
      </c>
      <c r="B31" s="75" t="s">
        <v>104</v>
      </c>
      <c r="C31" s="76" t="s">
        <v>89</v>
      </c>
      <c r="D31" s="75" t="s">
        <v>149</v>
      </c>
      <c r="E31" s="78">
        <v>665</v>
      </c>
      <c r="F31" s="78">
        <f>SUM(E31*52/1000)</f>
        <v>34.58</v>
      </c>
      <c r="G31" s="78">
        <v>204.44</v>
      </c>
      <c r="H31" s="79">
        <f t="shared" ref="H31:H36" si="2">SUM(F31*G31/1000)</f>
        <v>7.0695351999999989</v>
      </c>
      <c r="I31" s="13">
        <f t="shared" ref="I31:I32" si="3">F31/6*G31</f>
        <v>1178.2558666666666</v>
      </c>
    </row>
    <row r="32" spans="1:9" ht="45" customHeight="1">
      <c r="A32" s="29">
        <v>8</v>
      </c>
      <c r="B32" s="75" t="s">
        <v>117</v>
      </c>
      <c r="C32" s="76" t="s">
        <v>89</v>
      </c>
      <c r="D32" s="75" t="s">
        <v>150</v>
      </c>
      <c r="E32" s="78">
        <v>81.5</v>
      </c>
      <c r="F32" s="78">
        <f>SUM(E32*78/1000)</f>
        <v>6.3570000000000002</v>
      </c>
      <c r="G32" s="78">
        <v>339.21</v>
      </c>
      <c r="H32" s="79">
        <f t="shared" si="2"/>
        <v>2.1563579700000002</v>
      </c>
      <c r="I32" s="13">
        <f t="shared" si="3"/>
        <v>359.39299500000004</v>
      </c>
    </row>
    <row r="33" spans="1:9" ht="14.25" customHeight="1">
      <c r="A33" s="29">
        <v>9</v>
      </c>
      <c r="B33" s="75" t="s">
        <v>116</v>
      </c>
      <c r="C33" s="76" t="s">
        <v>40</v>
      </c>
      <c r="D33" s="75" t="s">
        <v>63</v>
      </c>
      <c r="E33" s="78">
        <v>3</v>
      </c>
      <c r="F33" s="78">
        <f>E33*155/100</f>
        <v>4.6500000000000004</v>
      </c>
      <c r="G33" s="78">
        <v>1707.63</v>
      </c>
      <c r="H33" s="79">
        <f>G33*F33/1000</f>
        <v>7.9404795000000012</v>
      </c>
      <c r="I33" s="13">
        <f>F33/6*G33</f>
        <v>1323.4132500000001</v>
      </c>
    </row>
    <row r="34" spans="1:9" ht="13.5" customHeight="1">
      <c r="A34" s="29">
        <v>10</v>
      </c>
      <c r="B34" s="75" t="s">
        <v>103</v>
      </c>
      <c r="C34" s="76" t="s">
        <v>31</v>
      </c>
      <c r="D34" s="75" t="s">
        <v>63</v>
      </c>
      <c r="E34" s="81">
        <f>1/3</f>
        <v>0.33333333333333331</v>
      </c>
      <c r="F34" s="78">
        <f>155/3</f>
        <v>51.666666666666664</v>
      </c>
      <c r="G34" s="78">
        <v>74.349999999999994</v>
      </c>
      <c r="H34" s="79">
        <f>SUM(G34*155/3/1000)</f>
        <v>3.8414166666666665</v>
      </c>
      <c r="I34" s="13">
        <f>F34/6*G34</f>
        <v>640.23611111111109</v>
      </c>
    </row>
    <row r="35" spans="1:9" hidden="1">
      <c r="A35" s="29"/>
      <c r="B35" s="75" t="s">
        <v>65</v>
      </c>
      <c r="C35" s="76" t="s">
        <v>33</v>
      </c>
      <c r="D35" s="75" t="s">
        <v>67</v>
      </c>
      <c r="E35" s="77"/>
      <c r="F35" s="78">
        <v>1</v>
      </c>
      <c r="G35" s="78">
        <v>250.92</v>
      </c>
      <c r="H35" s="79">
        <f t="shared" si="2"/>
        <v>0.25091999999999998</v>
      </c>
      <c r="I35" s="13">
        <v>0</v>
      </c>
    </row>
    <row r="36" spans="1:9" hidden="1">
      <c r="A36" s="29"/>
      <c r="B36" s="75" t="s">
        <v>66</v>
      </c>
      <c r="C36" s="76" t="s">
        <v>32</v>
      </c>
      <c r="D36" s="75" t="s">
        <v>67</v>
      </c>
      <c r="E36" s="77"/>
      <c r="F36" s="78">
        <v>1</v>
      </c>
      <c r="G36" s="78">
        <v>1490.31</v>
      </c>
      <c r="H36" s="79">
        <f t="shared" si="2"/>
        <v>1.49031</v>
      </c>
      <c r="I36" s="13">
        <v>0</v>
      </c>
    </row>
    <row r="37" spans="1:9" hidden="1">
      <c r="A37" s="29"/>
      <c r="B37" s="106" t="s">
        <v>5</v>
      </c>
      <c r="C37" s="76"/>
      <c r="D37" s="75"/>
      <c r="E37" s="77"/>
      <c r="F37" s="78"/>
      <c r="G37" s="78"/>
      <c r="H37" s="79" t="s">
        <v>136</v>
      </c>
      <c r="I37" s="13"/>
    </row>
    <row r="38" spans="1:9" hidden="1">
      <c r="A38" s="29">
        <v>7</v>
      </c>
      <c r="B38" s="84" t="s">
        <v>26</v>
      </c>
      <c r="C38" s="76" t="s">
        <v>32</v>
      </c>
      <c r="D38" s="75"/>
      <c r="E38" s="77"/>
      <c r="F38" s="78">
        <v>5</v>
      </c>
      <c r="G38" s="78">
        <v>2003</v>
      </c>
      <c r="H38" s="79">
        <f t="shared" ref="H38:H45" si="4">SUM(F38*G38/1000)</f>
        <v>10.015000000000001</v>
      </c>
      <c r="I38" s="13">
        <f t="shared" ref="I38:I42" si="5">F38/6*G38</f>
        <v>1669.1666666666667</v>
      </c>
    </row>
    <row r="39" spans="1:9" ht="30" hidden="1">
      <c r="A39" s="29">
        <v>8</v>
      </c>
      <c r="B39" s="84" t="s">
        <v>105</v>
      </c>
      <c r="C39" s="85" t="s">
        <v>29</v>
      </c>
      <c r="D39" s="75" t="s">
        <v>123</v>
      </c>
      <c r="E39" s="77">
        <v>81.5</v>
      </c>
      <c r="F39" s="86">
        <f>E39*30/1000</f>
        <v>2.4449999999999998</v>
      </c>
      <c r="G39" s="78">
        <v>2757.78</v>
      </c>
      <c r="H39" s="79">
        <f t="shared" si="4"/>
        <v>6.7427720999999998</v>
      </c>
      <c r="I39" s="13">
        <f t="shared" si="5"/>
        <v>1123.7953500000001</v>
      </c>
    </row>
    <row r="40" spans="1:9" ht="30" hidden="1">
      <c r="A40" s="29">
        <v>9</v>
      </c>
      <c r="B40" s="75" t="s">
        <v>68</v>
      </c>
      <c r="C40" s="76" t="s">
        <v>29</v>
      </c>
      <c r="D40" s="75" t="s">
        <v>88</v>
      </c>
      <c r="E40" s="78">
        <v>81.5</v>
      </c>
      <c r="F40" s="86">
        <f>SUM(E40*155/1000)</f>
        <v>12.6325</v>
      </c>
      <c r="G40" s="78">
        <v>460.02</v>
      </c>
      <c r="H40" s="79">
        <f t="shared" si="4"/>
        <v>5.8112026500000002</v>
      </c>
      <c r="I40" s="13">
        <f t="shared" si="5"/>
        <v>968.53377499999999</v>
      </c>
    </row>
    <row r="41" spans="1:9" hidden="1">
      <c r="A41" s="29"/>
      <c r="B41" s="75" t="s">
        <v>118</v>
      </c>
      <c r="C41" s="76" t="s">
        <v>119</v>
      </c>
      <c r="D41" s="75" t="s">
        <v>67</v>
      </c>
      <c r="E41" s="77"/>
      <c r="F41" s="86">
        <v>26</v>
      </c>
      <c r="G41" s="78">
        <v>314</v>
      </c>
      <c r="H41" s="79">
        <f t="shared" si="4"/>
        <v>8.1639999999999997</v>
      </c>
      <c r="I41" s="13">
        <v>0</v>
      </c>
    </row>
    <row r="42" spans="1:9" ht="60" hidden="1">
      <c r="A42" s="29">
        <v>10</v>
      </c>
      <c r="B42" s="75" t="s">
        <v>82</v>
      </c>
      <c r="C42" s="76" t="s">
        <v>89</v>
      </c>
      <c r="D42" s="75" t="s">
        <v>124</v>
      </c>
      <c r="E42" s="78">
        <v>81.5</v>
      </c>
      <c r="F42" s="86">
        <f>SUM(E42*35/1000)</f>
        <v>2.8525</v>
      </c>
      <c r="G42" s="78">
        <v>7611.16</v>
      </c>
      <c r="H42" s="79">
        <f t="shared" si="4"/>
        <v>21.710833900000001</v>
      </c>
      <c r="I42" s="13">
        <f t="shared" si="5"/>
        <v>3618.4723166666663</v>
      </c>
    </row>
    <row r="43" spans="1:9" hidden="1">
      <c r="A43" s="29">
        <v>11</v>
      </c>
      <c r="B43" s="75" t="s">
        <v>90</v>
      </c>
      <c r="C43" s="76" t="s">
        <v>89</v>
      </c>
      <c r="D43" s="75" t="s">
        <v>69</v>
      </c>
      <c r="E43" s="78">
        <v>81.5</v>
      </c>
      <c r="F43" s="86">
        <f>SUM(E43*45/1000)</f>
        <v>3.6675</v>
      </c>
      <c r="G43" s="78">
        <v>562.25</v>
      </c>
      <c r="H43" s="79">
        <f t="shared" si="4"/>
        <v>2.0620518750000003</v>
      </c>
      <c r="I43" s="13">
        <f>(F43/7.5*1.5)*G43</f>
        <v>412.41037500000004</v>
      </c>
    </row>
    <row r="44" spans="1:9" hidden="1">
      <c r="A44" s="29">
        <v>12</v>
      </c>
      <c r="B44" s="84" t="s">
        <v>70</v>
      </c>
      <c r="C44" s="85" t="s">
        <v>33</v>
      </c>
      <c r="D44" s="84"/>
      <c r="E44" s="82"/>
      <c r="F44" s="86">
        <v>0.9</v>
      </c>
      <c r="G44" s="86">
        <v>974.83</v>
      </c>
      <c r="H44" s="79">
        <f t="shared" si="4"/>
        <v>0.8773470000000001</v>
      </c>
      <c r="I44" s="13">
        <f>(F44/7.5*1.5)*G44</f>
        <v>175.46940000000004</v>
      </c>
    </row>
    <row r="45" spans="1:9" ht="30" hidden="1">
      <c r="A45" s="29">
        <v>13</v>
      </c>
      <c r="B45" s="47" t="s">
        <v>156</v>
      </c>
      <c r="C45" s="48" t="s">
        <v>29</v>
      </c>
      <c r="D45" s="84" t="s">
        <v>157</v>
      </c>
      <c r="E45" s="82">
        <v>2.4</v>
      </c>
      <c r="F45" s="86">
        <f>SUM(E45*12/1000)</f>
        <v>2.8799999999999996E-2</v>
      </c>
      <c r="G45" s="86">
        <v>260.2</v>
      </c>
      <c r="H45" s="79">
        <f t="shared" si="4"/>
        <v>7.4937599999999986E-3</v>
      </c>
      <c r="I45" s="13">
        <f>F45/6*G45</f>
        <v>1.2489599999999998</v>
      </c>
    </row>
    <row r="46" spans="1:9">
      <c r="A46" s="186" t="s">
        <v>129</v>
      </c>
      <c r="B46" s="187"/>
      <c r="C46" s="187"/>
      <c r="D46" s="187"/>
      <c r="E46" s="187"/>
      <c r="F46" s="187"/>
      <c r="G46" s="187"/>
      <c r="H46" s="187"/>
      <c r="I46" s="188"/>
    </row>
    <row r="47" spans="1:9" hidden="1">
      <c r="A47" s="29">
        <v>19</v>
      </c>
      <c r="B47" s="75" t="s">
        <v>125</v>
      </c>
      <c r="C47" s="76" t="s">
        <v>89</v>
      </c>
      <c r="D47" s="75" t="s">
        <v>206</v>
      </c>
      <c r="E47" s="77">
        <v>1080</v>
      </c>
      <c r="F47" s="78">
        <f>SUM(E47*2/1000)</f>
        <v>2.16</v>
      </c>
      <c r="G47" s="33">
        <v>1172.4100000000001</v>
      </c>
      <c r="H47" s="79">
        <f t="shared" ref="H47:H55" si="6">SUM(F47*G47/1000)</f>
        <v>2.5324056000000006</v>
      </c>
      <c r="I47" s="13">
        <f t="shared" ref="I47:I50" si="7">F47/2*G47</f>
        <v>1266.2028000000003</v>
      </c>
    </row>
    <row r="48" spans="1:9" hidden="1">
      <c r="A48" s="29">
        <v>20</v>
      </c>
      <c r="B48" s="75" t="s">
        <v>35</v>
      </c>
      <c r="C48" s="76" t="s">
        <v>89</v>
      </c>
      <c r="D48" s="75" t="s">
        <v>206</v>
      </c>
      <c r="E48" s="77">
        <v>39</v>
      </c>
      <c r="F48" s="78">
        <f>SUM(E48*2/1000)</f>
        <v>7.8E-2</v>
      </c>
      <c r="G48" s="33">
        <v>4419.05</v>
      </c>
      <c r="H48" s="79">
        <f t="shared" si="6"/>
        <v>0.34468589999999999</v>
      </c>
      <c r="I48" s="13">
        <f t="shared" si="7"/>
        <v>172.34295</v>
      </c>
    </row>
    <row r="49" spans="1:9" hidden="1">
      <c r="A49" s="29">
        <v>21</v>
      </c>
      <c r="B49" s="75" t="s">
        <v>36</v>
      </c>
      <c r="C49" s="76" t="s">
        <v>89</v>
      </c>
      <c r="D49" s="75" t="s">
        <v>231</v>
      </c>
      <c r="E49" s="77">
        <v>1037</v>
      </c>
      <c r="F49" s="78">
        <f>SUM(E49*2/1000)</f>
        <v>2.0739999999999998</v>
      </c>
      <c r="G49" s="33">
        <v>1803.69</v>
      </c>
      <c r="H49" s="79">
        <f t="shared" si="6"/>
        <v>3.7408530600000001</v>
      </c>
      <c r="I49" s="13">
        <f t="shared" si="7"/>
        <v>1870.42653</v>
      </c>
    </row>
    <row r="50" spans="1:9" hidden="1">
      <c r="A50" s="29">
        <v>22</v>
      </c>
      <c r="B50" s="75" t="s">
        <v>37</v>
      </c>
      <c r="C50" s="76" t="s">
        <v>89</v>
      </c>
      <c r="D50" s="75" t="s">
        <v>206</v>
      </c>
      <c r="E50" s="77">
        <v>2274</v>
      </c>
      <c r="F50" s="78">
        <f>SUM(E50*2/1000)</f>
        <v>4.548</v>
      </c>
      <c r="G50" s="33">
        <v>1243.43</v>
      </c>
      <c r="H50" s="79">
        <f t="shared" si="6"/>
        <v>5.6551196399999997</v>
      </c>
      <c r="I50" s="13">
        <f t="shared" si="7"/>
        <v>2827.5598199999999</v>
      </c>
    </row>
    <row r="51" spans="1:9" hidden="1">
      <c r="A51" s="29">
        <v>23</v>
      </c>
      <c r="B51" s="75" t="s">
        <v>34</v>
      </c>
      <c r="C51" s="76" t="s">
        <v>53</v>
      </c>
      <c r="D51" s="75" t="s">
        <v>206</v>
      </c>
      <c r="E51" s="77">
        <v>83.04</v>
      </c>
      <c r="F51" s="78">
        <v>1.66</v>
      </c>
      <c r="G51" s="33">
        <v>1352.76</v>
      </c>
      <c r="H51" s="79">
        <f>SUM(F51*G51/1000)</f>
        <v>2.2455816</v>
      </c>
      <c r="I51" s="13">
        <f>F51/2*G51</f>
        <v>1122.7908</v>
      </c>
    </row>
    <row r="52" spans="1:9" hidden="1">
      <c r="A52" s="29">
        <v>24</v>
      </c>
      <c r="B52" s="75" t="s">
        <v>256</v>
      </c>
      <c r="C52" s="76" t="s">
        <v>89</v>
      </c>
      <c r="D52" s="75" t="s">
        <v>206</v>
      </c>
      <c r="E52" s="77">
        <v>2626.5</v>
      </c>
      <c r="F52" s="78">
        <f>SUM(E52*5/1000)</f>
        <v>13.1325</v>
      </c>
      <c r="G52" s="33">
        <v>1803.69</v>
      </c>
      <c r="H52" s="79">
        <f t="shared" ref="H52:H54" si="8">SUM(F52*G52/1000)</f>
        <v>23.686958925000003</v>
      </c>
      <c r="I52" s="13">
        <f>F52/5*G52</f>
        <v>4737.3917849999998</v>
      </c>
    </row>
    <row r="53" spans="1:9" ht="45" hidden="1">
      <c r="A53" s="29">
        <v>25</v>
      </c>
      <c r="B53" s="75" t="s">
        <v>91</v>
      </c>
      <c r="C53" s="76" t="s">
        <v>89</v>
      </c>
      <c r="D53" s="75" t="s">
        <v>206</v>
      </c>
      <c r="E53" s="77">
        <v>2626.5</v>
      </c>
      <c r="F53" s="78">
        <f>SUM(E53*2/1000)</f>
        <v>5.2530000000000001</v>
      </c>
      <c r="G53" s="33">
        <v>1591.6</v>
      </c>
      <c r="H53" s="79">
        <f t="shared" si="8"/>
        <v>8.3606747999999982</v>
      </c>
      <c r="I53" s="13">
        <f>F53/2*G53</f>
        <v>4180.3373999999994</v>
      </c>
    </row>
    <row r="54" spans="1:9" ht="30" hidden="1">
      <c r="A54" s="29">
        <v>26</v>
      </c>
      <c r="B54" s="75" t="s">
        <v>92</v>
      </c>
      <c r="C54" s="76" t="s">
        <v>38</v>
      </c>
      <c r="D54" s="75" t="s">
        <v>206</v>
      </c>
      <c r="E54" s="77">
        <v>15</v>
      </c>
      <c r="F54" s="78">
        <f>SUM(E54*2/100)</f>
        <v>0.3</v>
      </c>
      <c r="G54" s="33">
        <v>4058.32</v>
      </c>
      <c r="H54" s="79">
        <f t="shared" si="8"/>
        <v>1.2174960000000001</v>
      </c>
      <c r="I54" s="13">
        <f t="shared" ref="I54:I55" si="9">F54/2*G54</f>
        <v>608.74800000000005</v>
      </c>
    </row>
    <row r="55" spans="1:9" hidden="1">
      <c r="A55" s="29">
        <v>27</v>
      </c>
      <c r="B55" s="75" t="s">
        <v>39</v>
      </c>
      <c r="C55" s="76" t="s">
        <v>40</v>
      </c>
      <c r="D55" s="75" t="s">
        <v>206</v>
      </c>
      <c r="E55" s="77">
        <v>1</v>
      </c>
      <c r="F55" s="78">
        <v>0.02</v>
      </c>
      <c r="G55" s="33">
        <v>7412.92</v>
      </c>
      <c r="H55" s="79">
        <f t="shared" si="6"/>
        <v>0.14825839999999998</v>
      </c>
      <c r="I55" s="13">
        <f t="shared" si="9"/>
        <v>74.129199999999997</v>
      </c>
    </row>
    <row r="56" spans="1:9" ht="18" customHeight="1">
      <c r="A56" s="29">
        <v>11</v>
      </c>
      <c r="B56" s="75" t="s">
        <v>41</v>
      </c>
      <c r="C56" s="76" t="s">
        <v>106</v>
      </c>
      <c r="D56" s="75" t="s">
        <v>71</v>
      </c>
      <c r="E56" s="77">
        <v>90</v>
      </c>
      <c r="F56" s="78">
        <f>SUM(E56)*3</f>
        <v>270</v>
      </c>
      <c r="G56" s="74">
        <v>86.15</v>
      </c>
      <c r="H56" s="79">
        <f>SUM(F56*G56/1000)</f>
        <v>23.2605</v>
      </c>
      <c r="I56" s="13">
        <f>F56/3*G56</f>
        <v>7753.5000000000009</v>
      </c>
    </row>
    <row r="57" spans="1:9">
      <c r="A57" s="186" t="s">
        <v>130</v>
      </c>
      <c r="B57" s="187"/>
      <c r="C57" s="187"/>
      <c r="D57" s="187"/>
      <c r="E57" s="187"/>
      <c r="F57" s="187"/>
      <c r="G57" s="187"/>
      <c r="H57" s="187"/>
      <c r="I57" s="188"/>
    </row>
    <row r="58" spans="1:9" hidden="1">
      <c r="A58" s="29"/>
      <c r="B58" s="106" t="s">
        <v>43</v>
      </c>
      <c r="C58" s="76"/>
      <c r="D58" s="75"/>
      <c r="E58" s="77"/>
      <c r="F58" s="78"/>
      <c r="G58" s="78"/>
      <c r="H58" s="79"/>
      <c r="I58" s="13"/>
    </row>
    <row r="59" spans="1:9" ht="45" hidden="1">
      <c r="A59" s="29">
        <v>15</v>
      </c>
      <c r="B59" s="75" t="s">
        <v>195</v>
      </c>
      <c r="C59" s="76" t="s">
        <v>87</v>
      </c>
      <c r="D59" s="75" t="s">
        <v>107</v>
      </c>
      <c r="E59" s="77">
        <v>111</v>
      </c>
      <c r="F59" s="78">
        <f>SUM(E59*6/100)</f>
        <v>6.66</v>
      </c>
      <c r="G59" s="33">
        <v>2029.3</v>
      </c>
      <c r="H59" s="79">
        <f>SUM(F59*G59/1000)</f>
        <v>13.515138</v>
      </c>
      <c r="I59" s="13">
        <f>G59*0.76</f>
        <v>1542.268</v>
      </c>
    </row>
    <row r="60" spans="1:9" hidden="1">
      <c r="A60" s="29">
        <v>16</v>
      </c>
      <c r="B60" s="75" t="s">
        <v>194</v>
      </c>
      <c r="C60" s="76" t="s">
        <v>159</v>
      </c>
      <c r="D60" s="75" t="s">
        <v>67</v>
      </c>
      <c r="E60" s="77"/>
      <c r="F60" s="78">
        <v>3</v>
      </c>
      <c r="G60" s="33">
        <v>1582.05</v>
      </c>
      <c r="H60" s="79">
        <f>SUM(F60*G60/1000)</f>
        <v>4.7461499999999992</v>
      </c>
      <c r="I60" s="13">
        <f>G60*2</f>
        <v>3164.1</v>
      </c>
    </row>
    <row r="61" spans="1:9" ht="15.75" customHeight="1">
      <c r="A61" s="29"/>
      <c r="B61" s="107" t="s">
        <v>44</v>
      </c>
      <c r="C61" s="87"/>
      <c r="D61" s="88"/>
      <c r="E61" s="89"/>
      <c r="F61" s="90"/>
      <c r="G61" s="33"/>
      <c r="H61" s="91"/>
      <c r="I61" s="13"/>
    </row>
    <row r="62" spans="1:9" hidden="1">
      <c r="A62" s="29"/>
      <c r="B62" s="88" t="s">
        <v>45</v>
      </c>
      <c r="C62" s="87" t="s">
        <v>53</v>
      </c>
      <c r="D62" s="88" t="s">
        <v>54</v>
      </c>
      <c r="E62" s="89">
        <v>130</v>
      </c>
      <c r="F62" s="90">
        <f>E62/100</f>
        <v>1.3</v>
      </c>
      <c r="G62" s="33">
        <v>1040.8399999999999</v>
      </c>
      <c r="H62" s="91">
        <f>F62*G62/1000</f>
        <v>1.353092</v>
      </c>
      <c r="I62" s="13">
        <v>0</v>
      </c>
    </row>
    <row r="63" spans="1:9" ht="18" customHeight="1">
      <c r="A63" s="29">
        <v>12</v>
      </c>
      <c r="B63" s="88" t="s">
        <v>120</v>
      </c>
      <c r="C63" s="87" t="s">
        <v>25</v>
      </c>
      <c r="D63" s="88" t="s">
        <v>205</v>
      </c>
      <c r="E63" s="89">
        <v>130</v>
      </c>
      <c r="F63" s="92">
        <f>E63*12</f>
        <v>1560</v>
      </c>
      <c r="G63" s="93">
        <v>1.2</v>
      </c>
      <c r="H63" s="90">
        <f>F63*G63/1000</f>
        <v>1.8720000000000001</v>
      </c>
      <c r="I63" s="13">
        <f t="shared" ref="I63" si="10">F63/12*G63</f>
        <v>156</v>
      </c>
    </row>
    <row r="64" spans="1:9" ht="19.5" customHeight="1">
      <c r="A64" s="29"/>
      <c r="B64" s="108" t="s">
        <v>46</v>
      </c>
      <c r="C64" s="87"/>
      <c r="D64" s="88"/>
      <c r="E64" s="89"/>
      <c r="F64" s="92"/>
      <c r="G64" s="92"/>
      <c r="H64" s="90" t="s">
        <v>136</v>
      </c>
      <c r="I64" s="13"/>
    </row>
    <row r="65" spans="1:9" ht="18.75" customHeight="1">
      <c r="A65" s="29">
        <v>13</v>
      </c>
      <c r="B65" s="94" t="s">
        <v>47</v>
      </c>
      <c r="C65" s="95" t="s">
        <v>106</v>
      </c>
      <c r="D65" s="75" t="s">
        <v>67</v>
      </c>
      <c r="E65" s="16">
        <v>9</v>
      </c>
      <c r="F65" s="74">
        <f>SUM(E65)</f>
        <v>9</v>
      </c>
      <c r="G65" s="33">
        <v>291.68</v>
      </c>
      <c r="H65" s="68">
        <f t="shared" ref="H65:H83" si="11">SUM(F65*G65/1000)</f>
        <v>2.6251199999999999</v>
      </c>
      <c r="I65" s="13">
        <f>G65*1</f>
        <v>291.68</v>
      </c>
    </row>
    <row r="66" spans="1:9" ht="22.5" hidden="1" customHeight="1">
      <c r="A66" s="29"/>
      <c r="B66" s="94" t="s">
        <v>48</v>
      </c>
      <c r="C66" s="95" t="s">
        <v>106</v>
      </c>
      <c r="D66" s="75" t="s">
        <v>67</v>
      </c>
      <c r="E66" s="16">
        <v>4</v>
      </c>
      <c r="F66" s="74">
        <f>SUM(E66)</f>
        <v>4</v>
      </c>
      <c r="G66" s="33">
        <v>100.01</v>
      </c>
      <c r="H66" s="68">
        <f t="shared" si="11"/>
        <v>0.40004000000000001</v>
      </c>
      <c r="I66" s="13">
        <v>0</v>
      </c>
    </row>
    <row r="67" spans="1:9" ht="20.25" hidden="1" customHeight="1">
      <c r="A67" s="29">
        <v>29</v>
      </c>
      <c r="B67" s="94" t="s">
        <v>49</v>
      </c>
      <c r="C67" s="96" t="s">
        <v>108</v>
      </c>
      <c r="D67" s="35" t="s">
        <v>205</v>
      </c>
      <c r="E67" s="77">
        <v>13287</v>
      </c>
      <c r="F67" s="74">
        <f>SUM(E67/100)</f>
        <v>132.87</v>
      </c>
      <c r="G67" s="33">
        <v>278.24</v>
      </c>
      <c r="H67" s="68">
        <f t="shared" si="11"/>
        <v>36.969748799999998</v>
      </c>
      <c r="I67" s="13">
        <f>132.87*G67</f>
        <v>36969.748800000001</v>
      </c>
    </row>
    <row r="68" spans="1:9" ht="21.75" hidden="1" customHeight="1">
      <c r="A68" s="29">
        <v>30</v>
      </c>
      <c r="B68" s="94" t="s">
        <v>50</v>
      </c>
      <c r="C68" s="95" t="s">
        <v>109</v>
      </c>
      <c r="D68" s="35" t="s">
        <v>205</v>
      </c>
      <c r="E68" s="77">
        <v>13287</v>
      </c>
      <c r="F68" s="33">
        <f>SUM(E68/1000)</f>
        <v>13.287000000000001</v>
      </c>
      <c r="G68" s="33">
        <v>216.68</v>
      </c>
      <c r="H68" s="68">
        <f t="shared" si="11"/>
        <v>2.8790271600000001</v>
      </c>
      <c r="I68" s="13">
        <f>13.287*G68</f>
        <v>2879.0271600000001</v>
      </c>
    </row>
    <row r="69" spans="1:9" ht="23.25" hidden="1" customHeight="1">
      <c r="A69" s="29">
        <v>31</v>
      </c>
      <c r="B69" s="94" t="s">
        <v>51</v>
      </c>
      <c r="C69" s="95" t="s">
        <v>76</v>
      </c>
      <c r="D69" s="35" t="s">
        <v>205</v>
      </c>
      <c r="E69" s="77">
        <v>2110</v>
      </c>
      <c r="F69" s="33">
        <f>SUM(E69/100)</f>
        <v>21.1</v>
      </c>
      <c r="G69" s="33">
        <v>2720.94</v>
      </c>
      <c r="H69" s="68">
        <f>SUM(F69*G69/1000)</f>
        <v>57.411834000000006</v>
      </c>
      <c r="I69" s="13">
        <f>21.1*G69</f>
        <v>57411.834000000003</v>
      </c>
    </row>
    <row r="70" spans="1:9" ht="24.75" hidden="1" customHeight="1">
      <c r="A70" s="29">
        <v>32</v>
      </c>
      <c r="B70" s="97" t="s">
        <v>110</v>
      </c>
      <c r="C70" s="95" t="s">
        <v>33</v>
      </c>
      <c r="D70" s="35"/>
      <c r="E70" s="77">
        <v>8.6</v>
      </c>
      <c r="F70" s="33">
        <f>SUM(E70)</f>
        <v>8.6</v>
      </c>
      <c r="G70" s="33">
        <v>42.61</v>
      </c>
      <c r="H70" s="68">
        <f t="shared" si="11"/>
        <v>0.36644599999999999</v>
      </c>
      <c r="I70" s="13">
        <f>8.6*G70</f>
        <v>366.44599999999997</v>
      </c>
    </row>
    <row r="71" spans="1:9" ht="27" hidden="1" customHeight="1">
      <c r="A71" s="29">
        <v>33</v>
      </c>
      <c r="B71" s="97" t="s">
        <v>111</v>
      </c>
      <c r="C71" s="95" t="s">
        <v>33</v>
      </c>
      <c r="D71" s="35"/>
      <c r="E71" s="77">
        <v>8.6</v>
      </c>
      <c r="F71" s="33">
        <f>SUM(E71)</f>
        <v>8.6</v>
      </c>
      <c r="G71" s="33">
        <v>46.04</v>
      </c>
      <c r="H71" s="68">
        <f t="shared" si="11"/>
        <v>0.39594399999999996</v>
      </c>
      <c r="I71" s="13">
        <f>8.6*G71</f>
        <v>395.94399999999996</v>
      </c>
    </row>
    <row r="72" spans="1:9" ht="32.25" hidden="1" customHeight="1">
      <c r="A72" s="29">
        <v>20</v>
      </c>
      <c r="B72" s="35" t="s">
        <v>57</v>
      </c>
      <c r="C72" s="95" t="s">
        <v>58</v>
      </c>
      <c r="D72" s="35" t="s">
        <v>54</v>
      </c>
      <c r="E72" s="16">
        <v>3</v>
      </c>
      <c r="F72" s="33">
        <f>SUM(E72)</f>
        <v>3</v>
      </c>
      <c r="G72" s="33">
        <v>65.42</v>
      </c>
      <c r="H72" s="68">
        <f t="shared" si="11"/>
        <v>0.19625999999999999</v>
      </c>
      <c r="I72" s="13">
        <f>3*G72</f>
        <v>196.26</v>
      </c>
    </row>
    <row r="73" spans="1:9" ht="17.25" customHeight="1">
      <c r="A73" s="29"/>
      <c r="B73" s="109" t="s">
        <v>72</v>
      </c>
      <c r="C73" s="95"/>
      <c r="D73" s="35"/>
      <c r="E73" s="16"/>
      <c r="F73" s="33"/>
      <c r="G73" s="33"/>
      <c r="H73" s="68" t="s">
        <v>136</v>
      </c>
      <c r="I73" s="13"/>
    </row>
    <row r="74" spans="1:9" ht="30" hidden="1">
      <c r="A74" s="29"/>
      <c r="B74" s="35" t="s">
        <v>160</v>
      </c>
      <c r="C74" s="95" t="s">
        <v>106</v>
      </c>
      <c r="D74" s="75" t="s">
        <v>67</v>
      </c>
      <c r="E74" s="16">
        <v>1</v>
      </c>
      <c r="F74" s="33">
        <v>1</v>
      </c>
      <c r="G74" s="33">
        <v>1543.4</v>
      </c>
      <c r="H74" s="68">
        <f t="shared" ref="H74:H76" si="12">SUM(F74*G74/1000)</f>
        <v>1.5434000000000001</v>
      </c>
      <c r="I74" s="13">
        <v>0</v>
      </c>
    </row>
    <row r="75" spans="1:9" hidden="1">
      <c r="A75" s="29">
        <v>17</v>
      </c>
      <c r="B75" s="35" t="s">
        <v>73</v>
      </c>
      <c r="C75" s="95" t="s">
        <v>74</v>
      </c>
      <c r="D75" s="75" t="s">
        <v>67</v>
      </c>
      <c r="E75" s="16">
        <v>3</v>
      </c>
      <c r="F75" s="33">
        <f>E75/10</f>
        <v>0.3</v>
      </c>
      <c r="G75" s="33">
        <v>657.87</v>
      </c>
      <c r="H75" s="68">
        <f t="shared" si="12"/>
        <v>0.19736099999999998</v>
      </c>
      <c r="I75" s="13">
        <f>G75*0.9</f>
        <v>592.08299999999997</v>
      </c>
    </row>
    <row r="76" spans="1:9" hidden="1">
      <c r="A76" s="29"/>
      <c r="B76" s="35" t="s">
        <v>161</v>
      </c>
      <c r="C76" s="95" t="s">
        <v>106</v>
      </c>
      <c r="D76" s="75" t="s">
        <v>67</v>
      </c>
      <c r="E76" s="16">
        <v>2</v>
      </c>
      <c r="F76" s="78">
        <f>SUM(E76)</f>
        <v>2</v>
      </c>
      <c r="G76" s="33">
        <v>1118.72</v>
      </c>
      <c r="H76" s="68">
        <f t="shared" si="12"/>
        <v>2.2374399999999999</v>
      </c>
      <c r="I76" s="13">
        <v>0</v>
      </c>
    </row>
    <row r="77" spans="1:9" hidden="1">
      <c r="A77" s="29"/>
      <c r="B77" s="47" t="s">
        <v>162</v>
      </c>
      <c r="C77" s="48" t="s">
        <v>106</v>
      </c>
      <c r="D77" s="75" t="s">
        <v>67</v>
      </c>
      <c r="E77" s="16">
        <v>1</v>
      </c>
      <c r="F77" s="93">
        <v>1</v>
      </c>
      <c r="G77" s="33">
        <v>1605.83</v>
      </c>
      <c r="H77" s="68">
        <f>SUM(F77*G77/1000)</f>
        <v>1.6058299999999999</v>
      </c>
      <c r="I77" s="13">
        <v>0</v>
      </c>
    </row>
    <row r="78" spans="1:9" ht="37.5" customHeight="1">
      <c r="A78" s="29">
        <v>14</v>
      </c>
      <c r="B78" s="47" t="s">
        <v>163</v>
      </c>
      <c r="C78" s="48" t="s">
        <v>106</v>
      </c>
      <c r="D78" s="35" t="s">
        <v>205</v>
      </c>
      <c r="E78" s="98">
        <v>2</v>
      </c>
      <c r="F78" s="92">
        <f>E78*12</f>
        <v>24</v>
      </c>
      <c r="G78" s="99">
        <v>53.42</v>
      </c>
      <c r="H78" s="68">
        <f t="shared" ref="H78:H79" si="13">SUM(F78*G78/1000)</f>
        <v>1.2820799999999999</v>
      </c>
      <c r="I78" s="13">
        <f t="shared" ref="I78:I81" si="14">F78/12*G78</f>
        <v>106.84</v>
      </c>
    </row>
    <row r="79" spans="1:9" ht="18" customHeight="1">
      <c r="A79" s="29">
        <v>15</v>
      </c>
      <c r="B79" s="57" t="s">
        <v>164</v>
      </c>
      <c r="C79" s="95"/>
      <c r="D79" s="35" t="s">
        <v>205</v>
      </c>
      <c r="E79" s="16">
        <v>1</v>
      </c>
      <c r="F79" s="33">
        <v>12</v>
      </c>
      <c r="G79" s="33">
        <v>1194</v>
      </c>
      <c r="H79" s="68">
        <f t="shared" si="13"/>
        <v>14.327999999999999</v>
      </c>
      <c r="I79" s="13">
        <f t="shared" si="14"/>
        <v>1194</v>
      </c>
    </row>
    <row r="80" spans="1:9" ht="17.25" customHeight="1">
      <c r="A80" s="29"/>
      <c r="B80" s="110" t="s">
        <v>165</v>
      </c>
      <c r="C80" s="48"/>
      <c r="D80" s="35"/>
      <c r="E80" s="16"/>
      <c r="F80" s="33"/>
      <c r="G80" s="33"/>
      <c r="H80" s="68"/>
      <c r="I80" s="13"/>
    </row>
    <row r="81" spans="1:9" ht="18" customHeight="1">
      <c r="A81" s="29">
        <v>16</v>
      </c>
      <c r="B81" s="35" t="s">
        <v>166</v>
      </c>
      <c r="C81" s="100" t="s">
        <v>167</v>
      </c>
      <c r="D81" s="75" t="s">
        <v>206</v>
      </c>
      <c r="E81" s="16">
        <v>2626.5</v>
      </c>
      <c r="F81" s="33">
        <f>SUM(E81*12)</f>
        <v>31518</v>
      </c>
      <c r="G81" s="33">
        <v>2.2799999999999998</v>
      </c>
      <c r="H81" s="68">
        <f t="shared" ref="H81" si="15">SUM(F81*G81/1000)</f>
        <v>71.861039999999988</v>
      </c>
      <c r="I81" s="13">
        <f t="shared" si="14"/>
        <v>5988.4199999999992</v>
      </c>
    </row>
    <row r="82" spans="1:9" hidden="1">
      <c r="A82" s="29"/>
      <c r="B82" s="111" t="s">
        <v>75</v>
      </c>
      <c r="C82" s="95"/>
      <c r="D82" s="35"/>
      <c r="E82" s="16"/>
      <c r="F82" s="33"/>
      <c r="G82" s="33" t="s">
        <v>136</v>
      </c>
      <c r="H82" s="68" t="s">
        <v>136</v>
      </c>
      <c r="I82" s="13"/>
    </row>
    <row r="83" spans="1:9" hidden="1">
      <c r="A83" s="29"/>
      <c r="B83" s="101" t="s">
        <v>126</v>
      </c>
      <c r="C83" s="96" t="s">
        <v>76</v>
      </c>
      <c r="D83" s="94"/>
      <c r="E83" s="102"/>
      <c r="F83" s="74">
        <v>0.5</v>
      </c>
      <c r="G83" s="74">
        <v>3619.09</v>
      </c>
      <c r="H83" s="68">
        <f t="shared" si="11"/>
        <v>1.8095450000000002</v>
      </c>
      <c r="I83" s="13"/>
    </row>
    <row r="84" spans="1:9" ht="18.75" hidden="1" customHeight="1">
      <c r="A84" s="29"/>
      <c r="B84" s="62" t="s">
        <v>93</v>
      </c>
      <c r="C84" s="13"/>
      <c r="D84" s="13"/>
      <c r="E84" s="13"/>
      <c r="F84" s="13"/>
      <c r="G84" s="13"/>
      <c r="H84" s="13"/>
      <c r="I84" s="13"/>
    </row>
    <row r="85" spans="1:9" ht="17.25" hidden="1" customHeight="1">
      <c r="A85" s="29"/>
      <c r="B85" s="75" t="s">
        <v>112</v>
      </c>
      <c r="C85" s="103"/>
      <c r="D85" s="104"/>
      <c r="E85" s="105"/>
      <c r="F85" s="34">
        <v>1</v>
      </c>
      <c r="G85" s="34">
        <v>8275.7000000000007</v>
      </c>
      <c r="H85" s="68">
        <f>G85*F85/1000</f>
        <v>8.2757000000000005</v>
      </c>
      <c r="I85" s="13"/>
    </row>
    <row r="86" spans="1:9">
      <c r="A86" s="174" t="s">
        <v>131</v>
      </c>
      <c r="B86" s="175"/>
      <c r="C86" s="175"/>
      <c r="D86" s="175"/>
      <c r="E86" s="175"/>
      <c r="F86" s="175"/>
      <c r="G86" s="175"/>
      <c r="H86" s="175"/>
      <c r="I86" s="176"/>
    </row>
    <row r="87" spans="1:9" ht="18" customHeight="1">
      <c r="A87" s="29">
        <v>17</v>
      </c>
      <c r="B87" s="75" t="s">
        <v>113</v>
      </c>
      <c r="C87" s="95" t="s">
        <v>55</v>
      </c>
      <c r="D87" s="61" t="s">
        <v>142</v>
      </c>
      <c r="E87" s="33">
        <v>2626.5</v>
      </c>
      <c r="F87" s="33">
        <f>SUM(E87*12)</f>
        <v>31518</v>
      </c>
      <c r="G87" s="33">
        <v>3.1</v>
      </c>
      <c r="H87" s="68">
        <f>SUM(F87*G87/1000)</f>
        <v>97.705799999999996</v>
      </c>
      <c r="I87" s="13">
        <f t="shared" ref="I87:I88" si="16">F87/12*G87</f>
        <v>8142.1500000000005</v>
      </c>
    </row>
    <row r="88" spans="1:9" ht="27.75" customHeight="1">
      <c r="A88" s="29">
        <v>18</v>
      </c>
      <c r="B88" s="35" t="s">
        <v>77</v>
      </c>
      <c r="C88" s="95"/>
      <c r="D88" s="61" t="s">
        <v>142</v>
      </c>
      <c r="E88" s="77">
        <f>E87</f>
        <v>2626.5</v>
      </c>
      <c r="F88" s="33">
        <f>E88*12</f>
        <v>31518</v>
      </c>
      <c r="G88" s="33">
        <v>3.5</v>
      </c>
      <c r="H88" s="68">
        <f>F88*G88/1000</f>
        <v>110.313</v>
      </c>
      <c r="I88" s="13">
        <f t="shared" si="16"/>
        <v>9192.75</v>
      </c>
    </row>
    <row r="89" spans="1:9">
      <c r="A89" s="29"/>
      <c r="B89" s="36" t="s">
        <v>80</v>
      </c>
      <c r="C89" s="59"/>
      <c r="D89" s="58"/>
      <c r="E89" s="55"/>
      <c r="F89" s="55"/>
      <c r="G89" s="55"/>
      <c r="H89" s="60">
        <f>H79</f>
        <v>14.327999999999999</v>
      </c>
      <c r="I89" s="55">
        <f>I88+I87+I81+I79+I78+I65+I63+I56+I34+I33+I32+I31+I28+I27+I20+I18+I17+I16</f>
        <v>54264.573512777773</v>
      </c>
    </row>
    <row r="90" spans="1:9">
      <c r="A90" s="163" t="s">
        <v>60</v>
      </c>
      <c r="B90" s="164"/>
      <c r="C90" s="164"/>
      <c r="D90" s="164"/>
      <c r="E90" s="164"/>
      <c r="F90" s="164"/>
      <c r="G90" s="164"/>
      <c r="H90" s="164"/>
      <c r="I90" s="165"/>
    </row>
    <row r="91" spans="1:9" ht="33" customHeight="1">
      <c r="A91" s="29" t="s">
        <v>341</v>
      </c>
      <c r="B91" s="46" t="s">
        <v>121</v>
      </c>
      <c r="C91" s="49" t="s">
        <v>106</v>
      </c>
      <c r="D91" s="14"/>
      <c r="E91" s="17"/>
      <c r="F91" s="13">
        <v>135</v>
      </c>
      <c r="G91" s="13">
        <v>55.55</v>
      </c>
      <c r="H91" s="56">
        <f t="shared" ref="H91:H92" si="17">G91*F91/1000</f>
        <v>7.49925</v>
      </c>
      <c r="I91" s="13">
        <f>G91*45</f>
        <v>2499.75</v>
      </c>
    </row>
    <row r="92" spans="1:9">
      <c r="A92" s="29">
        <v>20</v>
      </c>
      <c r="B92" s="47" t="s">
        <v>147</v>
      </c>
      <c r="C92" s="48" t="s">
        <v>106</v>
      </c>
      <c r="D92" s="35"/>
      <c r="E92" s="16"/>
      <c r="F92" s="33">
        <v>1</v>
      </c>
      <c r="G92" s="33">
        <v>197.48</v>
      </c>
      <c r="H92" s="68">
        <f t="shared" si="17"/>
        <v>0.19747999999999999</v>
      </c>
      <c r="I92" s="13">
        <f>G92*1</f>
        <v>197.48</v>
      </c>
    </row>
    <row r="93" spans="1:9">
      <c r="A93" s="29">
        <v>21</v>
      </c>
      <c r="B93" s="114" t="s">
        <v>326</v>
      </c>
      <c r="C93" s="100" t="s">
        <v>95</v>
      </c>
      <c r="D93" s="35"/>
      <c r="E93" s="16"/>
      <c r="F93" s="33"/>
      <c r="G93" s="33">
        <v>3413.41</v>
      </c>
      <c r="H93" s="68"/>
      <c r="I93" s="13">
        <f>G93*0.06</f>
        <v>204.80459999999999</v>
      </c>
    </row>
    <row r="94" spans="1:9" ht="31.5" customHeight="1">
      <c r="A94" s="29">
        <v>22</v>
      </c>
      <c r="B94" s="75" t="s">
        <v>181</v>
      </c>
      <c r="C94" s="76" t="s">
        <v>38</v>
      </c>
      <c r="D94" s="35"/>
      <c r="E94" s="16"/>
      <c r="F94" s="33"/>
      <c r="G94" s="33">
        <v>3724.37</v>
      </c>
      <c r="H94" s="68"/>
      <c r="I94" s="13">
        <f>G94*0.01</f>
        <v>37.243699999999997</v>
      </c>
    </row>
    <row r="95" spans="1:9" ht="16.5" customHeight="1">
      <c r="A95" s="29"/>
      <c r="B95" s="41" t="s">
        <v>52</v>
      </c>
      <c r="C95" s="37"/>
      <c r="D95" s="44"/>
      <c r="E95" s="37">
        <v>1</v>
      </c>
      <c r="F95" s="37"/>
      <c r="G95" s="37"/>
      <c r="H95" s="37"/>
      <c r="I95" s="31">
        <f>I94+I93+I92</f>
        <v>439.52829999999994</v>
      </c>
    </row>
    <row r="96" spans="1:9">
      <c r="A96" s="29"/>
      <c r="B96" s="43" t="s">
        <v>78</v>
      </c>
      <c r="C96" s="15"/>
      <c r="D96" s="15"/>
      <c r="E96" s="38"/>
      <c r="F96" s="38"/>
      <c r="G96" s="39"/>
      <c r="H96" s="39"/>
      <c r="I96" s="16">
        <v>0</v>
      </c>
    </row>
    <row r="97" spans="1:9">
      <c r="A97" s="45"/>
      <c r="B97" s="42" t="s">
        <v>148</v>
      </c>
      <c r="C97" s="32"/>
      <c r="D97" s="32"/>
      <c r="E97" s="32"/>
      <c r="F97" s="32"/>
      <c r="G97" s="32"/>
      <c r="H97" s="32"/>
      <c r="I97" s="40">
        <f>I89+I95</f>
        <v>54704.101812777772</v>
      </c>
    </row>
    <row r="98" spans="1:9">
      <c r="A98" s="191" t="s">
        <v>342</v>
      </c>
      <c r="B98" s="192"/>
      <c r="C98" s="192"/>
      <c r="D98" s="192"/>
      <c r="E98" s="192"/>
      <c r="F98" s="192"/>
      <c r="G98" s="192"/>
      <c r="H98" s="192"/>
      <c r="I98" s="192"/>
    </row>
    <row r="99" spans="1:9" ht="15.75">
      <c r="A99" s="166" t="s">
        <v>343</v>
      </c>
      <c r="B99" s="166"/>
      <c r="C99" s="166"/>
      <c r="D99" s="166"/>
      <c r="E99" s="166"/>
      <c r="F99" s="166"/>
      <c r="G99" s="166"/>
      <c r="H99" s="166"/>
      <c r="I99" s="166"/>
    </row>
    <row r="100" spans="1:9" ht="15.75">
      <c r="A100" s="50"/>
      <c r="B100" s="167" t="s">
        <v>344</v>
      </c>
      <c r="C100" s="167"/>
      <c r="D100" s="167"/>
      <c r="E100" s="167"/>
      <c r="F100" s="167"/>
      <c r="G100" s="167"/>
      <c r="H100" s="53"/>
      <c r="I100" s="3"/>
    </row>
    <row r="101" spans="1:9">
      <c r="A101" s="148"/>
      <c r="B101" s="168" t="s">
        <v>6</v>
      </c>
      <c r="C101" s="168"/>
      <c r="D101" s="168"/>
      <c r="E101" s="168"/>
      <c r="F101" s="168"/>
      <c r="G101" s="168"/>
      <c r="H101" s="24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169" t="s">
        <v>7</v>
      </c>
      <c r="B103" s="169"/>
      <c r="C103" s="169"/>
      <c r="D103" s="169"/>
      <c r="E103" s="169"/>
      <c r="F103" s="169"/>
      <c r="G103" s="169"/>
      <c r="H103" s="169"/>
      <c r="I103" s="169"/>
    </row>
    <row r="104" spans="1:9" ht="15.75">
      <c r="A104" s="169" t="s">
        <v>8</v>
      </c>
      <c r="B104" s="169"/>
      <c r="C104" s="169"/>
      <c r="D104" s="169"/>
      <c r="E104" s="169"/>
      <c r="F104" s="169"/>
      <c r="G104" s="169"/>
      <c r="H104" s="169"/>
      <c r="I104" s="169"/>
    </row>
    <row r="105" spans="1:9" ht="15.75">
      <c r="A105" s="170" t="s">
        <v>61</v>
      </c>
      <c r="B105" s="170"/>
      <c r="C105" s="170"/>
      <c r="D105" s="170"/>
      <c r="E105" s="170"/>
      <c r="F105" s="170"/>
      <c r="G105" s="170"/>
      <c r="H105" s="170"/>
      <c r="I105" s="170"/>
    </row>
    <row r="106" spans="1:9" ht="15.75">
      <c r="A106" s="11"/>
    </row>
    <row r="107" spans="1:9" ht="15.75">
      <c r="A107" s="171" t="s">
        <v>9</v>
      </c>
      <c r="B107" s="171"/>
      <c r="C107" s="171"/>
      <c r="D107" s="171"/>
      <c r="E107" s="171"/>
      <c r="F107" s="171"/>
      <c r="G107" s="171"/>
      <c r="H107" s="171"/>
      <c r="I107" s="171"/>
    </row>
    <row r="108" spans="1:9" ht="15.75">
      <c r="A108" s="4"/>
    </row>
    <row r="109" spans="1:9" ht="15.75">
      <c r="B109" s="150" t="s">
        <v>10</v>
      </c>
      <c r="C109" s="172" t="s">
        <v>132</v>
      </c>
      <c r="D109" s="172"/>
      <c r="E109" s="172"/>
      <c r="F109" s="51"/>
      <c r="I109" s="151"/>
    </row>
    <row r="110" spans="1:9">
      <c r="A110" s="148"/>
      <c r="C110" s="168" t="s">
        <v>11</v>
      </c>
      <c r="D110" s="168"/>
      <c r="E110" s="168"/>
      <c r="F110" s="24"/>
      <c r="I110" s="149" t="s">
        <v>12</v>
      </c>
    </row>
    <row r="111" spans="1:9" ht="15.75">
      <c r="A111" s="25"/>
      <c r="C111" s="12"/>
      <c r="D111" s="12"/>
      <c r="G111" s="12"/>
      <c r="H111" s="12"/>
    </row>
    <row r="112" spans="1:9" ht="15.75">
      <c r="B112" s="150" t="s">
        <v>13</v>
      </c>
      <c r="C112" s="173"/>
      <c r="D112" s="173"/>
      <c r="E112" s="173"/>
      <c r="F112" s="52"/>
      <c r="I112" s="151"/>
    </row>
    <row r="113" spans="1:9">
      <c r="A113" s="148"/>
      <c r="C113" s="162" t="s">
        <v>11</v>
      </c>
      <c r="D113" s="162"/>
      <c r="E113" s="162"/>
      <c r="F113" s="148"/>
      <c r="I113" s="149" t="s">
        <v>12</v>
      </c>
    </row>
    <row r="114" spans="1:9" ht="15.75">
      <c r="A114" s="4" t="s">
        <v>14</v>
      </c>
    </row>
    <row r="115" spans="1:9">
      <c r="A115" s="195" t="s">
        <v>15</v>
      </c>
      <c r="B115" s="195"/>
      <c r="C115" s="195"/>
      <c r="D115" s="195"/>
      <c r="E115" s="195"/>
      <c r="F115" s="195"/>
      <c r="G115" s="195"/>
      <c r="H115" s="195"/>
      <c r="I115" s="195"/>
    </row>
    <row r="116" spans="1:9" ht="45" customHeight="1">
      <c r="A116" s="196" t="s">
        <v>16</v>
      </c>
      <c r="B116" s="196"/>
      <c r="C116" s="196"/>
      <c r="D116" s="196"/>
      <c r="E116" s="196"/>
      <c r="F116" s="196"/>
      <c r="G116" s="196"/>
      <c r="H116" s="196"/>
      <c r="I116" s="196"/>
    </row>
    <row r="117" spans="1:9" ht="34.5" customHeight="1">
      <c r="A117" s="196" t="s">
        <v>17</v>
      </c>
      <c r="B117" s="196"/>
      <c r="C117" s="196"/>
      <c r="D117" s="196"/>
      <c r="E117" s="196"/>
      <c r="F117" s="196"/>
      <c r="G117" s="196"/>
      <c r="H117" s="196"/>
      <c r="I117" s="196"/>
    </row>
    <row r="118" spans="1:9" ht="32.25" customHeight="1">
      <c r="A118" s="196" t="s">
        <v>21</v>
      </c>
      <c r="B118" s="196"/>
      <c r="C118" s="196"/>
      <c r="D118" s="196"/>
      <c r="E118" s="196"/>
      <c r="F118" s="196"/>
      <c r="G118" s="196"/>
      <c r="H118" s="196"/>
      <c r="I118" s="196"/>
    </row>
    <row r="119" spans="1:9" ht="15.75">
      <c r="A119" s="196" t="s">
        <v>20</v>
      </c>
      <c r="B119" s="196"/>
      <c r="C119" s="196"/>
      <c r="D119" s="196"/>
      <c r="E119" s="196"/>
      <c r="F119" s="196"/>
      <c r="G119" s="196"/>
      <c r="H119" s="196"/>
      <c r="I119" s="196"/>
    </row>
  </sheetData>
  <mergeCells count="29">
    <mergeCell ref="A105:I105"/>
    <mergeCell ref="A107:I107"/>
    <mergeCell ref="C109:E109"/>
    <mergeCell ref="C110:E110"/>
    <mergeCell ref="C112:E112"/>
    <mergeCell ref="C113:E113"/>
    <mergeCell ref="A115:I115"/>
    <mergeCell ref="A116:I116"/>
    <mergeCell ref="A117:I117"/>
    <mergeCell ref="A118:I118"/>
    <mergeCell ref="A119:I119"/>
    <mergeCell ref="A104:I104"/>
    <mergeCell ref="A15:I15"/>
    <mergeCell ref="A29:I29"/>
    <mergeCell ref="A46:I46"/>
    <mergeCell ref="A57:I57"/>
    <mergeCell ref="A86:I86"/>
    <mergeCell ref="A90:I90"/>
    <mergeCell ref="A98:I98"/>
    <mergeCell ref="A99:I99"/>
    <mergeCell ref="B100:G100"/>
    <mergeCell ref="B101:G101"/>
    <mergeCell ref="A103:I103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  <rowBreaks count="1" manualBreakCount="1">
    <brk id="10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I124"/>
  <sheetViews>
    <sheetView view="pageBreakPreview" topLeftCell="A86" zoomScale="60" workbookViewId="0">
      <selection activeCell="B126" sqref="B126:F131"/>
    </sheetView>
  </sheetViews>
  <sheetFormatPr defaultRowHeight="15"/>
  <cols>
    <col min="2" max="2" width="50.5703125" customWidth="1"/>
    <col min="3" max="3" width="18" customWidth="1"/>
    <col min="4" max="4" width="18.28515625" customWidth="1"/>
    <col min="5" max="5" width="0" hidden="1" customWidth="1"/>
    <col min="6" max="6" width="9.5703125" hidden="1" customWidth="1"/>
    <col min="7" max="7" width="17.28515625" customWidth="1"/>
    <col min="8" max="8" width="0" hidden="1" customWidth="1"/>
    <col min="9" max="9" width="13.140625" customWidth="1"/>
  </cols>
  <sheetData>
    <row r="1" spans="1:9" ht="15.75">
      <c r="A1" s="27" t="s">
        <v>298</v>
      </c>
      <c r="I1" s="26"/>
    </row>
    <row r="2" spans="1:9" ht="15.75">
      <c r="A2" s="28" t="s">
        <v>62</v>
      </c>
    </row>
    <row r="3" spans="1:9" ht="15.75">
      <c r="A3" s="179" t="s">
        <v>327</v>
      </c>
      <c r="B3" s="179"/>
      <c r="C3" s="179"/>
      <c r="D3" s="179"/>
      <c r="E3" s="179"/>
      <c r="F3" s="179"/>
      <c r="G3" s="179"/>
      <c r="H3" s="179"/>
      <c r="I3" s="179"/>
    </row>
    <row r="4" spans="1:9" ht="30.75" customHeight="1">
      <c r="A4" s="180" t="s">
        <v>128</v>
      </c>
      <c r="B4" s="180"/>
      <c r="C4" s="180"/>
      <c r="D4" s="180"/>
      <c r="E4" s="180"/>
      <c r="F4" s="180"/>
      <c r="G4" s="180"/>
      <c r="H4" s="180"/>
      <c r="I4" s="180"/>
    </row>
    <row r="5" spans="1:9" ht="15.75">
      <c r="A5" s="179" t="s">
        <v>328</v>
      </c>
      <c r="B5" s="181"/>
      <c r="C5" s="181"/>
      <c r="D5" s="181"/>
      <c r="E5" s="181"/>
      <c r="F5" s="181"/>
      <c r="G5" s="181"/>
      <c r="H5" s="181"/>
      <c r="I5" s="181"/>
    </row>
    <row r="6" spans="1:9" ht="15.75">
      <c r="A6" s="2"/>
      <c r="B6" s="152"/>
      <c r="C6" s="152"/>
      <c r="D6" s="152"/>
      <c r="E6" s="152"/>
      <c r="F6" s="152"/>
      <c r="G6" s="152"/>
      <c r="H6" s="152"/>
      <c r="I6" s="125">
        <v>43373</v>
      </c>
    </row>
    <row r="7" spans="1:9" ht="15.75">
      <c r="B7" s="155"/>
      <c r="C7" s="155"/>
      <c r="D7" s="155"/>
      <c r="E7" s="3"/>
      <c r="F7" s="3"/>
      <c r="G7" s="3"/>
      <c r="H7" s="3"/>
    </row>
    <row r="8" spans="1:9" ht="97.5" customHeight="1">
      <c r="A8" s="182" t="s">
        <v>300</v>
      </c>
      <c r="B8" s="182"/>
      <c r="C8" s="182"/>
      <c r="D8" s="182"/>
      <c r="E8" s="182"/>
      <c r="F8" s="182"/>
      <c r="G8" s="182"/>
      <c r="H8" s="182"/>
      <c r="I8" s="182"/>
    </row>
    <row r="9" spans="1:9" ht="15.75">
      <c r="A9" s="4"/>
    </row>
    <row r="10" spans="1:9" ht="69" customHeight="1">
      <c r="A10" s="183" t="s">
        <v>143</v>
      </c>
      <c r="B10" s="183"/>
      <c r="C10" s="183"/>
      <c r="D10" s="183"/>
      <c r="E10" s="183"/>
      <c r="F10" s="183"/>
      <c r="G10" s="183"/>
      <c r="H10" s="183"/>
      <c r="I10" s="183"/>
    </row>
    <row r="11" spans="1:9" ht="15.75">
      <c r="A11" s="4"/>
    </row>
    <row r="12" spans="1:9" ht="73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84" t="s">
        <v>59</v>
      </c>
      <c r="B14" s="184"/>
      <c r="C14" s="184"/>
      <c r="D14" s="184"/>
      <c r="E14" s="184"/>
      <c r="F14" s="184"/>
      <c r="G14" s="184"/>
      <c r="H14" s="184"/>
      <c r="I14" s="184"/>
    </row>
    <row r="15" spans="1:9">
      <c r="A15" s="185" t="s">
        <v>4</v>
      </c>
      <c r="B15" s="185"/>
      <c r="C15" s="185"/>
      <c r="D15" s="185"/>
      <c r="E15" s="185"/>
      <c r="F15" s="185"/>
      <c r="G15" s="185"/>
      <c r="H15" s="185"/>
      <c r="I15" s="185"/>
    </row>
    <row r="16" spans="1:9" ht="18.75" customHeight="1">
      <c r="A16" s="29">
        <v>1</v>
      </c>
      <c r="B16" s="75" t="s">
        <v>86</v>
      </c>
      <c r="C16" s="76" t="s">
        <v>87</v>
      </c>
      <c r="D16" s="75" t="s">
        <v>233</v>
      </c>
      <c r="E16" s="77">
        <v>49.72</v>
      </c>
      <c r="F16" s="78">
        <f>SUM(E16*156/100)</f>
        <v>77.563199999999995</v>
      </c>
      <c r="G16" s="78">
        <v>230</v>
      </c>
      <c r="H16" s="79">
        <f t="shared" ref="H16:H25" si="0">SUM(F16*G16/1000)</f>
        <v>17.839535999999999</v>
      </c>
      <c r="I16" s="13">
        <f>F16/12*G16</f>
        <v>1486.6279999999999</v>
      </c>
    </row>
    <row r="17" spans="1:9" ht="16.5" customHeight="1">
      <c r="A17" s="29">
        <v>2</v>
      </c>
      <c r="B17" s="75" t="s">
        <v>288</v>
      </c>
      <c r="C17" s="76" t="s">
        <v>87</v>
      </c>
      <c r="D17" s="75" t="s">
        <v>301</v>
      </c>
      <c r="E17" s="77">
        <v>198.88</v>
      </c>
      <c r="F17" s="78">
        <f>SUM(E17*104/100)</f>
        <v>206.83520000000001</v>
      </c>
      <c r="G17" s="78">
        <v>230</v>
      </c>
      <c r="H17" s="79">
        <f t="shared" si="0"/>
        <v>47.572096000000002</v>
      </c>
      <c r="I17" s="13">
        <f>206.8352/12*G17</f>
        <v>3964.3413333333328</v>
      </c>
    </row>
    <row r="18" spans="1:9" ht="13.5" customHeight="1">
      <c r="A18" s="29">
        <v>3</v>
      </c>
      <c r="B18" s="75" t="s">
        <v>115</v>
      </c>
      <c r="C18" s="76" t="s">
        <v>87</v>
      </c>
      <c r="D18" s="75" t="s">
        <v>209</v>
      </c>
      <c r="E18" s="77">
        <v>248.6</v>
      </c>
      <c r="F18" s="78">
        <f>SUM(E18*24/100)</f>
        <v>59.663999999999994</v>
      </c>
      <c r="G18" s="78">
        <v>661.67</v>
      </c>
      <c r="H18" s="79">
        <f t="shared" si="0"/>
        <v>39.477878879999999</v>
      </c>
      <c r="I18" s="13">
        <f>F18/12*G18</f>
        <v>3289.8232399999993</v>
      </c>
    </row>
    <row r="19" spans="1:9" hidden="1">
      <c r="A19" s="29">
        <v>4</v>
      </c>
      <c r="B19" s="75" t="s">
        <v>94</v>
      </c>
      <c r="C19" s="76" t="s">
        <v>95</v>
      </c>
      <c r="D19" s="75" t="s">
        <v>96</v>
      </c>
      <c r="E19" s="77">
        <v>18.48</v>
      </c>
      <c r="F19" s="78">
        <f>SUM(E19/10)</f>
        <v>1.8480000000000001</v>
      </c>
      <c r="G19" s="78">
        <v>223.17</v>
      </c>
      <c r="H19" s="79">
        <f t="shared" si="0"/>
        <v>0.41241815999999998</v>
      </c>
      <c r="I19" s="13">
        <f>1.848*G19</f>
        <v>412.41816</v>
      </c>
    </row>
    <row r="20" spans="1:9" ht="13.5" customHeight="1">
      <c r="A20" s="29">
        <v>4</v>
      </c>
      <c r="B20" s="75" t="s">
        <v>97</v>
      </c>
      <c r="C20" s="76" t="s">
        <v>87</v>
      </c>
      <c r="D20" s="75" t="s">
        <v>230</v>
      </c>
      <c r="E20" s="77">
        <v>10.5</v>
      </c>
      <c r="F20" s="78">
        <f>SUM(E20*12/100)</f>
        <v>1.26</v>
      </c>
      <c r="G20" s="78">
        <v>285.76</v>
      </c>
      <c r="H20" s="79">
        <f t="shared" si="0"/>
        <v>0.36005759999999998</v>
      </c>
      <c r="I20" s="13">
        <f>F20/12*G20</f>
        <v>30.004799999999999</v>
      </c>
    </row>
    <row r="21" spans="1:9" ht="18.75" customHeight="1">
      <c r="A21" s="29">
        <v>5</v>
      </c>
      <c r="B21" s="75" t="s">
        <v>98</v>
      </c>
      <c r="C21" s="76" t="s">
        <v>87</v>
      </c>
      <c r="D21" s="75" t="s">
        <v>42</v>
      </c>
      <c r="E21" s="77">
        <v>3</v>
      </c>
      <c r="F21" s="78">
        <f>SUM(E21*2/100)</f>
        <v>0.06</v>
      </c>
      <c r="G21" s="78">
        <v>283.44</v>
      </c>
      <c r="H21" s="79">
        <f t="shared" si="0"/>
        <v>1.7006399999999998E-2</v>
      </c>
      <c r="I21" s="13">
        <f>0.03*G21</f>
        <v>8.5031999999999996</v>
      </c>
    </row>
    <row r="22" spans="1:9" ht="18.75" hidden="1" customHeight="1">
      <c r="A22" s="29">
        <v>7</v>
      </c>
      <c r="B22" s="75" t="s">
        <v>99</v>
      </c>
      <c r="C22" s="76" t="s">
        <v>53</v>
      </c>
      <c r="D22" s="75" t="s">
        <v>96</v>
      </c>
      <c r="E22" s="77">
        <v>267.75</v>
      </c>
      <c r="F22" s="78">
        <f>SUM(E22/100)</f>
        <v>2.6775000000000002</v>
      </c>
      <c r="G22" s="78">
        <v>353.14</v>
      </c>
      <c r="H22" s="79">
        <f t="shared" si="0"/>
        <v>0.94553235000000002</v>
      </c>
      <c r="I22" s="13">
        <f>2.6775*G22</f>
        <v>945.53235000000006</v>
      </c>
    </row>
    <row r="23" spans="1:9" ht="19.5" hidden="1" customHeight="1">
      <c r="A23" s="29">
        <v>8</v>
      </c>
      <c r="B23" s="75" t="s">
        <v>100</v>
      </c>
      <c r="C23" s="76" t="s">
        <v>53</v>
      </c>
      <c r="D23" s="75" t="s">
        <v>96</v>
      </c>
      <c r="E23" s="80">
        <v>36.229999999999997</v>
      </c>
      <c r="F23" s="78">
        <f>SUM(E23/100)</f>
        <v>0.36229999999999996</v>
      </c>
      <c r="G23" s="78">
        <v>58.08</v>
      </c>
      <c r="H23" s="79">
        <f t="shared" si="0"/>
        <v>2.1042383999999997E-2</v>
      </c>
      <c r="I23" s="13">
        <f>0.3623*G23</f>
        <v>21.042383999999998</v>
      </c>
    </row>
    <row r="24" spans="1:9" ht="20.25" hidden="1" customHeight="1">
      <c r="A24" s="29">
        <v>9</v>
      </c>
      <c r="B24" s="75" t="s">
        <v>101</v>
      </c>
      <c r="C24" s="76" t="s">
        <v>53</v>
      </c>
      <c r="D24" s="75" t="s">
        <v>54</v>
      </c>
      <c r="E24" s="77">
        <v>15</v>
      </c>
      <c r="F24" s="78">
        <f>SUM(E24/100)</f>
        <v>0.15</v>
      </c>
      <c r="G24" s="78">
        <v>511.12</v>
      </c>
      <c r="H24" s="79">
        <f t="shared" si="0"/>
        <v>7.6667999999999986E-2</v>
      </c>
      <c r="I24" s="13">
        <f>0.15*G24</f>
        <v>76.667999999999992</v>
      </c>
    </row>
    <row r="25" spans="1:9" ht="21" hidden="1" customHeight="1">
      <c r="A25" s="29">
        <v>10</v>
      </c>
      <c r="B25" s="75" t="s">
        <v>102</v>
      </c>
      <c r="C25" s="76" t="s">
        <v>53</v>
      </c>
      <c r="D25" s="75" t="s">
        <v>54</v>
      </c>
      <c r="E25" s="77">
        <v>6.38</v>
      </c>
      <c r="F25" s="78">
        <f>SUM(E25/100)</f>
        <v>6.3799999999999996E-2</v>
      </c>
      <c r="G25" s="78">
        <v>683.05</v>
      </c>
      <c r="H25" s="79">
        <f t="shared" si="0"/>
        <v>4.3578589999999993E-2</v>
      </c>
      <c r="I25" s="13">
        <f>0.0638*G25</f>
        <v>43.578589999999991</v>
      </c>
    </row>
    <row r="26" spans="1:9" ht="21" hidden="1" customHeight="1">
      <c r="A26" s="29">
        <v>11</v>
      </c>
      <c r="B26" s="75" t="s">
        <v>122</v>
      </c>
      <c r="C26" s="76" t="s">
        <v>53</v>
      </c>
      <c r="D26" s="75" t="s">
        <v>54</v>
      </c>
      <c r="E26" s="77">
        <v>14.25</v>
      </c>
      <c r="F26" s="78">
        <v>0.14000000000000001</v>
      </c>
      <c r="G26" s="78">
        <v>283.44</v>
      </c>
      <c r="H26" s="79">
        <f>G26*F26/1000</f>
        <v>3.9681600000000004E-2</v>
      </c>
      <c r="I26" s="13">
        <f>0.14*G26</f>
        <v>39.681600000000003</v>
      </c>
    </row>
    <row r="27" spans="1:9" ht="19.5" customHeight="1">
      <c r="A27" s="29">
        <v>6</v>
      </c>
      <c r="B27" s="75" t="s">
        <v>64</v>
      </c>
      <c r="C27" s="76" t="s">
        <v>33</v>
      </c>
      <c r="D27" s="75" t="s">
        <v>63</v>
      </c>
      <c r="E27" s="82">
        <v>0.1</v>
      </c>
      <c r="F27" s="78">
        <f>SUM(E27*155)</f>
        <v>15.5</v>
      </c>
      <c r="G27" s="78">
        <v>264.85000000000002</v>
      </c>
      <c r="H27" s="79">
        <f>SUM(F27*G27/1000)</f>
        <v>4.105175</v>
      </c>
      <c r="I27" s="13">
        <f>F27/12*G27</f>
        <v>342.09791666666672</v>
      </c>
    </row>
    <row r="28" spans="1:9">
      <c r="A28" s="29">
        <v>7</v>
      </c>
      <c r="B28" s="83" t="s">
        <v>23</v>
      </c>
      <c r="C28" s="76" t="s">
        <v>24</v>
      </c>
      <c r="D28" s="83" t="s">
        <v>136</v>
      </c>
      <c r="E28" s="77">
        <v>2626.5</v>
      </c>
      <c r="F28" s="78">
        <f>SUM(E28*12)</f>
        <v>31518</v>
      </c>
      <c r="G28" s="78">
        <v>3.36</v>
      </c>
      <c r="H28" s="79">
        <f>SUM(F28*G28/1000)</f>
        <v>105.90048</v>
      </c>
      <c r="I28" s="13">
        <f t="shared" ref="I28" si="1">F28/12*G28</f>
        <v>8825.0399999999991</v>
      </c>
    </row>
    <row r="29" spans="1:9">
      <c r="A29" s="185" t="s">
        <v>84</v>
      </c>
      <c r="B29" s="185"/>
      <c r="C29" s="185"/>
      <c r="D29" s="185"/>
      <c r="E29" s="185"/>
      <c r="F29" s="185"/>
      <c r="G29" s="185"/>
      <c r="H29" s="185"/>
      <c r="I29" s="185"/>
    </row>
    <row r="30" spans="1:9" ht="18.75" customHeight="1">
      <c r="A30" s="29"/>
      <c r="B30" s="106" t="s">
        <v>28</v>
      </c>
      <c r="C30" s="76"/>
      <c r="D30" s="75"/>
      <c r="E30" s="77"/>
      <c r="F30" s="78"/>
      <c r="G30" s="78"/>
      <c r="H30" s="79"/>
      <c r="I30" s="13"/>
    </row>
    <row r="31" spans="1:9" ht="15" customHeight="1">
      <c r="A31" s="29">
        <v>8</v>
      </c>
      <c r="B31" s="75" t="s">
        <v>104</v>
      </c>
      <c r="C31" s="76" t="s">
        <v>89</v>
      </c>
      <c r="D31" s="75" t="s">
        <v>149</v>
      </c>
      <c r="E31" s="78">
        <v>665</v>
      </c>
      <c r="F31" s="78">
        <f>SUM(E31*52/1000)</f>
        <v>34.58</v>
      </c>
      <c r="G31" s="78">
        <v>204.44</v>
      </c>
      <c r="H31" s="79">
        <f t="shared" ref="H31:H36" si="2">SUM(F31*G31/1000)</f>
        <v>7.0695351999999989</v>
      </c>
      <c r="I31" s="13">
        <f t="shared" ref="I31:I32" si="3">F31/6*G31</f>
        <v>1178.2558666666666</v>
      </c>
    </row>
    <row r="32" spans="1:9" ht="45.75" customHeight="1">
      <c r="A32" s="29">
        <v>9</v>
      </c>
      <c r="B32" s="75" t="s">
        <v>117</v>
      </c>
      <c r="C32" s="76" t="s">
        <v>89</v>
      </c>
      <c r="D32" s="75" t="s">
        <v>150</v>
      </c>
      <c r="E32" s="78">
        <v>81.5</v>
      </c>
      <c r="F32" s="78">
        <f>SUM(E32*78/1000)</f>
        <v>6.3570000000000002</v>
      </c>
      <c r="G32" s="78">
        <v>339.21</v>
      </c>
      <c r="H32" s="79">
        <f t="shared" si="2"/>
        <v>2.1563579700000002</v>
      </c>
      <c r="I32" s="13">
        <f t="shared" si="3"/>
        <v>359.39299500000004</v>
      </c>
    </row>
    <row r="33" spans="1:9" ht="16.5" customHeight="1">
      <c r="A33" s="29">
        <v>10</v>
      </c>
      <c r="B33" s="75" t="s">
        <v>116</v>
      </c>
      <c r="C33" s="76" t="s">
        <v>40</v>
      </c>
      <c r="D33" s="75" t="s">
        <v>63</v>
      </c>
      <c r="E33" s="78">
        <v>3</v>
      </c>
      <c r="F33" s="78">
        <f>E33*155/100</f>
        <v>4.6500000000000004</v>
      </c>
      <c r="G33" s="78">
        <v>1707.63</v>
      </c>
      <c r="H33" s="79">
        <f>G33*F33/1000</f>
        <v>7.9404795000000012</v>
      </c>
      <c r="I33" s="13">
        <f>F33/6*G33</f>
        <v>1323.4132500000001</v>
      </c>
    </row>
    <row r="34" spans="1:9" ht="15.75" customHeight="1">
      <c r="A34" s="29">
        <v>11</v>
      </c>
      <c r="B34" s="75" t="s">
        <v>103</v>
      </c>
      <c r="C34" s="76" t="s">
        <v>31</v>
      </c>
      <c r="D34" s="75" t="s">
        <v>63</v>
      </c>
      <c r="E34" s="81">
        <f>1/3</f>
        <v>0.33333333333333331</v>
      </c>
      <c r="F34" s="78">
        <f>155/3</f>
        <v>51.666666666666664</v>
      </c>
      <c r="G34" s="78">
        <v>74.349999999999994</v>
      </c>
      <c r="H34" s="79">
        <f>SUM(G34*155/3/1000)</f>
        <v>3.8414166666666665</v>
      </c>
      <c r="I34" s="13">
        <f>F34/6*G34</f>
        <v>640.23611111111109</v>
      </c>
    </row>
    <row r="35" spans="1:9" hidden="1">
      <c r="A35" s="29"/>
      <c r="B35" s="75" t="s">
        <v>65</v>
      </c>
      <c r="C35" s="76" t="s">
        <v>33</v>
      </c>
      <c r="D35" s="75" t="s">
        <v>67</v>
      </c>
      <c r="E35" s="77"/>
      <c r="F35" s="78">
        <v>1</v>
      </c>
      <c r="G35" s="78">
        <v>250.92</v>
      </c>
      <c r="H35" s="79">
        <f t="shared" si="2"/>
        <v>0.25091999999999998</v>
      </c>
      <c r="I35" s="13">
        <v>0</v>
      </c>
    </row>
    <row r="36" spans="1:9" hidden="1">
      <c r="A36" s="29"/>
      <c r="B36" s="75" t="s">
        <v>66</v>
      </c>
      <c r="C36" s="76" t="s">
        <v>32</v>
      </c>
      <c r="D36" s="75" t="s">
        <v>67</v>
      </c>
      <c r="E36" s="77"/>
      <c r="F36" s="78">
        <v>1</v>
      </c>
      <c r="G36" s="78">
        <v>1490.31</v>
      </c>
      <c r="H36" s="79">
        <f t="shared" si="2"/>
        <v>1.49031</v>
      </c>
      <c r="I36" s="13">
        <v>0</v>
      </c>
    </row>
    <row r="37" spans="1:9" hidden="1">
      <c r="A37" s="29"/>
      <c r="B37" s="106" t="s">
        <v>5</v>
      </c>
      <c r="C37" s="76"/>
      <c r="D37" s="75"/>
      <c r="E37" s="77"/>
      <c r="F37" s="78"/>
      <c r="G37" s="78"/>
      <c r="H37" s="79" t="s">
        <v>136</v>
      </c>
      <c r="I37" s="13"/>
    </row>
    <row r="38" spans="1:9" hidden="1">
      <c r="A38" s="29">
        <v>7</v>
      </c>
      <c r="B38" s="84" t="s">
        <v>26</v>
      </c>
      <c r="C38" s="76" t="s">
        <v>32</v>
      </c>
      <c r="D38" s="75"/>
      <c r="E38" s="77"/>
      <c r="F38" s="78">
        <v>5</v>
      </c>
      <c r="G38" s="78">
        <v>2003</v>
      </c>
      <c r="H38" s="79">
        <f t="shared" ref="H38:H45" si="4">SUM(F38*G38/1000)</f>
        <v>10.015000000000001</v>
      </c>
      <c r="I38" s="13">
        <f t="shared" ref="I38:I42" si="5">F38/6*G38</f>
        <v>1669.1666666666667</v>
      </c>
    </row>
    <row r="39" spans="1:9" ht="30" hidden="1">
      <c r="A39" s="29">
        <v>8</v>
      </c>
      <c r="B39" s="84" t="s">
        <v>105</v>
      </c>
      <c r="C39" s="85" t="s">
        <v>29</v>
      </c>
      <c r="D39" s="75" t="s">
        <v>123</v>
      </c>
      <c r="E39" s="77">
        <v>81.5</v>
      </c>
      <c r="F39" s="86">
        <f>E39*30/1000</f>
        <v>2.4449999999999998</v>
      </c>
      <c r="G39" s="78">
        <v>2757.78</v>
      </c>
      <c r="H39" s="79">
        <f t="shared" si="4"/>
        <v>6.7427720999999998</v>
      </c>
      <c r="I39" s="13">
        <f t="shared" si="5"/>
        <v>1123.7953500000001</v>
      </c>
    </row>
    <row r="40" spans="1:9" ht="30" hidden="1">
      <c r="A40" s="29">
        <v>9</v>
      </c>
      <c r="B40" s="75" t="s">
        <v>68</v>
      </c>
      <c r="C40" s="76" t="s">
        <v>29</v>
      </c>
      <c r="D40" s="75" t="s">
        <v>88</v>
      </c>
      <c r="E40" s="78">
        <v>81.5</v>
      </c>
      <c r="F40" s="86">
        <f>SUM(E40*155/1000)</f>
        <v>12.6325</v>
      </c>
      <c r="G40" s="78">
        <v>460.02</v>
      </c>
      <c r="H40" s="79">
        <f t="shared" si="4"/>
        <v>5.8112026500000002</v>
      </c>
      <c r="I40" s="13">
        <f t="shared" si="5"/>
        <v>968.53377499999999</v>
      </c>
    </row>
    <row r="41" spans="1:9" hidden="1">
      <c r="A41" s="29"/>
      <c r="B41" s="75" t="s">
        <v>118</v>
      </c>
      <c r="C41" s="76" t="s">
        <v>119</v>
      </c>
      <c r="D41" s="75" t="s">
        <v>67</v>
      </c>
      <c r="E41" s="77"/>
      <c r="F41" s="86">
        <v>26</v>
      </c>
      <c r="G41" s="78">
        <v>314</v>
      </c>
      <c r="H41" s="79">
        <f t="shared" si="4"/>
        <v>8.1639999999999997</v>
      </c>
      <c r="I41" s="13">
        <v>0</v>
      </c>
    </row>
    <row r="42" spans="1:9" ht="60" hidden="1">
      <c r="A42" s="29">
        <v>10</v>
      </c>
      <c r="B42" s="75" t="s">
        <v>82</v>
      </c>
      <c r="C42" s="76" t="s">
        <v>89</v>
      </c>
      <c r="D42" s="75" t="s">
        <v>124</v>
      </c>
      <c r="E42" s="78">
        <v>81.5</v>
      </c>
      <c r="F42" s="86">
        <f>SUM(E42*35/1000)</f>
        <v>2.8525</v>
      </c>
      <c r="G42" s="78">
        <v>7611.16</v>
      </c>
      <c r="H42" s="79">
        <f t="shared" si="4"/>
        <v>21.710833900000001</v>
      </c>
      <c r="I42" s="13">
        <f t="shared" si="5"/>
        <v>3618.4723166666663</v>
      </c>
    </row>
    <row r="43" spans="1:9" hidden="1">
      <c r="A43" s="29">
        <v>11</v>
      </c>
      <c r="B43" s="75" t="s">
        <v>90</v>
      </c>
      <c r="C43" s="76" t="s">
        <v>89</v>
      </c>
      <c r="D43" s="75" t="s">
        <v>69</v>
      </c>
      <c r="E43" s="78">
        <v>81.5</v>
      </c>
      <c r="F43" s="86">
        <f>SUM(E43*45/1000)</f>
        <v>3.6675</v>
      </c>
      <c r="G43" s="78">
        <v>562.25</v>
      </c>
      <c r="H43" s="79">
        <f t="shared" si="4"/>
        <v>2.0620518750000003</v>
      </c>
      <c r="I43" s="13">
        <f>(F43/7.5*1.5)*G43</f>
        <v>412.41037500000004</v>
      </c>
    </row>
    <row r="44" spans="1:9" hidden="1">
      <c r="A44" s="29">
        <v>12</v>
      </c>
      <c r="B44" s="84" t="s">
        <v>70</v>
      </c>
      <c r="C44" s="85" t="s">
        <v>33</v>
      </c>
      <c r="D44" s="84"/>
      <c r="E44" s="82"/>
      <c r="F44" s="86">
        <v>0.9</v>
      </c>
      <c r="G44" s="86">
        <v>974.83</v>
      </c>
      <c r="H44" s="79">
        <f t="shared" si="4"/>
        <v>0.8773470000000001</v>
      </c>
      <c r="I44" s="13">
        <f>(F44/7.5*1.5)*G44</f>
        <v>175.46940000000004</v>
      </c>
    </row>
    <row r="45" spans="1:9" ht="30" hidden="1">
      <c r="A45" s="29">
        <v>13</v>
      </c>
      <c r="B45" s="47" t="s">
        <v>156</v>
      </c>
      <c r="C45" s="48" t="s">
        <v>29</v>
      </c>
      <c r="D45" s="84" t="s">
        <v>157</v>
      </c>
      <c r="E45" s="82">
        <v>2.4</v>
      </c>
      <c r="F45" s="86">
        <f>SUM(E45*12/1000)</f>
        <v>2.8799999999999996E-2</v>
      </c>
      <c r="G45" s="86">
        <v>260.2</v>
      </c>
      <c r="H45" s="79">
        <f t="shared" si="4"/>
        <v>7.4937599999999986E-3</v>
      </c>
      <c r="I45" s="13">
        <f>F45/6*G45</f>
        <v>1.2489599999999998</v>
      </c>
    </row>
    <row r="46" spans="1:9">
      <c r="A46" s="186" t="s">
        <v>129</v>
      </c>
      <c r="B46" s="187"/>
      <c r="C46" s="187"/>
      <c r="D46" s="187"/>
      <c r="E46" s="187"/>
      <c r="F46" s="187"/>
      <c r="G46" s="187"/>
      <c r="H46" s="187"/>
      <c r="I46" s="188"/>
    </row>
    <row r="47" spans="1:9" ht="17.25" customHeight="1">
      <c r="A47" s="29">
        <v>12</v>
      </c>
      <c r="B47" s="75" t="s">
        <v>125</v>
      </c>
      <c r="C47" s="76" t="s">
        <v>89</v>
      </c>
      <c r="D47" s="75" t="s">
        <v>206</v>
      </c>
      <c r="E47" s="77">
        <v>1080</v>
      </c>
      <c r="F47" s="78">
        <f>SUM(E47*2/1000)</f>
        <v>2.16</v>
      </c>
      <c r="G47" s="33">
        <v>1172.4100000000001</v>
      </c>
      <c r="H47" s="79">
        <f t="shared" ref="H47:H55" si="6">SUM(F47*G47/1000)</f>
        <v>2.5324056000000006</v>
      </c>
      <c r="I47" s="13">
        <f t="shared" ref="I47:I50" si="7">F47/2*G47</f>
        <v>1266.2028000000003</v>
      </c>
    </row>
    <row r="48" spans="1:9" ht="18.75" customHeight="1">
      <c r="A48" s="29">
        <v>13</v>
      </c>
      <c r="B48" s="75" t="s">
        <v>35</v>
      </c>
      <c r="C48" s="76" t="s">
        <v>89</v>
      </c>
      <c r="D48" s="75" t="s">
        <v>206</v>
      </c>
      <c r="E48" s="77">
        <v>39</v>
      </c>
      <c r="F48" s="78">
        <f>SUM(E48*2/1000)</f>
        <v>7.8E-2</v>
      </c>
      <c r="G48" s="33">
        <v>4419.05</v>
      </c>
      <c r="H48" s="79">
        <f t="shared" si="6"/>
        <v>0.34468589999999999</v>
      </c>
      <c r="I48" s="13">
        <f t="shared" si="7"/>
        <v>172.34295</v>
      </c>
    </row>
    <row r="49" spans="1:9" ht="19.5" customHeight="1">
      <c r="A49" s="29">
        <v>14</v>
      </c>
      <c r="B49" s="75" t="s">
        <v>36</v>
      </c>
      <c r="C49" s="76" t="s">
        <v>89</v>
      </c>
      <c r="D49" s="75" t="s">
        <v>231</v>
      </c>
      <c r="E49" s="77">
        <v>1037</v>
      </c>
      <c r="F49" s="78">
        <f>SUM(E49*2/1000)</f>
        <v>2.0739999999999998</v>
      </c>
      <c r="G49" s="33">
        <v>1803.69</v>
      </c>
      <c r="H49" s="79">
        <f t="shared" si="6"/>
        <v>3.7408530600000001</v>
      </c>
      <c r="I49" s="13">
        <f t="shared" si="7"/>
        <v>1870.42653</v>
      </c>
    </row>
    <row r="50" spans="1:9" ht="15.75" customHeight="1">
      <c r="A50" s="29">
        <v>15</v>
      </c>
      <c r="B50" s="75" t="s">
        <v>37</v>
      </c>
      <c r="C50" s="76" t="s">
        <v>89</v>
      </c>
      <c r="D50" s="75" t="s">
        <v>206</v>
      </c>
      <c r="E50" s="77">
        <v>2274</v>
      </c>
      <c r="F50" s="78">
        <f>SUM(E50*2/1000)</f>
        <v>4.548</v>
      </c>
      <c r="G50" s="33">
        <v>1243.43</v>
      </c>
      <c r="H50" s="79">
        <f t="shared" si="6"/>
        <v>5.6551196399999997</v>
      </c>
      <c r="I50" s="13">
        <f t="shared" si="7"/>
        <v>2827.5598199999999</v>
      </c>
    </row>
    <row r="51" spans="1:9" ht="18" customHeight="1">
      <c r="A51" s="29">
        <v>16</v>
      </c>
      <c r="B51" s="75" t="s">
        <v>34</v>
      </c>
      <c r="C51" s="76" t="s">
        <v>53</v>
      </c>
      <c r="D51" s="75" t="s">
        <v>206</v>
      </c>
      <c r="E51" s="77">
        <v>83.04</v>
      </c>
      <c r="F51" s="78">
        <v>1.66</v>
      </c>
      <c r="G51" s="33">
        <v>1352.76</v>
      </c>
      <c r="H51" s="79">
        <f>SUM(F51*G51/1000)</f>
        <v>2.2455816</v>
      </c>
      <c r="I51" s="13">
        <f>F51/2*G51</f>
        <v>1122.7908</v>
      </c>
    </row>
    <row r="52" spans="1:9" ht="15" customHeight="1">
      <c r="A52" s="29">
        <v>17</v>
      </c>
      <c r="B52" s="75" t="s">
        <v>329</v>
      </c>
      <c r="C52" s="76" t="s">
        <v>89</v>
      </c>
      <c r="D52" s="75" t="s">
        <v>206</v>
      </c>
      <c r="E52" s="77">
        <v>2626.5</v>
      </c>
      <c r="F52" s="78">
        <f>SUM(E52*5/1000)</f>
        <v>13.1325</v>
      </c>
      <c r="G52" s="33">
        <v>1803.69</v>
      </c>
      <c r="H52" s="79">
        <f t="shared" ref="H52:H54" si="8">SUM(F52*G52/1000)</f>
        <v>23.686958925000003</v>
      </c>
      <c r="I52" s="13">
        <f>F52/5*G52</f>
        <v>4737.3917849999998</v>
      </c>
    </row>
    <row r="53" spans="1:9" ht="44.25" hidden="1" customHeight="1">
      <c r="A53" s="29">
        <v>18</v>
      </c>
      <c r="B53" s="75" t="s">
        <v>91</v>
      </c>
      <c r="C53" s="76" t="s">
        <v>89</v>
      </c>
      <c r="D53" s="75" t="s">
        <v>206</v>
      </c>
      <c r="E53" s="77">
        <v>2626.5</v>
      </c>
      <c r="F53" s="78">
        <f>SUM(E53*2/1000)</f>
        <v>5.2530000000000001</v>
      </c>
      <c r="G53" s="33">
        <v>1591.6</v>
      </c>
      <c r="H53" s="79">
        <f t="shared" si="8"/>
        <v>8.3606747999999982</v>
      </c>
      <c r="I53" s="13">
        <f>F53/2*G53</f>
        <v>4180.3373999999994</v>
      </c>
    </row>
    <row r="54" spans="1:9" ht="30" hidden="1" customHeight="1">
      <c r="A54" s="29">
        <v>19</v>
      </c>
      <c r="B54" s="75" t="s">
        <v>92</v>
      </c>
      <c r="C54" s="76" t="s">
        <v>38</v>
      </c>
      <c r="D54" s="75" t="s">
        <v>206</v>
      </c>
      <c r="E54" s="77">
        <v>15</v>
      </c>
      <c r="F54" s="78">
        <f>SUM(E54*2/100)</f>
        <v>0.3</v>
      </c>
      <c r="G54" s="33">
        <v>4058.32</v>
      </c>
      <c r="H54" s="79">
        <f t="shared" si="8"/>
        <v>1.2174960000000001</v>
      </c>
      <c r="I54" s="13">
        <f t="shared" ref="I54:I55" si="9">F54/2*G54</f>
        <v>608.74800000000005</v>
      </c>
    </row>
    <row r="55" spans="1:9" ht="16.5" hidden="1" customHeight="1">
      <c r="A55" s="29">
        <v>20</v>
      </c>
      <c r="B55" s="75" t="s">
        <v>39</v>
      </c>
      <c r="C55" s="76" t="s">
        <v>40</v>
      </c>
      <c r="D55" s="75" t="s">
        <v>206</v>
      </c>
      <c r="E55" s="77">
        <v>1</v>
      </c>
      <c r="F55" s="78">
        <v>0.02</v>
      </c>
      <c r="G55" s="33">
        <v>7412.92</v>
      </c>
      <c r="H55" s="79">
        <f t="shared" si="6"/>
        <v>0.14825839999999998</v>
      </c>
      <c r="I55" s="13">
        <f t="shared" si="9"/>
        <v>74.129199999999997</v>
      </c>
    </row>
    <row r="56" spans="1:9" hidden="1">
      <c r="A56" s="29">
        <v>11</v>
      </c>
      <c r="B56" s="75" t="s">
        <v>41</v>
      </c>
      <c r="C56" s="76" t="s">
        <v>106</v>
      </c>
      <c r="D56" s="75" t="s">
        <v>71</v>
      </c>
      <c r="E56" s="77">
        <v>90</v>
      </c>
      <c r="F56" s="78">
        <f>SUM(E56)*3</f>
        <v>270</v>
      </c>
      <c r="G56" s="74">
        <v>86.15</v>
      </c>
      <c r="H56" s="79">
        <f>SUM(F56*G56/1000)</f>
        <v>23.2605</v>
      </c>
      <c r="I56" s="13">
        <f>F56/3*G56</f>
        <v>7753.5000000000009</v>
      </c>
    </row>
    <row r="57" spans="1:9">
      <c r="A57" s="186" t="s">
        <v>130</v>
      </c>
      <c r="B57" s="187"/>
      <c r="C57" s="187"/>
      <c r="D57" s="187"/>
      <c r="E57" s="187"/>
      <c r="F57" s="187"/>
      <c r="G57" s="187"/>
      <c r="H57" s="187"/>
      <c r="I57" s="188"/>
    </row>
    <row r="58" spans="1:9" hidden="1">
      <c r="A58" s="29"/>
      <c r="B58" s="106" t="s">
        <v>43</v>
      </c>
      <c r="C58" s="76"/>
      <c r="D58" s="75"/>
      <c r="E58" s="77"/>
      <c r="F58" s="78"/>
      <c r="G58" s="78"/>
      <c r="H58" s="79"/>
      <c r="I58" s="13"/>
    </row>
    <row r="59" spans="1:9" ht="30" hidden="1">
      <c r="A59" s="29">
        <v>15</v>
      </c>
      <c r="B59" s="75" t="s">
        <v>195</v>
      </c>
      <c r="C59" s="76" t="s">
        <v>87</v>
      </c>
      <c r="D59" s="75" t="s">
        <v>107</v>
      </c>
      <c r="E59" s="77">
        <v>111</v>
      </c>
      <c r="F59" s="78">
        <f>SUM(E59*6/100)</f>
        <v>6.66</v>
      </c>
      <c r="G59" s="33">
        <v>2029.3</v>
      </c>
      <c r="H59" s="79">
        <f>SUM(F59*G59/1000)</f>
        <v>13.515138</v>
      </c>
      <c r="I59" s="13">
        <f>G59*0.76</f>
        <v>1542.268</v>
      </c>
    </row>
    <row r="60" spans="1:9" hidden="1">
      <c r="A60" s="29">
        <v>16</v>
      </c>
      <c r="B60" s="75" t="s">
        <v>194</v>
      </c>
      <c r="C60" s="76" t="s">
        <v>159</v>
      </c>
      <c r="D60" s="75" t="s">
        <v>67</v>
      </c>
      <c r="E60" s="77"/>
      <c r="F60" s="78">
        <v>3</v>
      </c>
      <c r="G60" s="33">
        <v>1582.05</v>
      </c>
      <c r="H60" s="79">
        <f>SUM(F60*G60/1000)</f>
        <v>4.7461499999999992</v>
      </c>
      <c r="I60" s="13">
        <f>G60*2</f>
        <v>3164.1</v>
      </c>
    </row>
    <row r="61" spans="1:9" ht="14.25" customHeight="1">
      <c r="A61" s="29"/>
      <c r="B61" s="107" t="s">
        <v>44</v>
      </c>
      <c r="C61" s="87"/>
      <c r="D61" s="88"/>
      <c r="E61" s="89"/>
      <c r="F61" s="90"/>
      <c r="G61" s="33"/>
      <c r="H61" s="91"/>
      <c r="I61" s="13"/>
    </row>
    <row r="62" spans="1:9" hidden="1">
      <c r="A62" s="29"/>
      <c r="B62" s="88" t="s">
        <v>45</v>
      </c>
      <c r="C62" s="87" t="s">
        <v>53</v>
      </c>
      <c r="D62" s="88" t="s">
        <v>54</v>
      </c>
      <c r="E62" s="89">
        <v>130</v>
      </c>
      <c r="F62" s="90">
        <f>E62/100</f>
        <v>1.3</v>
      </c>
      <c r="G62" s="33">
        <v>1040.8399999999999</v>
      </c>
      <c r="H62" s="91">
        <f>F62*G62/1000</f>
        <v>1.353092</v>
      </c>
      <c r="I62" s="13">
        <v>0</v>
      </c>
    </row>
    <row r="63" spans="1:9">
      <c r="A63" s="29">
        <v>18</v>
      </c>
      <c r="B63" s="88" t="s">
        <v>120</v>
      </c>
      <c r="C63" s="87" t="s">
        <v>25</v>
      </c>
      <c r="D63" s="88" t="s">
        <v>205</v>
      </c>
      <c r="E63" s="89">
        <v>130</v>
      </c>
      <c r="F63" s="92">
        <f>E63*12</f>
        <v>1560</v>
      </c>
      <c r="G63" s="93">
        <v>1.2</v>
      </c>
      <c r="H63" s="90">
        <f>F63*G63/1000</f>
        <v>1.8720000000000001</v>
      </c>
      <c r="I63" s="13">
        <f t="shared" ref="I63" si="10">F63/12*G63</f>
        <v>156</v>
      </c>
    </row>
    <row r="64" spans="1:9" ht="15.75" customHeight="1">
      <c r="A64" s="29"/>
      <c r="B64" s="108" t="s">
        <v>46</v>
      </c>
      <c r="C64" s="87"/>
      <c r="D64" s="88"/>
      <c r="E64" s="89"/>
      <c r="F64" s="92"/>
      <c r="G64" s="92"/>
      <c r="H64" s="90" t="s">
        <v>136</v>
      </c>
      <c r="I64" s="13"/>
    </row>
    <row r="65" spans="1:9" hidden="1">
      <c r="A65" s="29">
        <v>19</v>
      </c>
      <c r="B65" s="94" t="s">
        <v>47</v>
      </c>
      <c r="C65" s="95" t="s">
        <v>106</v>
      </c>
      <c r="D65" s="75" t="s">
        <v>67</v>
      </c>
      <c r="E65" s="16">
        <v>9</v>
      </c>
      <c r="F65" s="74">
        <f>SUM(E65)</f>
        <v>9</v>
      </c>
      <c r="G65" s="33">
        <v>291.68</v>
      </c>
      <c r="H65" s="68">
        <f t="shared" ref="H65:H83" si="11">SUM(F65*G65/1000)</f>
        <v>2.6251199999999999</v>
      </c>
      <c r="I65" s="13">
        <f>G65*2</f>
        <v>583.36</v>
      </c>
    </row>
    <row r="66" spans="1:9" hidden="1">
      <c r="A66" s="29"/>
      <c r="B66" s="94" t="s">
        <v>48</v>
      </c>
      <c r="C66" s="95" t="s">
        <v>106</v>
      </c>
      <c r="D66" s="75" t="s">
        <v>67</v>
      </c>
      <c r="E66" s="16">
        <v>4</v>
      </c>
      <c r="F66" s="74">
        <f>SUM(E66)</f>
        <v>4</v>
      </c>
      <c r="G66" s="33">
        <v>100.01</v>
      </c>
      <c r="H66" s="68">
        <f t="shared" si="11"/>
        <v>0.40004000000000001</v>
      </c>
      <c r="I66" s="13">
        <v>0</v>
      </c>
    </row>
    <row r="67" spans="1:9" hidden="1">
      <c r="A67" s="29">
        <v>29</v>
      </c>
      <c r="B67" s="94" t="s">
        <v>49</v>
      </c>
      <c r="C67" s="96" t="s">
        <v>108</v>
      </c>
      <c r="D67" s="35" t="s">
        <v>205</v>
      </c>
      <c r="E67" s="77">
        <v>13287</v>
      </c>
      <c r="F67" s="74">
        <f>SUM(E67/100)</f>
        <v>132.87</v>
      </c>
      <c r="G67" s="33">
        <v>278.24</v>
      </c>
      <c r="H67" s="68">
        <f t="shared" si="11"/>
        <v>36.969748799999998</v>
      </c>
      <c r="I67" s="13">
        <f>132.87*G67</f>
        <v>36969.748800000001</v>
      </c>
    </row>
    <row r="68" spans="1:9" hidden="1">
      <c r="A68" s="29">
        <v>30</v>
      </c>
      <c r="B68" s="94" t="s">
        <v>50</v>
      </c>
      <c r="C68" s="95" t="s">
        <v>109</v>
      </c>
      <c r="D68" s="35" t="s">
        <v>205</v>
      </c>
      <c r="E68" s="77">
        <v>13287</v>
      </c>
      <c r="F68" s="33">
        <f>SUM(E68/1000)</f>
        <v>13.287000000000001</v>
      </c>
      <c r="G68" s="33">
        <v>216.68</v>
      </c>
      <c r="H68" s="68">
        <f t="shared" si="11"/>
        <v>2.8790271600000001</v>
      </c>
      <c r="I68" s="13">
        <f>13.287*G68</f>
        <v>2879.0271600000001</v>
      </c>
    </row>
    <row r="69" spans="1:9" hidden="1">
      <c r="A69" s="29">
        <v>31</v>
      </c>
      <c r="B69" s="94" t="s">
        <v>51</v>
      </c>
      <c r="C69" s="95" t="s">
        <v>76</v>
      </c>
      <c r="D69" s="35" t="s">
        <v>205</v>
      </c>
      <c r="E69" s="77">
        <v>2110</v>
      </c>
      <c r="F69" s="33">
        <f>SUM(E69/100)</f>
        <v>21.1</v>
      </c>
      <c r="G69" s="33">
        <v>2720.94</v>
      </c>
      <c r="H69" s="68">
        <f>SUM(F69*G69/1000)</f>
        <v>57.411834000000006</v>
      </c>
      <c r="I69" s="13">
        <f>21.1*G69</f>
        <v>57411.834000000003</v>
      </c>
    </row>
    <row r="70" spans="1:9" hidden="1">
      <c r="A70" s="29">
        <v>32</v>
      </c>
      <c r="B70" s="97" t="s">
        <v>110</v>
      </c>
      <c r="C70" s="95" t="s">
        <v>33</v>
      </c>
      <c r="D70" s="35"/>
      <c r="E70" s="77">
        <v>8.6</v>
      </c>
      <c r="F70" s="33">
        <f>SUM(E70)</f>
        <v>8.6</v>
      </c>
      <c r="G70" s="33">
        <v>42.61</v>
      </c>
      <c r="H70" s="68">
        <f t="shared" si="11"/>
        <v>0.36644599999999999</v>
      </c>
      <c r="I70" s="13">
        <f>8.6*G70</f>
        <v>366.44599999999997</v>
      </c>
    </row>
    <row r="71" spans="1:9" hidden="1">
      <c r="A71" s="29">
        <v>33</v>
      </c>
      <c r="B71" s="97" t="s">
        <v>111</v>
      </c>
      <c r="C71" s="95" t="s">
        <v>33</v>
      </c>
      <c r="D71" s="35"/>
      <c r="E71" s="77">
        <v>8.6</v>
      </c>
      <c r="F71" s="33">
        <f>SUM(E71)</f>
        <v>8.6</v>
      </c>
      <c r="G71" s="33">
        <v>46.04</v>
      </c>
      <c r="H71" s="68">
        <f t="shared" si="11"/>
        <v>0.39594399999999996</v>
      </c>
      <c r="I71" s="13">
        <f>8.6*G71</f>
        <v>395.94399999999996</v>
      </c>
    </row>
    <row r="72" spans="1:9" ht="17.25" customHeight="1">
      <c r="A72" s="29">
        <v>19</v>
      </c>
      <c r="B72" s="35" t="s">
        <v>57</v>
      </c>
      <c r="C72" s="95" t="s">
        <v>58</v>
      </c>
      <c r="D72" s="35" t="s">
        <v>54</v>
      </c>
      <c r="E72" s="16">
        <v>3</v>
      </c>
      <c r="F72" s="33">
        <f>SUM(E72)</f>
        <v>3</v>
      </c>
      <c r="G72" s="33">
        <v>65.42</v>
      </c>
      <c r="H72" s="68">
        <f t="shared" si="11"/>
        <v>0.19625999999999999</v>
      </c>
      <c r="I72" s="13">
        <f>3*G72</f>
        <v>196.26</v>
      </c>
    </row>
    <row r="73" spans="1:9" ht="15" customHeight="1">
      <c r="A73" s="29"/>
      <c r="B73" s="109" t="s">
        <v>72</v>
      </c>
      <c r="C73" s="95"/>
      <c r="D73" s="35"/>
      <c r="E73" s="16"/>
      <c r="F73" s="33"/>
      <c r="G73" s="33"/>
      <c r="H73" s="68" t="s">
        <v>136</v>
      </c>
      <c r="I73" s="13"/>
    </row>
    <row r="74" spans="1:9" ht="30" hidden="1">
      <c r="A74" s="29"/>
      <c r="B74" s="35" t="s">
        <v>160</v>
      </c>
      <c r="C74" s="95" t="s">
        <v>106</v>
      </c>
      <c r="D74" s="75" t="s">
        <v>67</v>
      </c>
      <c r="E74" s="16">
        <v>1</v>
      </c>
      <c r="F74" s="33">
        <v>1</v>
      </c>
      <c r="G74" s="33">
        <v>1543.4</v>
      </c>
      <c r="H74" s="68">
        <f t="shared" ref="H74:H76" si="12">SUM(F74*G74/1000)</f>
        <v>1.5434000000000001</v>
      </c>
      <c r="I74" s="13">
        <v>0</v>
      </c>
    </row>
    <row r="75" spans="1:9" hidden="1">
      <c r="A75" s="29">
        <v>17</v>
      </c>
      <c r="B75" s="35" t="s">
        <v>73</v>
      </c>
      <c r="C75" s="95" t="s">
        <v>74</v>
      </c>
      <c r="D75" s="75" t="s">
        <v>67</v>
      </c>
      <c r="E75" s="16">
        <v>3</v>
      </c>
      <c r="F75" s="33">
        <f>E75/10</f>
        <v>0.3</v>
      </c>
      <c r="G75" s="33">
        <v>657.87</v>
      </c>
      <c r="H75" s="68">
        <f t="shared" si="12"/>
        <v>0.19736099999999998</v>
      </c>
      <c r="I75" s="13">
        <f>G75*0.9</f>
        <v>592.08299999999997</v>
      </c>
    </row>
    <row r="76" spans="1:9" hidden="1">
      <c r="A76" s="29"/>
      <c r="B76" s="35" t="s">
        <v>161</v>
      </c>
      <c r="C76" s="95" t="s">
        <v>106</v>
      </c>
      <c r="D76" s="75" t="s">
        <v>67</v>
      </c>
      <c r="E76" s="16">
        <v>2</v>
      </c>
      <c r="F76" s="78">
        <f>SUM(E76)</f>
        <v>2</v>
      </c>
      <c r="G76" s="33">
        <v>1118.72</v>
      </c>
      <c r="H76" s="68">
        <f t="shared" si="12"/>
        <v>2.2374399999999999</v>
      </c>
      <c r="I76" s="13">
        <v>0</v>
      </c>
    </row>
    <row r="77" spans="1:9" hidden="1">
      <c r="A77" s="29"/>
      <c r="B77" s="47" t="s">
        <v>162</v>
      </c>
      <c r="C77" s="48" t="s">
        <v>106</v>
      </c>
      <c r="D77" s="75" t="s">
        <v>67</v>
      </c>
      <c r="E77" s="16">
        <v>1</v>
      </c>
      <c r="F77" s="93">
        <v>1</v>
      </c>
      <c r="G77" s="33">
        <v>1605.83</v>
      </c>
      <c r="H77" s="68">
        <f>SUM(F77*G77/1000)</f>
        <v>1.6058299999999999</v>
      </c>
      <c r="I77" s="13">
        <v>0</v>
      </c>
    </row>
    <row r="78" spans="1:9" ht="31.5" customHeight="1">
      <c r="A78" s="29">
        <v>20</v>
      </c>
      <c r="B78" s="47" t="s">
        <v>163</v>
      </c>
      <c r="C78" s="48" t="s">
        <v>106</v>
      </c>
      <c r="D78" s="35" t="s">
        <v>205</v>
      </c>
      <c r="E78" s="98">
        <v>2</v>
      </c>
      <c r="F78" s="92">
        <f>E78*12</f>
        <v>24</v>
      </c>
      <c r="G78" s="99">
        <v>53.42</v>
      </c>
      <c r="H78" s="68">
        <f t="shared" ref="H78:H79" si="13">SUM(F78*G78/1000)</f>
        <v>1.2820799999999999</v>
      </c>
      <c r="I78" s="13">
        <f t="shared" ref="I78:I81" si="14">F78/12*G78</f>
        <v>106.84</v>
      </c>
    </row>
    <row r="79" spans="1:9" ht="17.25" customHeight="1">
      <c r="A79" s="29">
        <v>21</v>
      </c>
      <c r="B79" s="57" t="s">
        <v>164</v>
      </c>
      <c r="C79" s="95"/>
      <c r="D79" s="35" t="s">
        <v>205</v>
      </c>
      <c r="E79" s="16">
        <v>1</v>
      </c>
      <c r="F79" s="33">
        <v>12</v>
      </c>
      <c r="G79" s="33">
        <v>1194</v>
      </c>
      <c r="H79" s="68">
        <f t="shared" si="13"/>
        <v>14.327999999999999</v>
      </c>
      <c r="I79" s="13">
        <f t="shared" si="14"/>
        <v>1194</v>
      </c>
    </row>
    <row r="80" spans="1:9" ht="15" customHeight="1">
      <c r="A80" s="29"/>
      <c r="B80" s="110" t="s">
        <v>165</v>
      </c>
      <c r="C80" s="48"/>
      <c r="D80" s="35"/>
      <c r="E80" s="16"/>
      <c r="F80" s="33"/>
      <c r="G80" s="33"/>
      <c r="H80" s="68"/>
      <c r="I80" s="13"/>
    </row>
    <row r="81" spans="1:9" ht="16.5" customHeight="1">
      <c r="A81" s="29">
        <v>22</v>
      </c>
      <c r="B81" s="35" t="s">
        <v>166</v>
      </c>
      <c r="C81" s="100" t="s">
        <v>167</v>
      </c>
      <c r="D81" s="75" t="s">
        <v>206</v>
      </c>
      <c r="E81" s="16">
        <v>2626.5</v>
      </c>
      <c r="F81" s="33">
        <f>SUM(E81*12)</f>
        <v>31518</v>
      </c>
      <c r="G81" s="33">
        <v>2.2799999999999998</v>
      </c>
      <c r="H81" s="68">
        <f t="shared" ref="H81" si="15">SUM(F81*G81/1000)</f>
        <v>71.861039999999988</v>
      </c>
      <c r="I81" s="13">
        <f t="shared" si="14"/>
        <v>5988.4199999999992</v>
      </c>
    </row>
    <row r="82" spans="1:9" hidden="1">
      <c r="A82" s="29"/>
      <c r="B82" s="111" t="s">
        <v>75</v>
      </c>
      <c r="C82" s="95"/>
      <c r="D82" s="35"/>
      <c r="E82" s="16"/>
      <c r="F82" s="33"/>
      <c r="G82" s="33" t="s">
        <v>136</v>
      </c>
      <c r="H82" s="68" t="s">
        <v>136</v>
      </c>
      <c r="I82" s="13"/>
    </row>
    <row r="83" spans="1:9" hidden="1">
      <c r="A83" s="29"/>
      <c r="B83" s="101" t="s">
        <v>126</v>
      </c>
      <c r="C83" s="96" t="s">
        <v>76</v>
      </c>
      <c r="D83" s="94"/>
      <c r="E83" s="102"/>
      <c r="F83" s="74">
        <v>0.5</v>
      </c>
      <c r="G83" s="74">
        <v>3619.09</v>
      </c>
      <c r="H83" s="68">
        <f t="shared" si="11"/>
        <v>1.8095450000000002</v>
      </c>
      <c r="I83" s="13"/>
    </row>
    <row r="84" spans="1:9" ht="28.5" hidden="1">
      <c r="A84" s="29"/>
      <c r="B84" s="62" t="s">
        <v>93</v>
      </c>
      <c r="C84" s="13"/>
      <c r="D84" s="13"/>
      <c r="E84" s="13"/>
      <c r="F84" s="13"/>
      <c r="G84" s="13"/>
      <c r="H84" s="13"/>
      <c r="I84" s="13"/>
    </row>
    <row r="85" spans="1:9" hidden="1">
      <c r="A85" s="29"/>
      <c r="B85" s="75" t="s">
        <v>112</v>
      </c>
      <c r="C85" s="103"/>
      <c r="D85" s="104"/>
      <c r="E85" s="105"/>
      <c r="F85" s="34">
        <v>1</v>
      </c>
      <c r="G85" s="34">
        <v>8275.7000000000007</v>
      </c>
      <c r="H85" s="68">
        <f>G85*F85/1000</f>
        <v>8.2757000000000005</v>
      </c>
      <c r="I85" s="13"/>
    </row>
    <row r="86" spans="1:9">
      <c r="A86" s="174" t="s">
        <v>131</v>
      </c>
      <c r="B86" s="175"/>
      <c r="C86" s="175"/>
      <c r="D86" s="175"/>
      <c r="E86" s="175"/>
      <c r="F86" s="175"/>
      <c r="G86" s="175"/>
      <c r="H86" s="175"/>
      <c r="I86" s="176"/>
    </row>
    <row r="87" spans="1:9" ht="17.25" customHeight="1">
      <c r="A87" s="29">
        <v>23</v>
      </c>
      <c r="B87" s="75" t="s">
        <v>113</v>
      </c>
      <c r="C87" s="95" t="s">
        <v>55</v>
      </c>
      <c r="D87" s="61" t="s">
        <v>142</v>
      </c>
      <c r="E87" s="33">
        <v>2626.5</v>
      </c>
      <c r="F87" s="33">
        <f>SUM(E87*12)</f>
        <v>31518</v>
      </c>
      <c r="G87" s="33">
        <v>3.1</v>
      </c>
      <c r="H87" s="68">
        <f>SUM(F87*G87/1000)</f>
        <v>97.705799999999996</v>
      </c>
      <c r="I87" s="13">
        <f t="shared" ref="I87:I88" si="16">F87/12*G87</f>
        <v>8142.1500000000005</v>
      </c>
    </row>
    <row r="88" spans="1:9" ht="31.5" customHeight="1">
      <c r="A88" s="29">
        <v>24</v>
      </c>
      <c r="B88" s="35" t="s">
        <v>77</v>
      </c>
      <c r="C88" s="95"/>
      <c r="D88" s="61" t="s">
        <v>142</v>
      </c>
      <c r="E88" s="77">
        <f>E87</f>
        <v>2626.5</v>
      </c>
      <c r="F88" s="33">
        <f>E88*12</f>
        <v>31518</v>
      </c>
      <c r="G88" s="33">
        <v>3.5</v>
      </c>
      <c r="H88" s="68">
        <f>F88*G88/1000</f>
        <v>110.313</v>
      </c>
      <c r="I88" s="13">
        <f t="shared" si="16"/>
        <v>9192.75</v>
      </c>
    </row>
    <row r="89" spans="1:9">
      <c r="A89" s="29"/>
      <c r="B89" s="36" t="s">
        <v>80</v>
      </c>
      <c r="C89" s="59"/>
      <c r="D89" s="58"/>
      <c r="E89" s="55"/>
      <c r="F89" s="55"/>
      <c r="G89" s="55"/>
      <c r="H89" s="60">
        <f>H79</f>
        <v>14.327999999999999</v>
      </c>
      <c r="I89" s="55">
        <f>I88+I87+I81+I79+I78+I72+I63+I52+I51+I50+I49+I48+I47+I34+I33+I32+I31+I28+I27+I21+I20+I18+I17+I16</f>
        <v>58420.871397777759</v>
      </c>
    </row>
    <row r="90" spans="1:9">
      <c r="A90" s="163" t="s">
        <v>60</v>
      </c>
      <c r="B90" s="164"/>
      <c r="C90" s="164"/>
      <c r="D90" s="164"/>
      <c r="E90" s="164"/>
      <c r="F90" s="164"/>
      <c r="G90" s="164"/>
      <c r="H90" s="164"/>
      <c r="I90" s="165"/>
    </row>
    <row r="91" spans="1:9" ht="29.25" customHeight="1">
      <c r="A91" s="29" t="s">
        <v>227</v>
      </c>
      <c r="B91" s="46" t="s">
        <v>121</v>
      </c>
      <c r="C91" s="49" t="s">
        <v>106</v>
      </c>
      <c r="D91" s="14"/>
      <c r="E91" s="17"/>
      <c r="F91" s="13">
        <v>135</v>
      </c>
      <c r="G91" s="13">
        <v>55.55</v>
      </c>
      <c r="H91" s="56">
        <f t="shared" ref="H91:H92" si="17">G91*F91/1000</f>
        <v>7.49925</v>
      </c>
      <c r="I91" s="13">
        <f>G91*45</f>
        <v>2499.75</v>
      </c>
    </row>
    <row r="92" spans="1:9">
      <c r="A92" s="29">
        <v>26</v>
      </c>
      <c r="B92" s="47" t="s">
        <v>330</v>
      </c>
      <c r="C92" s="48" t="s">
        <v>106</v>
      </c>
      <c r="D92" s="35"/>
      <c r="E92" s="16"/>
      <c r="F92" s="33">
        <v>1</v>
      </c>
      <c r="G92" s="74">
        <v>1670.07</v>
      </c>
      <c r="H92" s="68">
        <f t="shared" si="17"/>
        <v>1.6700699999999999</v>
      </c>
      <c r="I92" s="13">
        <f>G92*1</f>
        <v>1670.07</v>
      </c>
    </row>
    <row r="93" spans="1:9">
      <c r="A93" s="29">
        <v>27</v>
      </c>
      <c r="B93" s="112" t="s">
        <v>331</v>
      </c>
      <c r="C93" s="113" t="s">
        <v>106</v>
      </c>
      <c r="D93" s="35"/>
      <c r="E93" s="16"/>
      <c r="F93" s="33"/>
      <c r="G93" s="33">
        <v>169.36</v>
      </c>
      <c r="H93" s="68"/>
      <c r="I93" s="13">
        <f>G93*2</f>
        <v>338.72</v>
      </c>
    </row>
    <row r="94" spans="1:9">
      <c r="A94" s="29">
        <v>28</v>
      </c>
      <c r="B94" s="112" t="s">
        <v>332</v>
      </c>
      <c r="C94" s="48" t="s">
        <v>106</v>
      </c>
      <c r="D94" s="35"/>
      <c r="E94" s="16"/>
      <c r="F94" s="33"/>
      <c r="G94" s="33">
        <v>197.26</v>
      </c>
      <c r="H94" s="68"/>
      <c r="I94" s="13">
        <f>G94*1</f>
        <v>197.26</v>
      </c>
    </row>
    <row r="95" spans="1:9" ht="30">
      <c r="A95" s="29">
        <v>29</v>
      </c>
      <c r="B95" s="54" t="s">
        <v>334</v>
      </c>
      <c r="C95" s="29" t="s">
        <v>81</v>
      </c>
      <c r="D95" s="35"/>
      <c r="E95" s="16"/>
      <c r="F95" s="33"/>
      <c r="G95" s="13">
        <v>1272</v>
      </c>
      <c r="H95" s="68"/>
      <c r="I95" s="13">
        <f>G95*2</f>
        <v>2544</v>
      </c>
    </row>
    <row r="96" spans="1:9">
      <c r="A96" s="29">
        <v>30</v>
      </c>
      <c r="B96" s="54" t="s">
        <v>333</v>
      </c>
      <c r="C96" s="29" t="s">
        <v>106</v>
      </c>
      <c r="D96" s="35"/>
      <c r="E96" s="16"/>
      <c r="F96" s="33"/>
      <c r="G96" s="13">
        <v>169.27</v>
      </c>
      <c r="H96" s="68"/>
      <c r="I96" s="13">
        <f>G96*4</f>
        <v>677.08</v>
      </c>
    </row>
    <row r="97" spans="1:9">
      <c r="A97" s="29">
        <v>31</v>
      </c>
      <c r="B97" s="54" t="s">
        <v>335</v>
      </c>
      <c r="C97" s="29" t="s">
        <v>106</v>
      </c>
      <c r="D97" s="35"/>
      <c r="E97" s="16"/>
      <c r="F97" s="33"/>
      <c r="G97" s="13">
        <v>151.31</v>
      </c>
      <c r="H97" s="68"/>
      <c r="I97" s="13">
        <f>G97*2</f>
        <v>302.62</v>
      </c>
    </row>
    <row r="98" spans="1:9">
      <c r="A98" s="29">
        <v>32</v>
      </c>
      <c r="B98" s="54" t="s">
        <v>336</v>
      </c>
      <c r="C98" s="29" t="s">
        <v>106</v>
      </c>
      <c r="D98" s="35"/>
      <c r="E98" s="16"/>
      <c r="F98" s="33"/>
      <c r="G98" s="13">
        <v>8.36</v>
      </c>
      <c r="H98" s="68"/>
      <c r="I98" s="13">
        <f>G98*4</f>
        <v>33.44</v>
      </c>
    </row>
    <row r="99" spans="1:9" ht="30">
      <c r="A99" s="29">
        <v>33</v>
      </c>
      <c r="B99" s="47" t="s">
        <v>337</v>
      </c>
      <c r="C99" s="48" t="s">
        <v>338</v>
      </c>
      <c r="D99" s="35"/>
      <c r="E99" s="16"/>
      <c r="F99" s="33"/>
      <c r="G99" s="13">
        <v>24829.08</v>
      </c>
      <c r="H99" s="68"/>
      <c r="I99" s="13">
        <f>G99*0.02</f>
        <v>496.58160000000004</v>
      </c>
    </row>
    <row r="100" spans="1:9" ht="16.5" customHeight="1">
      <c r="A100" s="29"/>
      <c r="B100" s="41" t="s">
        <v>52</v>
      </c>
      <c r="C100" s="37"/>
      <c r="D100" s="44"/>
      <c r="E100" s="37">
        <v>1</v>
      </c>
      <c r="F100" s="37"/>
      <c r="G100" s="37"/>
      <c r="H100" s="37"/>
      <c r="I100" s="31">
        <f>SUM(I92:I99)</f>
        <v>6259.7716</v>
      </c>
    </row>
    <row r="101" spans="1:9">
      <c r="A101" s="29"/>
      <c r="B101" s="43" t="s">
        <v>78</v>
      </c>
      <c r="C101" s="15"/>
      <c r="D101" s="15"/>
      <c r="E101" s="38"/>
      <c r="F101" s="38"/>
      <c r="G101" s="39"/>
      <c r="H101" s="39"/>
      <c r="I101" s="16">
        <v>0</v>
      </c>
    </row>
    <row r="102" spans="1:9">
      <c r="A102" s="45"/>
      <c r="B102" s="42" t="s">
        <v>148</v>
      </c>
      <c r="C102" s="32"/>
      <c r="D102" s="32"/>
      <c r="E102" s="32"/>
      <c r="F102" s="32"/>
      <c r="G102" s="32"/>
      <c r="H102" s="32"/>
      <c r="I102" s="40">
        <f>I89+I100</f>
        <v>64680.642997777759</v>
      </c>
    </row>
    <row r="103" spans="1:9">
      <c r="A103" s="191" t="s">
        <v>228</v>
      </c>
      <c r="B103" s="192"/>
      <c r="C103" s="192"/>
      <c r="D103" s="192"/>
      <c r="E103" s="192"/>
      <c r="F103" s="192"/>
      <c r="G103" s="192"/>
      <c r="H103" s="192"/>
      <c r="I103" s="192"/>
    </row>
    <row r="104" spans="1:9" ht="15.75">
      <c r="A104" s="166" t="s">
        <v>339</v>
      </c>
      <c r="B104" s="166"/>
      <c r="C104" s="166"/>
      <c r="D104" s="166"/>
      <c r="E104" s="166"/>
      <c r="F104" s="166"/>
      <c r="G104" s="166"/>
      <c r="H104" s="166"/>
      <c r="I104" s="166"/>
    </row>
    <row r="105" spans="1:9" ht="15.75">
      <c r="A105" s="50"/>
      <c r="B105" s="167" t="s">
        <v>340</v>
      </c>
      <c r="C105" s="167"/>
      <c r="D105" s="167"/>
      <c r="E105" s="167"/>
      <c r="F105" s="167"/>
      <c r="G105" s="167"/>
      <c r="H105" s="53"/>
      <c r="I105" s="3"/>
    </row>
    <row r="106" spans="1:9">
      <c r="A106" s="153"/>
      <c r="B106" s="168" t="s">
        <v>6</v>
      </c>
      <c r="C106" s="168"/>
      <c r="D106" s="168"/>
      <c r="E106" s="168"/>
      <c r="F106" s="168"/>
      <c r="G106" s="168"/>
      <c r="H106" s="24"/>
      <c r="I106" s="5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>
      <c r="A108" s="169" t="s">
        <v>7</v>
      </c>
      <c r="B108" s="169"/>
      <c r="C108" s="169"/>
      <c r="D108" s="169"/>
      <c r="E108" s="169"/>
      <c r="F108" s="169"/>
      <c r="G108" s="169"/>
      <c r="H108" s="169"/>
      <c r="I108" s="169"/>
    </row>
    <row r="109" spans="1:9" ht="15.75">
      <c r="A109" s="169" t="s">
        <v>8</v>
      </c>
      <c r="B109" s="169"/>
      <c r="C109" s="169"/>
      <c r="D109" s="169"/>
      <c r="E109" s="169"/>
      <c r="F109" s="169"/>
      <c r="G109" s="169"/>
      <c r="H109" s="169"/>
      <c r="I109" s="169"/>
    </row>
    <row r="110" spans="1:9" ht="15.75">
      <c r="A110" s="170" t="s">
        <v>61</v>
      </c>
      <c r="B110" s="170"/>
      <c r="C110" s="170"/>
      <c r="D110" s="170"/>
      <c r="E110" s="170"/>
      <c r="F110" s="170"/>
      <c r="G110" s="170"/>
      <c r="H110" s="170"/>
      <c r="I110" s="170"/>
    </row>
    <row r="111" spans="1:9" ht="15.75">
      <c r="A111" s="11"/>
    </row>
    <row r="112" spans="1:9" ht="15.75">
      <c r="A112" s="171" t="s">
        <v>9</v>
      </c>
      <c r="B112" s="171"/>
      <c r="C112" s="171"/>
      <c r="D112" s="171"/>
      <c r="E112" s="171"/>
      <c r="F112" s="171"/>
      <c r="G112" s="171"/>
      <c r="H112" s="171"/>
      <c r="I112" s="171"/>
    </row>
    <row r="113" spans="1:9" ht="15.75">
      <c r="A113" s="4"/>
    </row>
    <row r="114" spans="1:9" ht="15.75">
      <c r="B114" s="155" t="s">
        <v>10</v>
      </c>
      <c r="C114" s="172" t="s">
        <v>132</v>
      </c>
      <c r="D114" s="172"/>
      <c r="E114" s="172"/>
      <c r="F114" s="51"/>
      <c r="I114" s="156"/>
    </row>
    <row r="115" spans="1:9">
      <c r="A115" s="153"/>
      <c r="C115" s="168" t="s">
        <v>11</v>
      </c>
      <c r="D115" s="168"/>
      <c r="E115" s="168"/>
      <c r="F115" s="24"/>
      <c r="I115" s="154" t="s">
        <v>12</v>
      </c>
    </row>
    <row r="116" spans="1:9" ht="15.75">
      <c r="A116" s="25"/>
      <c r="C116" s="12"/>
      <c r="D116" s="12"/>
      <c r="G116" s="12"/>
      <c r="H116" s="12"/>
    </row>
    <row r="117" spans="1:9" ht="15.75">
      <c r="B117" s="155" t="s">
        <v>13</v>
      </c>
      <c r="C117" s="173"/>
      <c r="D117" s="173"/>
      <c r="E117" s="173"/>
      <c r="F117" s="52"/>
      <c r="I117" s="156"/>
    </row>
    <row r="118" spans="1:9">
      <c r="A118" s="153"/>
      <c r="C118" s="162" t="s">
        <v>11</v>
      </c>
      <c r="D118" s="162"/>
      <c r="E118" s="162"/>
      <c r="F118" s="153"/>
      <c r="I118" s="154" t="s">
        <v>12</v>
      </c>
    </row>
    <row r="119" spans="1:9" ht="15.75">
      <c r="A119" s="4" t="s">
        <v>14</v>
      </c>
    </row>
    <row r="120" spans="1:9">
      <c r="A120" s="195" t="s">
        <v>15</v>
      </c>
      <c r="B120" s="195"/>
      <c r="C120" s="195"/>
      <c r="D120" s="195"/>
      <c r="E120" s="195"/>
      <c r="F120" s="195"/>
      <c r="G120" s="195"/>
      <c r="H120" s="195"/>
      <c r="I120" s="195"/>
    </row>
    <row r="121" spans="1:9" ht="48" customHeight="1">
      <c r="A121" s="196" t="s">
        <v>16</v>
      </c>
      <c r="B121" s="196"/>
      <c r="C121" s="196"/>
      <c r="D121" s="196"/>
      <c r="E121" s="196"/>
      <c r="F121" s="196"/>
      <c r="G121" s="196"/>
      <c r="H121" s="196"/>
      <c r="I121" s="196"/>
    </row>
    <row r="122" spans="1:9" ht="37.5" customHeight="1">
      <c r="A122" s="196" t="s">
        <v>17</v>
      </c>
      <c r="B122" s="196"/>
      <c r="C122" s="196"/>
      <c r="D122" s="196"/>
      <c r="E122" s="196"/>
      <c r="F122" s="196"/>
      <c r="G122" s="196"/>
      <c r="H122" s="196"/>
      <c r="I122" s="196"/>
    </row>
    <row r="123" spans="1:9" ht="34.5" customHeight="1">
      <c r="A123" s="196" t="s">
        <v>21</v>
      </c>
      <c r="B123" s="196"/>
      <c r="C123" s="196"/>
      <c r="D123" s="196"/>
      <c r="E123" s="196"/>
      <c r="F123" s="196"/>
      <c r="G123" s="196"/>
      <c r="H123" s="196"/>
      <c r="I123" s="196"/>
    </row>
    <row r="124" spans="1:9" ht="15.75">
      <c r="A124" s="196" t="s">
        <v>20</v>
      </c>
      <c r="B124" s="196"/>
      <c r="C124" s="196"/>
      <c r="D124" s="196"/>
      <c r="E124" s="196"/>
      <c r="F124" s="196"/>
      <c r="G124" s="196"/>
      <c r="H124" s="196"/>
      <c r="I124" s="196"/>
    </row>
  </sheetData>
  <mergeCells count="29">
    <mergeCell ref="A110:I110"/>
    <mergeCell ref="A112:I112"/>
    <mergeCell ref="C114:E114"/>
    <mergeCell ref="C115:E115"/>
    <mergeCell ref="C117:E117"/>
    <mergeCell ref="C118:E118"/>
    <mergeCell ref="A120:I120"/>
    <mergeCell ref="A121:I121"/>
    <mergeCell ref="A122:I122"/>
    <mergeCell ref="A123:I123"/>
    <mergeCell ref="A124:I124"/>
    <mergeCell ref="A109:I109"/>
    <mergeCell ref="A15:I15"/>
    <mergeCell ref="A29:I29"/>
    <mergeCell ref="A46:I46"/>
    <mergeCell ref="A57:I57"/>
    <mergeCell ref="A86:I86"/>
    <mergeCell ref="A90:I90"/>
    <mergeCell ref="A103:I103"/>
    <mergeCell ref="A104:I104"/>
    <mergeCell ref="B105:G105"/>
    <mergeCell ref="B106:G106"/>
    <mergeCell ref="A108:I108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7</vt:i4>
      </vt:variant>
    </vt:vector>
  </HeadingPairs>
  <TitlesOfParts>
    <vt:vector size="19" baseType="lpstr"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'01.18'!Область_печати</vt:lpstr>
      <vt:lpstr>'02.18'!Область_печати</vt:lpstr>
      <vt:lpstr>'03.18'!Область_печати</vt:lpstr>
      <vt:lpstr>'04.18'!Область_печати</vt:lpstr>
      <vt:lpstr>'05.18'!Область_печати</vt:lpstr>
      <vt:lpstr>'11.18'!Область_печати</vt:lpstr>
      <vt:lpstr>'12.18'!Область_печати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2019-01-29T08:35:55Z</cp:lastPrinted>
  <dcterms:created xsi:type="dcterms:W3CDTF">2016-03-25T08:33:47Z</dcterms:created>
  <dcterms:modified xsi:type="dcterms:W3CDTF">2019-01-29T08:36:13Z</dcterms:modified>
</cp:coreProperties>
</file>